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9722E51-760E-4D38-AD89-7F80889FD347}" xr6:coauthVersionLast="47" xr6:coauthVersionMax="47" xr10:uidLastSave="{00000000-0000-0000-0000-000000000000}"/>
  <workbookProtection workbookAlgorithmName="SHA-512" workbookHashValue="FaL8si2Vf/dzuHjeJm6TdYCTlVf7Hvt6AXz7KAqPpKLfi8p0miqYnQ2+n05h/ADYCavwlETDE8oPVXw1xLiZfA==" workbookSaltValue="J43t7X/Qh5QLXjGVTF00T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I21" i="94"/>
  <c r="I23" i="94"/>
  <c r="I22" i="94"/>
  <c r="I20" i="94"/>
  <c r="I19" i="94"/>
  <c r="I107" i="94"/>
  <c r="I106" i="94"/>
  <c r="I105" i="94"/>
  <c r="I104" i="94"/>
  <c r="I103" i="94"/>
  <c r="I93" i="94"/>
  <c r="I92" i="94"/>
  <c r="I91" i="94"/>
  <c r="I90" i="94"/>
  <c r="I89" i="94"/>
  <c r="I79" i="94"/>
  <c r="I78" i="94"/>
  <c r="I77" i="94"/>
  <c r="I76" i="94"/>
  <c r="I75" i="94"/>
  <c r="I51" i="94"/>
  <c r="I50" i="94"/>
  <c r="I49" i="94"/>
  <c r="I48" i="94"/>
  <c r="I47" i="94"/>
  <c r="I37" i="94"/>
  <c r="I36" i="94"/>
  <c r="I35" i="94"/>
  <c r="I34" i="94"/>
  <c r="I33" i="94"/>
  <c r="I65" i="94"/>
  <c r="I64" i="94"/>
  <c r="I63" i="94"/>
  <c r="I62" i="94"/>
  <c r="I61" i="94"/>
  <c r="N166" i="94"/>
  <c r="N158" i="94"/>
  <c r="AA39" i="72" l="1" a="1"/>
  <c r="AA39" i="72" s="1"/>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K2166" i="92" l="1"/>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1556" i="92"/>
  <c r="C1555" i="92"/>
  <c r="B1600" i="92"/>
  <c r="C1974" i="92"/>
  <c r="C2073" i="92"/>
  <c r="B1983" i="92"/>
  <c r="C2036" i="92"/>
  <c r="E118" i="99"/>
  <c r="B1982" i="92"/>
  <c r="B1239" i="92"/>
  <c r="B1277" i="92"/>
  <c r="E119" i="99" a="1"/>
  <c r="C1975" i="92"/>
  <c r="B1281" i="92"/>
  <c r="B2040" i="92"/>
  <c r="C1253" i="92"/>
  <c r="B1958" i="92"/>
  <c r="C2183" i="92"/>
  <c r="C1973" i="92"/>
  <c r="B1933" i="92"/>
  <c r="C1978" i="92"/>
  <c r="D120" i="99" a="1"/>
  <c r="C1282" i="92"/>
  <c r="B1919" i="92"/>
  <c r="C1929" i="92"/>
  <c r="B1918" i="92"/>
  <c r="B1981" i="92"/>
  <c r="C1566" i="92"/>
  <c r="B1926" i="92"/>
  <c r="F40" i="99" a="1"/>
  <c r="C1239" i="92"/>
  <c r="B1917" i="92"/>
  <c r="B1941" i="92"/>
  <c r="C1982" i="92"/>
  <c r="C2028" i="92"/>
  <c r="C1964" i="92"/>
  <c r="X67" i="99" a="1"/>
  <c r="C1925" i="92"/>
  <c r="C1593" i="92"/>
  <c r="C1254" i="92"/>
  <c r="C1231" i="92"/>
  <c r="V196" i="99" a="1"/>
  <c r="C2185" i="92"/>
  <c r="E195" i="99" a="1"/>
  <c r="B1263" i="92"/>
  <c r="C1243" i="92"/>
  <c r="C2084" i="92"/>
  <c r="F199" i="99" a="1"/>
  <c r="C1922" i="92"/>
  <c r="B2014" i="92"/>
  <c r="V199" i="99" a="1"/>
  <c r="C1611" i="92"/>
  <c r="B1242" i="92"/>
  <c r="B1992" i="92"/>
  <c r="X119" i="99" a="1"/>
  <c r="V68" i="99" a="1"/>
  <c r="C2012" i="92"/>
  <c r="F196" i="99" a="1"/>
  <c r="D197" i="99" a="1"/>
  <c r="B1561" i="92"/>
  <c r="C1976" i="92"/>
  <c r="C2056" i="92"/>
  <c r="C2007" i="92"/>
  <c r="D119" i="99" a="1"/>
  <c r="B1227" i="92"/>
  <c r="F123" i="99" a="1"/>
  <c r="C1613" i="92"/>
  <c r="B1939" i="92"/>
  <c r="C1955" i="92"/>
  <c r="C1279" i="92"/>
  <c r="B2183" i="92"/>
  <c r="C1602" i="92"/>
  <c r="B1268" i="92"/>
  <c r="B1963" i="92"/>
  <c r="C1278" i="92"/>
  <c r="B1256" i="92"/>
  <c r="F69" i="99" a="1"/>
  <c r="C1258" i="92"/>
  <c r="B1249" i="92"/>
  <c r="B1948" i="92"/>
  <c r="C1596" i="92"/>
  <c r="X66" i="99" a="1"/>
  <c r="C1977" i="92"/>
  <c r="C1588" i="92"/>
  <c r="B1560" i="92"/>
  <c r="B1964" i="92"/>
  <c r="C1961" i="92"/>
  <c r="C2001" i="92"/>
  <c r="V119" i="99" a="1"/>
  <c r="C2040" i="92"/>
  <c r="B1566" i="92"/>
  <c r="W68" i="99" a="1"/>
  <c r="C1232" i="92"/>
  <c r="C1597" i="92"/>
  <c r="C1607" i="92"/>
  <c r="C2069" i="92"/>
  <c r="B1938" i="92"/>
  <c r="E198" i="99" a="1"/>
  <c r="C1567" i="92"/>
  <c r="W65" i="99" a="1"/>
  <c r="C1271" i="92"/>
  <c r="C1568" i="92"/>
  <c r="C1229" i="92"/>
  <c r="B1602" i="92"/>
  <c r="B1979" i="92"/>
  <c r="B1274" i="92"/>
  <c r="C1983" i="92"/>
  <c r="B1226" i="92"/>
  <c r="B1927" i="92"/>
  <c r="B1273" i="92"/>
  <c r="C2080" i="92"/>
  <c r="C1244" i="92"/>
  <c r="B1225" i="92"/>
  <c r="B1222" i="92"/>
  <c r="C1918" i="92"/>
  <c r="C1257" i="92"/>
  <c r="B1913" i="92"/>
  <c r="B2067" i="92"/>
  <c r="C1967" i="92"/>
  <c r="C1989" i="92"/>
  <c r="C1222" i="92"/>
  <c r="C1263" i="92"/>
  <c r="B1267" i="92"/>
  <c r="B1563" i="92"/>
  <c r="E170" i="99" a="1"/>
  <c r="X122" i="99" a="1"/>
  <c r="C1594" i="92"/>
  <c r="C1934" i="92"/>
  <c r="B1251" i="92"/>
  <c r="B1598" i="92"/>
  <c r="C1924" i="92"/>
  <c r="B1967" i="92"/>
  <c r="D94" i="99" a="1"/>
  <c r="C2025" i="92"/>
  <c r="D195" i="99" a="1"/>
  <c r="B1269" i="92"/>
  <c r="C1985" i="92"/>
  <c r="W194" i="99"/>
  <c r="C1234" i="92"/>
  <c r="B1266" i="92"/>
  <c r="B1978" i="92"/>
  <c r="C2003" i="92"/>
  <c r="V170" i="99" a="1"/>
  <c r="C1935" i="92"/>
  <c r="B1966" i="92"/>
  <c r="C1563" i="92"/>
  <c r="B1584" i="92"/>
  <c r="E68" i="99" a="1"/>
  <c r="B1616" i="92"/>
  <c r="B1231" i="92"/>
  <c r="C1916" i="92"/>
  <c r="B1230" i="92"/>
  <c r="B1221" i="92"/>
  <c r="B1976" i="92"/>
  <c r="X40" i="99" a="1"/>
  <c r="B1960" i="92"/>
  <c r="B1236" i="92"/>
  <c r="B1613" i="92"/>
  <c r="B2012" i="92"/>
  <c r="C1944" i="92"/>
  <c r="B1591" i="92"/>
  <c r="C2023" i="92"/>
  <c r="C1556" i="92"/>
  <c r="C1958" i="92"/>
  <c r="V198" i="99" a="1"/>
  <c r="B1260" i="92"/>
  <c r="C1933" i="92"/>
  <c r="C1948" i="92"/>
  <c r="E69" i="99" a="1"/>
  <c r="C1241" i="92"/>
  <c r="C1971" i="92"/>
  <c r="B1924" i="92"/>
  <c r="C1943" i="92"/>
  <c r="B2073" i="92"/>
  <c r="E120" i="99" a="1"/>
  <c r="B1241" i="92"/>
  <c r="C1920" i="92"/>
  <c r="B1989" i="92"/>
  <c r="C1981" i="92"/>
  <c r="W118" i="99"/>
  <c r="B1980" i="92"/>
  <c r="W119" i="99" a="1"/>
  <c r="B1593" i="92"/>
  <c r="W123" i="99" a="1"/>
  <c r="W170" i="99" a="1"/>
  <c r="B2025" i="92"/>
  <c r="C1265" i="92"/>
  <c r="B1974" i="92"/>
  <c r="C1980" i="92"/>
  <c r="B1224" i="92"/>
  <c r="B1257" i="92"/>
  <c r="E65" i="99" a="1"/>
  <c r="E40" i="99" a="1"/>
  <c r="B1264" i="92"/>
  <c r="B1235" i="92"/>
  <c r="B1959" i="92"/>
  <c r="V122" i="99" a="1"/>
  <c r="D198" i="99" a="1"/>
  <c r="C1926" i="92"/>
  <c r="B1255" i="92"/>
  <c r="B1643" i="92"/>
  <c r="C2047" i="92"/>
  <c r="C1917" i="92"/>
  <c r="C1942" i="92"/>
  <c r="C1557" i="92"/>
  <c r="E122" i="99" a="1"/>
  <c r="C1246" i="92"/>
  <c r="C1939" i="92"/>
  <c r="B1559" i="92"/>
  <c r="E67" i="99" a="1"/>
  <c r="B1234" i="92"/>
  <c r="B1240" i="92"/>
  <c r="B1911" i="92"/>
  <c r="B2006" i="92"/>
  <c r="D123" i="99" a="1"/>
  <c r="F67" i="99" a="1"/>
  <c r="F120" i="99" a="1"/>
  <c r="C2078" i="92"/>
  <c r="C2061" i="92"/>
  <c r="C2182" i="92"/>
  <c r="C1599" i="92"/>
  <c r="C1937" i="92"/>
  <c r="B1265" i="92"/>
  <c r="C1963" i="92"/>
  <c r="B2185" i="92"/>
  <c r="C1984" i="92"/>
  <c r="B1942" i="92"/>
  <c r="D170" i="99" a="1"/>
  <c r="B1229" i="92"/>
  <c r="B2180" i="92"/>
  <c r="C1268" i="92"/>
  <c r="B1995" i="92"/>
  <c r="E121" i="99" a="1"/>
  <c r="B1647" i="92"/>
  <c r="B1985" i="92"/>
  <c r="C1643" i="92"/>
  <c r="V120" i="99" a="1"/>
  <c r="C1606" i="92"/>
  <c r="C1583" i="92"/>
  <c r="E64" i="99"/>
  <c r="X121" i="99" a="1"/>
  <c r="D66" i="99" a="1"/>
  <c r="B1665" i="92"/>
  <c r="B1987" i="92"/>
  <c r="B1605" i="92"/>
  <c r="D199" i="99" a="1"/>
  <c r="C1269" i="92"/>
  <c r="C1256" i="92"/>
  <c r="C1226" i="92"/>
  <c r="B1972" i="92"/>
  <c r="B2003" i="92"/>
  <c r="B1988" i="92"/>
  <c r="C1221" i="92"/>
  <c r="C1230" i="92"/>
  <c r="D69" i="99" a="1"/>
  <c r="C1224" i="92"/>
  <c r="C1988" i="92"/>
  <c r="V66" i="99" a="1"/>
  <c r="B1969" i="92"/>
  <c r="B2182" i="92"/>
  <c r="C2018" i="92"/>
  <c r="C1990" i="92"/>
  <c r="B1250" i="92"/>
  <c r="F195" i="99" a="1"/>
  <c r="B2045" i="92"/>
  <c r="B1258" i="92"/>
  <c r="B1276" i="92"/>
  <c r="C1598" i="92"/>
  <c r="C1237" i="92"/>
  <c r="B1232" i="92"/>
  <c r="C1238" i="92"/>
  <c r="B2018" i="92"/>
  <c r="C1281" i="92"/>
  <c r="B1557" i="92"/>
  <c r="B2034" i="92"/>
  <c r="D122" i="99" a="1"/>
  <c r="B1977" i="92"/>
  <c r="C1947" i="92"/>
  <c r="B1248" i="92"/>
  <c r="B1259" i="92"/>
  <c r="B1955" i="92"/>
  <c r="B1986" i="92"/>
  <c r="C1938" i="92"/>
  <c r="B1223" i="92"/>
  <c r="C1954" i="92"/>
  <c r="B2001" i="92"/>
  <c r="B1243" i="92"/>
  <c r="B1932" i="92"/>
  <c r="B1925" i="92"/>
  <c r="B1279" i="92"/>
  <c r="C1919" i="92"/>
  <c r="F170" i="99" a="1"/>
  <c r="B1606" i="92"/>
  <c r="E196" i="99" a="1"/>
  <c r="C1233" i="92"/>
  <c r="E197" i="99" a="1"/>
  <c r="B1940" i="92"/>
  <c r="D196" i="99" a="1"/>
  <c r="F65" i="99" a="1"/>
  <c r="B1937" i="92"/>
  <c r="V123" i="99" a="1"/>
  <c r="B1567" i="92"/>
  <c r="B1920" i="92"/>
  <c r="X196" i="99" a="1"/>
  <c r="C1252" i="92"/>
  <c r="X198" i="99" a="1"/>
  <c r="B1280" i="92"/>
  <c r="X69" i="99" a="1"/>
  <c r="C1603" i="92"/>
  <c r="B1589" i="92"/>
  <c r="C1276" i="92"/>
  <c r="C1251" i="92"/>
  <c r="B1246" i="92"/>
  <c r="C1956" i="92"/>
  <c r="B1568" i="92"/>
  <c r="B2047" i="92"/>
  <c r="B2058" i="92"/>
  <c r="C1968" i="92"/>
  <c r="C1560" i="92"/>
  <c r="B1962" i="92"/>
  <c r="C2179" i="92"/>
  <c r="C2184" i="92"/>
  <c r="C1987" i="92"/>
  <c r="B1965" i="92"/>
  <c r="C1642" i="92"/>
  <c r="B1957" i="92"/>
  <c r="C1262" i="92"/>
  <c r="C1647" i="92"/>
  <c r="C2029" i="92"/>
  <c r="B1271" i="92"/>
  <c r="B1601" i="92"/>
  <c r="W122" i="99" a="1"/>
  <c r="C1969" i="92"/>
  <c r="C1923" i="92"/>
  <c r="B1610" i="92"/>
  <c r="B2036" i="92"/>
  <c r="C1554" i="92"/>
  <c r="C1235" i="92"/>
  <c r="C1228" i="92"/>
  <c r="C1612" i="92"/>
  <c r="C2083" i="92"/>
  <c r="C1927" i="92"/>
  <c r="B1931" i="92"/>
  <c r="E66" i="99" a="1"/>
  <c r="C1931" i="92"/>
  <c r="B1272" i="92"/>
  <c r="C1236" i="92"/>
  <c r="F198" i="99" a="1"/>
  <c r="C1913" i="92"/>
  <c r="C1558" i="92"/>
  <c r="C1936" i="92"/>
  <c r="W120" i="99" a="1"/>
  <c r="C1959" i="92"/>
  <c r="C1274" i="92"/>
  <c r="B2080" i="92"/>
  <c r="F122" i="99" a="1"/>
  <c r="F119" i="99" a="1"/>
  <c r="F94" i="99" a="1"/>
  <c r="W195" i="99" a="1"/>
  <c r="X195" i="99" a="1"/>
  <c r="B2181" i="92"/>
  <c r="C1595" i="92"/>
  <c r="C1275" i="92"/>
  <c r="F121" i="99" a="1"/>
  <c r="B1614" i="92"/>
  <c r="B1562" i="92"/>
  <c r="C1957" i="92"/>
  <c r="B1282" i="92"/>
  <c r="V94" i="99" a="1"/>
  <c r="C1270" i="92"/>
  <c r="C1590" i="92"/>
  <c r="W94" i="99" a="1"/>
  <c r="B2023" i="92"/>
  <c r="B1914" i="92"/>
  <c r="B1278" i="92"/>
  <c r="B1262" i="92"/>
  <c r="E199" i="99" a="1"/>
  <c r="B1253" i="92"/>
  <c r="C2067" i="92"/>
  <c r="B1275" i="92"/>
  <c r="B1590" i="92"/>
  <c r="W121" i="99" a="1"/>
  <c r="C1921" i="92"/>
  <c r="W64" i="99"/>
  <c r="B1935" i="92"/>
  <c r="B1947" i="92"/>
  <c r="B1254" i="92"/>
  <c r="B1968" i="92"/>
  <c r="V40" i="99" a="1"/>
  <c r="B1244" i="92"/>
  <c r="C1914" i="92"/>
  <c r="C2050" i="92"/>
  <c r="C1608" i="92"/>
  <c r="E94" i="99" a="1"/>
  <c r="B1238" i="92"/>
  <c r="C1266" i="92"/>
  <c r="C1261" i="92"/>
  <c r="C1665" i="92"/>
  <c r="W66" i="99" a="1"/>
  <c r="C1259" i="92"/>
  <c r="C1240" i="92"/>
  <c r="B1954" i="92"/>
  <c r="F66" i="99" a="1"/>
  <c r="W199" i="99" a="1"/>
  <c r="B1923" i="92"/>
  <c r="C1260" i="92"/>
  <c r="C2034" i="92"/>
  <c r="C1960" i="92"/>
  <c r="B2069" i="92"/>
  <c r="B1565" i="92"/>
  <c r="C1966" i="92"/>
  <c r="D67" i="99" a="1"/>
  <c r="C1559" i="92"/>
  <c r="W67" i="99" a="1"/>
  <c r="C1928" i="92"/>
  <c r="V69" i="99" a="1"/>
  <c r="C1616" i="92"/>
  <c r="C2006" i="92"/>
  <c r="C1970" i="92"/>
  <c r="B1603" i="92"/>
  <c r="B1915" i="92"/>
  <c r="C1972" i="92"/>
  <c r="B1233" i="92"/>
  <c r="B2078" i="92"/>
  <c r="B1642" i="92"/>
  <c r="C1609" i="92"/>
  <c r="C1250" i="92"/>
  <c r="C2039" i="92"/>
  <c r="C1610" i="92"/>
  <c r="C1605" i="92"/>
  <c r="C1277" i="92"/>
  <c r="X197" i="99" a="1"/>
  <c r="C1941" i="92"/>
  <c r="W198" i="99" a="1"/>
  <c r="V195" i="99" a="1"/>
  <c r="B2039" i="92"/>
  <c r="C1565" i="92"/>
  <c r="D65" i="99" a="1"/>
  <c r="B1564" i="92"/>
  <c r="B1604" i="92"/>
  <c r="B1587" i="92"/>
  <c r="D40" i="99" a="1"/>
  <c r="B2062" i="92"/>
  <c r="X120" i="99" a="1"/>
  <c r="C1587" i="92"/>
  <c r="D68" i="99" a="1"/>
  <c r="C1273" i="92"/>
  <c r="B1930" i="92"/>
  <c r="C1589" i="92"/>
  <c r="C1225" i="92"/>
  <c r="B2051" i="92"/>
  <c r="B1996" i="92"/>
  <c r="B1595" i="92"/>
  <c r="V121" i="99" a="1"/>
  <c r="B1943" i="92"/>
  <c r="C1561" i="92"/>
  <c r="B1569" i="92"/>
  <c r="C1930" i="92"/>
  <c r="B1609" i="92"/>
  <c r="X123" i="99" a="1"/>
  <c r="B1922" i="92"/>
  <c r="C1227" i="92"/>
  <c r="C2180" i="92"/>
  <c r="F197" i="99" a="1"/>
  <c r="B1944" i="92"/>
  <c r="C1255" i="92"/>
  <c r="C2062" i="92"/>
  <c r="X68" i="99" a="1"/>
  <c r="C1586" i="92"/>
  <c r="C1267" i="92"/>
  <c r="B1252" i="92"/>
  <c r="E123" i="99" a="1"/>
  <c r="B1555" i="92"/>
  <c r="B1971" i="92"/>
  <c r="B1588" i="92"/>
  <c r="B1934" i="92"/>
  <c r="C1995" i="92"/>
  <c r="C1965" i="92"/>
  <c r="D121" i="99" a="1"/>
  <c r="X65" i="99" a="1"/>
  <c r="X199" i="99" a="1"/>
  <c r="C1223" i="92"/>
  <c r="C1562" i="92"/>
  <c r="B1596" i="92"/>
  <c r="C1915" i="92"/>
  <c r="C1247" i="92"/>
  <c r="C2181" i="92"/>
  <c r="C1600" i="92"/>
  <c r="B1270" i="92"/>
  <c r="X170" i="99" a="1"/>
  <c r="C1280" i="92"/>
  <c r="B1975" i="92"/>
  <c r="C2072" i="92"/>
  <c r="C1614" i="92"/>
  <c r="B1586" i="92"/>
  <c r="C1912" i="92"/>
  <c r="C1584" i="92"/>
  <c r="B1585" i="92"/>
  <c r="X94" i="99" a="1"/>
  <c r="B2056" i="92"/>
  <c r="B2050" i="92"/>
  <c r="B1607" i="92"/>
  <c r="B2061" i="92"/>
  <c r="B1608" i="92"/>
  <c r="C1272" i="92"/>
  <c r="B1916" i="92"/>
  <c r="B1597" i="92"/>
  <c r="B2028" i="92"/>
  <c r="C1601" i="92"/>
  <c r="B1984" i="92"/>
  <c r="W197" i="99" a="1"/>
  <c r="B2029" i="92"/>
  <c r="B1929" i="92"/>
  <c r="C1569" i="92"/>
  <c r="B2179" i="92"/>
  <c r="B1970" i="92"/>
  <c r="C1245" i="92"/>
  <c r="B2083" i="92"/>
  <c r="C1986" i="92"/>
  <c r="B1261" i="92"/>
  <c r="B1912" i="92"/>
  <c r="C1242" i="92"/>
  <c r="C1940" i="92"/>
  <c r="B1558" i="92"/>
  <c r="C1248" i="92"/>
  <c r="C1992" i="92"/>
  <c r="B1990" i="92"/>
  <c r="C1996" i="92"/>
  <c r="B1936" i="92"/>
  <c r="B1228" i="92"/>
  <c r="F68" i="99" a="1"/>
  <c r="B1961" i="92"/>
  <c r="C2014" i="92"/>
  <c r="B1928" i="92"/>
  <c r="B1956" i="92"/>
  <c r="V67" i="99" a="1"/>
  <c r="B1599" i="92"/>
  <c r="V65" i="99" a="1"/>
  <c r="B1611" i="92"/>
  <c r="C2045" i="92"/>
  <c r="B1245" i="92"/>
  <c r="C1564" i="92"/>
  <c r="C1585" i="92"/>
  <c r="B2084" i="92"/>
  <c r="B1921" i="92"/>
  <c r="C1979" i="92"/>
  <c r="B1247" i="92"/>
  <c r="C2051" i="92"/>
  <c r="C1962" i="92"/>
  <c r="B1583" i="92"/>
  <c r="B1612" i="92"/>
  <c r="C1911" i="92"/>
  <c r="C1264" i="92"/>
  <c r="C1591" i="92"/>
  <c r="B1973" i="92"/>
  <c r="B2007" i="92"/>
  <c r="V197" i="99" a="1"/>
  <c r="C1604" i="92"/>
  <c r="B1554" i="92"/>
  <c r="W196" i="99" a="1"/>
  <c r="C1249" i="92"/>
  <c r="C2058" i="92"/>
  <c r="W40" i="99" a="1"/>
  <c r="B2184" i="92"/>
  <c r="B1594" i="92"/>
  <c r="B2017" i="92"/>
  <c r="C1932" i="92"/>
  <c r="C2017" i="92"/>
  <c r="B2072" i="92"/>
  <c r="E194" i="99"/>
  <c r="W69" i="99" a="1"/>
  <c r="B1237"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894" i="92"/>
  <c r="C1762" i="92"/>
  <c r="C1893" i="92"/>
  <c r="B1770" i="92"/>
  <c r="B1726" i="92"/>
  <c r="B1839" i="92"/>
  <c r="B1672" i="92"/>
  <c r="C1711" i="92"/>
  <c r="C1787" i="92"/>
  <c r="C1777" i="92"/>
  <c r="B1683" i="92"/>
  <c r="B1724" i="92"/>
  <c r="C1747" i="92"/>
  <c r="B1806" i="92"/>
  <c r="B1820" i="92"/>
  <c r="C1700" i="92"/>
  <c r="C1836" i="92"/>
  <c r="B1891" i="92"/>
  <c r="C1870" i="92"/>
  <c r="B1738" i="92"/>
  <c r="C1740" i="92"/>
  <c r="B1767" i="92"/>
  <c r="B1686" i="92"/>
  <c r="C1771" i="92"/>
  <c r="B1735" i="92"/>
  <c r="C1746" i="92"/>
  <c r="B1906" i="92"/>
  <c r="C1837" i="92"/>
  <c r="B1762" i="92"/>
  <c r="B1719" i="92"/>
  <c r="B1787" i="92"/>
  <c r="C1839" i="92"/>
  <c r="B1716" i="92"/>
  <c r="C1676" i="92"/>
  <c r="B1799" i="92"/>
  <c r="B1745" i="92"/>
  <c r="C1784" i="92"/>
  <c r="C1761" i="92"/>
  <c r="C1739" i="92"/>
  <c r="B1689" i="92"/>
  <c r="B1811" i="92"/>
  <c r="B1822" i="92"/>
  <c r="B1801" i="92"/>
  <c r="C1734" i="92"/>
  <c r="C1697" i="92"/>
  <c r="C1766" i="92"/>
  <c r="C1778" i="92"/>
  <c r="C1694" i="92"/>
  <c r="C1807" i="92"/>
  <c r="C1901" i="92"/>
  <c r="C1809" i="92"/>
  <c r="B1669" i="92"/>
  <c r="C1741" i="92"/>
  <c r="C1699" i="92"/>
  <c r="C1889" i="92"/>
  <c r="C1774" i="92"/>
  <c r="B1821" i="92"/>
  <c r="C1674" i="92"/>
  <c r="C1709" i="92"/>
  <c r="C1888" i="92"/>
  <c r="B1760" i="92"/>
  <c r="C1708" i="92"/>
  <c r="B1680" i="92"/>
  <c r="B1695" i="92"/>
  <c r="C1689" i="92"/>
  <c r="C1732" i="92"/>
  <c r="C1716" i="92"/>
  <c r="B1750" i="92"/>
  <c r="C1688" i="92"/>
  <c r="C1749" i="92"/>
  <c r="B1771" i="92"/>
  <c r="C1799" i="92"/>
  <c r="B1739" i="92"/>
  <c r="B1694" i="92"/>
  <c r="B1710" i="92"/>
  <c r="B1809" i="92"/>
  <c r="B1813" i="92"/>
  <c r="B1708" i="92"/>
  <c r="B1732" i="92"/>
  <c r="C1795" i="92"/>
  <c r="B1859" i="92"/>
  <c r="B1810" i="92"/>
  <c r="C1841" i="92"/>
  <c r="C1770" i="92"/>
  <c r="C1797" i="92"/>
  <c r="B1832" i="92"/>
  <c r="B1823" i="92"/>
  <c r="C1869" i="92"/>
  <c r="B1849" i="92"/>
  <c r="B1888" i="92"/>
  <c r="B1853" i="92"/>
  <c r="B1890" i="92"/>
  <c r="C1899" i="92"/>
  <c r="C1840" i="92"/>
  <c r="B1814" i="92"/>
  <c r="B1709" i="92"/>
  <c r="C1900" i="92"/>
  <c r="C1832" i="92"/>
  <c r="C1898" i="92"/>
  <c r="B1764" i="92"/>
  <c r="B1827" i="92"/>
  <c r="B1781" i="92"/>
  <c r="B1894" i="92"/>
  <c r="B1688" i="92"/>
  <c r="C1803" i="92"/>
  <c r="C1779" i="92"/>
  <c r="B1752" i="92"/>
  <c r="C1806" i="92"/>
  <c r="C1773" i="92"/>
  <c r="C1743" i="92"/>
  <c r="B1780" i="92"/>
  <c r="C1805" i="92"/>
  <c r="B1883" i="92"/>
  <c r="B1713" i="92"/>
  <c r="C1715" i="92"/>
  <c r="B1740" i="92"/>
  <c r="C1725" i="92"/>
  <c r="B1783" i="92"/>
  <c r="C1804" i="92"/>
  <c r="B1802" i="92"/>
  <c r="C1801" i="92"/>
  <c r="B1785" i="92"/>
  <c r="B1794" i="92"/>
  <c r="B1667" i="92"/>
  <c r="B1789" i="92"/>
  <c r="C1750" i="92"/>
  <c r="C1742" i="92"/>
  <c r="B1733" i="92"/>
  <c r="C1800" i="92"/>
  <c r="C1744" i="92"/>
  <c r="B1831" i="92"/>
  <c r="B1747" i="92"/>
  <c r="B1674" i="92"/>
  <c r="C1669" i="92"/>
  <c r="B1737" i="92"/>
  <c r="B1838" i="92"/>
  <c r="C1895" i="92"/>
  <c r="B1711" i="92"/>
  <c r="B1696" i="92"/>
  <c r="C1790" i="92"/>
  <c r="B1768" i="92"/>
  <c r="B1687" i="92"/>
  <c r="C1752" i="92"/>
  <c r="B1671" i="92"/>
  <c r="B1749" i="92"/>
  <c r="C1690" i="92"/>
  <c r="C1717" i="92"/>
  <c r="C1678" i="92"/>
  <c r="C1737" i="92"/>
  <c r="B1703" i="92"/>
  <c r="C1874" i="92"/>
  <c r="B1704" i="92"/>
  <c r="C1833" i="92"/>
  <c r="C1768" i="92"/>
  <c r="C1698" i="92"/>
  <c r="C1772" i="92"/>
  <c r="B1675" i="92"/>
  <c r="C1802" i="92"/>
  <c r="C1758" i="92"/>
  <c r="B1826" i="92"/>
  <c r="B1774" i="92"/>
  <c r="B1779" i="92"/>
  <c r="B1728" i="92"/>
  <c r="B1748" i="92"/>
  <c r="C1682" i="92"/>
  <c r="B1841" i="92"/>
  <c r="B1676" i="92"/>
  <c r="C1848" i="92"/>
  <c r="B1874" i="92"/>
  <c r="C1707" i="92"/>
  <c r="C1890" i="92"/>
  <c r="B1793" i="92"/>
  <c r="B1751" i="92"/>
  <c r="B1701" i="92"/>
  <c r="C1830" i="92"/>
  <c r="C1684" i="92"/>
  <c r="B1848" i="92"/>
  <c r="C1827" i="92"/>
  <c r="C1705" i="92"/>
  <c r="C1767" i="92"/>
  <c r="C1738" i="92"/>
  <c r="C1818" i="92"/>
  <c r="C1756" i="92"/>
  <c r="B1818" i="92"/>
  <c r="C1782" i="92"/>
  <c r="B1887" i="92"/>
  <c r="B1796" i="92"/>
  <c r="B1896" i="92"/>
  <c r="B1777" i="92"/>
  <c r="B1893" i="92"/>
  <c r="C1780" i="92"/>
  <c r="C1793" i="92"/>
  <c r="C1791" i="92"/>
  <c r="B1817" i="92"/>
  <c r="B1734" i="92"/>
  <c r="B1692" i="92"/>
  <c r="C1765" i="92"/>
  <c r="C1721" i="92"/>
  <c r="B1693" i="92"/>
  <c r="C1675" i="92"/>
  <c r="B1803" i="92"/>
  <c r="C1692" i="92"/>
  <c r="B1772" i="92"/>
  <c r="B1742" i="92"/>
  <c r="B1790" i="92"/>
  <c r="C1808" i="92"/>
  <c r="C1789" i="92"/>
  <c r="B1758" i="92"/>
  <c r="B1788" i="92"/>
  <c r="B1729" i="92"/>
  <c r="C1792" i="92"/>
  <c r="C1666" i="92"/>
  <c r="B1714" i="92"/>
  <c r="C1760" i="92"/>
  <c r="C1826" i="92"/>
  <c r="B1829" i="92"/>
  <c r="C1723" i="92"/>
  <c r="C1679" i="92"/>
  <c r="B1712" i="92"/>
  <c r="C1681" i="92"/>
  <c r="B1825" i="92"/>
  <c r="B1815" i="92"/>
  <c r="C1875" i="92"/>
  <c r="C1713" i="92"/>
  <c r="C1673" i="92"/>
  <c r="C1757" i="92"/>
  <c r="C1722" i="92"/>
  <c r="B1842" i="92"/>
  <c r="C1745" i="92"/>
  <c r="C1883" i="92"/>
  <c r="B1685" i="92"/>
  <c r="B1805" i="92"/>
  <c r="B1746" i="92"/>
  <c r="B1784" i="92"/>
  <c r="C1712" i="92"/>
  <c r="C1704" i="92"/>
  <c r="C1703" i="92"/>
  <c r="C1822" i="92"/>
  <c r="C1788" i="92"/>
  <c r="C1668" i="92"/>
  <c r="C1728" i="92"/>
  <c r="C1835" i="92"/>
  <c r="C1796" i="92"/>
  <c r="B1769" i="92"/>
  <c r="C1794" i="92"/>
  <c r="B1884" i="92"/>
  <c r="B1679" i="92"/>
  <c r="B1730" i="92"/>
  <c r="C1884" i="92"/>
  <c r="B1800" i="92"/>
  <c r="C1724" i="92"/>
  <c r="B1757" i="92"/>
  <c r="C1834" i="92"/>
  <c r="B1901" i="92"/>
  <c r="C1691" i="92"/>
  <c r="B1830" i="92"/>
  <c r="C1754" i="92"/>
  <c r="B1776" i="92"/>
  <c r="B1786" i="92"/>
  <c r="C1816" i="92"/>
  <c r="B1765" i="92"/>
  <c r="C1906" i="92"/>
  <c r="B1753" i="92"/>
  <c r="B1759" i="92"/>
  <c r="C1686" i="92"/>
  <c r="C1667" i="92"/>
  <c r="B1837" i="92"/>
  <c r="B1682" i="92"/>
  <c r="B1835" i="92"/>
  <c r="B1775" i="92"/>
  <c r="C1798" i="92"/>
  <c r="C1831" i="92"/>
  <c r="C1785" i="92"/>
  <c r="B1702" i="92"/>
  <c r="C1812" i="92"/>
  <c r="B1754" i="92"/>
  <c r="C1702" i="92"/>
  <c r="C1859" i="92"/>
  <c r="B1812" i="92"/>
  <c r="B1668" i="92"/>
  <c r="C1672" i="92"/>
  <c r="B1870" i="92"/>
  <c r="C1755" i="92"/>
  <c r="C1810" i="92"/>
  <c r="C1680" i="92"/>
  <c r="B1869" i="92"/>
  <c r="C1819" i="92"/>
  <c r="B1808" i="92"/>
  <c r="B1836" i="92"/>
  <c r="C1824" i="92"/>
  <c r="B1731" i="92"/>
  <c r="B1843" i="92"/>
  <c r="C1759" i="92"/>
  <c r="B1819" i="92"/>
  <c r="B1897" i="92"/>
  <c r="B1699" i="92"/>
  <c r="B1706" i="92"/>
  <c r="B1782" i="92"/>
  <c r="C1829" i="92"/>
  <c r="B1852" i="92"/>
  <c r="C1821" i="92"/>
  <c r="C1751" i="92"/>
  <c r="B1797" i="92"/>
  <c r="B1886" i="92"/>
  <c r="C1693" i="92"/>
  <c r="C1775" i="92"/>
  <c r="B1791" i="92"/>
  <c r="B1681" i="92"/>
  <c r="B1804" i="92"/>
  <c r="C1696" i="92"/>
  <c r="B1900" i="92"/>
  <c r="B1743" i="92"/>
  <c r="C1726" i="92"/>
  <c r="B1697" i="92"/>
  <c r="C1727" i="92"/>
  <c r="B1828" i="92"/>
  <c r="B1766" i="92"/>
  <c r="C1828" i="92"/>
  <c r="C1892" i="92"/>
  <c r="C1706" i="92"/>
  <c r="B1678" i="92"/>
  <c r="B1741" i="92"/>
  <c r="C1786" i="92"/>
  <c r="B1778" i="92"/>
  <c r="C1735" i="92"/>
  <c r="B1666" i="92"/>
  <c r="C1736" i="92"/>
  <c r="C1815" i="92"/>
  <c r="B1807" i="92"/>
  <c r="B1756" i="92"/>
  <c r="B1721" i="92"/>
  <c r="C1843" i="92"/>
  <c r="B1723" i="92"/>
  <c r="B1816" i="92"/>
  <c r="C1849" i="92"/>
  <c r="C1695" i="92"/>
  <c r="C1730" i="92"/>
  <c r="B1899" i="92"/>
  <c r="C1891" i="92"/>
  <c r="C1820" i="92"/>
  <c r="C1719" i="92"/>
  <c r="C1718" i="92"/>
  <c r="B1795" i="92"/>
  <c r="C1748" i="92"/>
  <c r="C1714" i="92"/>
  <c r="B1684" i="92"/>
  <c r="C1887" i="92"/>
  <c r="C1852" i="92"/>
  <c r="C1811" i="92"/>
  <c r="C1814" i="92"/>
  <c r="B1792" i="92"/>
  <c r="B1677" i="92"/>
  <c r="C1753" i="92"/>
  <c r="B1889" i="92"/>
  <c r="C1763" i="92"/>
  <c r="B1717" i="92"/>
  <c r="B1707" i="92"/>
  <c r="B1698" i="92"/>
  <c r="C1687" i="92"/>
  <c r="C1685" i="92"/>
  <c r="C1677" i="92"/>
  <c r="C1776" i="92"/>
  <c r="C1769" i="92"/>
  <c r="B1690" i="92"/>
  <c r="C1729" i="92"/>
  <c r="B1691" i="92"/>
  <c r="B1673" i="92"/>
  <c r="B1773" i="92"/>
  <c r="B1858" i="92"/>
  <c r="B1895" i="92"/>
  <c r="C1886" i="92"/>
  <c r="B1824" i="92"/>
  <c r="C1671" i="92"/>
  <c r="B1761" i="92"/>
  <c r="B1670" i="92"/>
  <c r="C1670" i="92"/>
  <c r="B1755" i="92"/>
  <c r="C1813" i="92"/>
  <c r="B1892" i="92"/>
  <c r="C1825" i="92"/>
  <c r="C1896" i="92"/>
  <c r="C1731" i="92"/>
  <c r="B1720" i="92"/>
  <c r="B1744" i="92"/>
  <c r="B1736" i="92"/>
  <c r="C1720" i="92"/>
  <c r="B1833" i="92"/>
  <c r="B1725" i="92"/>
  <c r="C1838" i="92"/>
  <c r="B1798" i="92"/>
  <c r="C1842" i="92"/>
  <c r="B1834" i="92"/>
  <c r="C1683" i="92"/>
  <c r="C1701" i="92"/>
  <c r="B1763" i="92"/>
  <c r="B1700" i="92"/>
  <c r="C1733" i="92"/>
  <c r="C1853" i="92"/>
  <c r="C1823" i="92"/>
  <c r="C1781" i="92"/>
  <c r="C1764" i="92"/>
  <c r="C1783" i="92"/>
  <c r="B1727" i="92"/>
  <c r="C1710" i="92"/>
  <c r="C1817" i="92"/>
  <c r="B1722" i="92"/>
  <c r="C1858" i="92"/>
  <c r="B1898" i="92"/>
  <c r="B1715" i="92"/>
  <c r="B1875" i="92"/>
  <c r="B1840" i="92"/>
  <c r="B1705" i="92"/>
  <c r="C1897" i="92"/>
  <c r="B1718"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V400" i="99" a="1"/>
  <c r="C402" i="99" a="1"/>
  <c r="C403" i="99" a="1"/>
  <c r="C404" i="99" a="1"/>
  <c r="U404" i="99" a="1"/>
  <c r="D400" i="99" a="1"/>
  <c r="U403" i="99" a="1"/>
  <c r="C400" i="99" a="1"/>
  <c r="U401" i="99" a="1"/>
  <c r="U402" i="99" a="1"/>
  <c r="C401" i="99" a="1"/>
  <c r="U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Y221" i="99" a="1"/>
  <c r="BY221" i="99" a="1"/>
  <c r="BH221" i="99" a="1"/>
  <c r="G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J24" i="57" l="1"/>
  <c r="I24" i="57"/>
  <c r="H24" i="57"/>
  <c r="G24" i="57"/>
  <c r="F24" i="57"/>
  <c r="J25" i="57"/>
  <c r="I25" i="57"/>
  <c r="F25" i="57"/>
  <c r="H25" i="57"/>
  <c r="G25" i="57"/>
  <c r="H26" i="57"/>
  <c r="G26" i="57"/>
  <c r="F26" i="57"/>
  <c r="I26" i="57"/>
  <c r="J26" i="57"/>
  <c r="J27" i="57"/>
  <c r="I27" i="57"/>
  <c r="H27" i="57"/>
  <c r="G27" i="57"/>
  <c r="F27" i="57"/>
  <c r="F28" i="57"/>
  <c r="J28" i="57"/>
  <c r="G28" i="57"/>
  <c r="I28" i="57"/>
  <c r="H28" i="57"/>
  <c r="I29" i="57"/>
  <c r="H29" i="57"/>
  <c r="G29" i="57"/>
  <c r="F29" i="57"/>
  <c r="J29" i="57"/>
  <c r="J30" i="57"/>
  <c r="I30" i="57"/>
  <c r="H30" i="57"/>
  <c r="G30" i="57"/>
  <c r="F30" i="57"/>
  <c r="G23" i="57"/>
  <c r="H23" i="57"/>
  <c r="J23" i="57"/>
  <c r="F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904" i="92"/>
  <c r="B1866" i="92"/>
  <c r="C1951" i="92"/>
  <c r="C1950" i="92"/>
  <c r="B1909" i="92"/>
  <c r="C1885" i="92"/>
  <c r="B1907" i="92"/>
  <c r="B1910" i="92"/>
  <c r="C1952" i="92"/>
  <c r="C1864" i="92"/>
  <c r="C1866" i="92"/>
  <c r="C1861" i="92"/>
  <c r="C1865" i="92"/>
  <c r="B1864" i="92"/>
  <c r="C1877" i="92"/>
  <c r="C1905" i="92"/>
  <c r="B1950" i="92"/>
  <c r="C1862" i="92"/>
  <c r="B1903" i="92"/>
  <c r="C1909" i="92"/>
  <c r="C1878" i="92"/>
  <c r="C1953" i="92"/>
  <c r="C1910" i="92"/>
  <c r="B1862" i="92"/>
  <c r="C1871" i="92"/>
  <c r="C1880" i="92"/>
  <c r="C1908" i="92"/>
  <c r="B1863" i="92"/>
  <c r="C1879" i="92"/>
  <c r="B1952" i="92"/>
  <c r="B1951" i="92"/>
  <c r="B1871" i="92"/>
  <c r="C1907" i="92"/>
  <c r="B1879" i="92"/>
  <c r="B1953" i="92"/>
  <c r="B1885" i="92"/>
  <c r="C1903" i="92"/>
  <c r="C1902" i="92"/>
  <c r="B1877" i="92"/>
  <c r="B1908" i="92"/>
  <c r="B1878" i="92"/>
  <c r="B1902" i="92"/>
  <c r="B1861" i="92"/>
  <c r="B1865" i="92"/>
  <c r="B1905" i="92"/>
  <c r="B1904" i="92"/>
  <c r="C1863" i="92"/>
  <c r="B1880" i="92"/>
  <c r="Z4" i="97" l="1"/>
  <c r="T29" i="97" s="1"/>
  <c r="Z6" i="97"/>
  <c r="T57" i="97" s="1"/>
  <c r="Z8" i="97"/>
  <c r="Z14" i="97"/>
  <c r="Z15" i="97"/>
  <c r="Z16" i="97"/>
  <c r="Z17" i="97"/>
  <c r="Z18" i="97"/>
  <c r="F194" i="99"/>
  <c r="D194" i="99"/>
  <c r="X64" i="99"/>
  <c r="V194" i="99"/>
  <c r="X194" i="99"/>
  <c r="V6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81" i="92"/>
  <c r="B1882" i="92"/>
  <c r="C1876" i="92"/>
  <c r="B1855" i="92"/>
  <c r="B1949" i="92"/>
  <c r="B1868" i="92"/>
  <c r="B1876" i="92"/>
  <c r="B1860" i="92"/>
  <c r="B1856" i="92"/>
  <c r="C1882" i="92"/>
  <c r="C1860" i="92"/>
  <c r="C1856" i="92"/>
  <c r="C1855" i="92"/>
  <c r="C1867" i="92"/>
  <c r="B1857" i="92"/>
  <c r="C1868" i="92"/>
  <c r="B1867" i="92"/>
  <c r="C1857" i="92"/>
  <c r="C1881" i="92"/>
  <c r="C1949" i="92"/>
  <c r="E222" i="94" l="1"/>
  <c r="AB37" i="97" s="1"/>
  <c r="D499" i="97" s="1"/>
  <c r="E221" i="94"/>
  <c r="AA37" i="97" s="1"/>
  <c r="D497" i="97" s="1"/>
  <c r="K180" i="94"/>
  <c r="T15" i="94" l="1"/>
  <c r="T13" i="94"/>
  <c r="T14" i="94"/>
  <c r="T12" i="94"/>
  <c r="E192" i="99" a="1"/>
  <c r="L60" i="99" a="1"/>
  <c r="AD165" i="99" a="1"/>
  <c r="AC377" i="99" a="1"/>
  <c r="CF219" i="99" a="1"/>
  <c r="AF377" i="99" a="1"/>
  <c r="D93" i="99" a="1"/>
  <c r="AS219" i="99" a="1"/>
  <c r="AI190" i="99" a="1"/>
  <c r="V383" i="99" a="1"/>
  <c r="W362" i="99" a="1"/>
  <c r="AD398" i="99" a="1"/>
  <c r="Q244" i="99" a="1"/>
  <c r="AB190" i="99" a="1"/>
  <c r="BG224" i="99" a="1"/>
  <c r="P6" i="99" a="1"/>
  <c r="I305" i="99" a="1"/>
  <c r="M341" i="99" a="1"/>
  <c r="C612" i="92"/>
  <c r="D145" i="99" a="1"/>
  <c r="N165" i="99" a="1"/>
  <c r="AN223" i="99" a="1"/>
  <c r="AD377" i="99" a="1"/>
  <c r="AO223" i="99" a="1"/>
  <c r="X169" i="99" a="1"/>
  <c r="AI60" i="99" a="1"/>
  <c r="O271" i="99" a="1"/>
  <c r="AG165" i="99" a="1"/>
  <c r="I360" i="99" a="1"/>
  <c r="G360" i="99" a="1"/>
  <c r="D15" i="99" a="1"/>
  <c r="Q114" i="99" a="1"/>
  <c r="BH219" i="99" a="1"/>
  <c r="B613" i="92"/>
  <c r="AE35" i="99" a="1"/>
  <c r="J341" i="99" a="1"/>
  <c r="BI219" i="99" a="1"/>
  <c r="AY219" i="99" a="1"/>
  <c r="B616" i="92"/>
  <c r="P190" i="99" a="1"/>
  <c r="D324" i="99" a="1"/>
  <c r="U381" i="99" a="1"/>
  <c r="N4" i="99" a="1"/>
  <c r="AN224" i="99" a="1"/>
  <c r="AA165" i="99" a="1"/>
  <c r="H35" i="99" a="1"/>
  <c r="G398" i="99" a="1"/>
  <c r="CC219" i="99" a="1"/>
  <c r="N244" i="99" a="1"/>
  <c r="AF35" i="99" a="1"/>
  <c r="N8" i="99" a="1"/>
  <c r="E169" i="99" a="1"/>
  <c r="W39" i="99" a="1"/>
  <c r="F356" i="99" a="1"/>
  <c r="Y13" i="99" a="1"/>
  <c r="BN219" i="99" a="1"/>
  <c r="E382" i="99" a="1"/>
  <c r="BZ219" i="99" a="1"/>
  <c r="D290" i="99" a="1"/>
  <c r="I114" i="99" a="1"/>
  <c r="M165" i="99" a="1"/>
  <c r="AG271" i="99" a="1"/>
  <c r="O305" i="99" a="1"/>
  <c r="AF143" i="99" a="1"/>
  <c r="V401" i="99" a="1"/>
  <c r="W382" i="99" a="1"/>
  <c r="L165" i="99" a="1"/>
  <c r="L190" i="99" a="1"/>
  <c r="C343" i="99" a="1"/>
  <c r="AB377" i="99" a="1"/>
  <c r="AE190" i="99" a="1"/>
  <c r="V37" i="99" a="1"/>
  <c r="BP219" i="99" a="1"/>
  <c r="N322" i="99" a="1"/>
  <c r="BF224" i="99" a="1"/>
  <c r="Z219" i="99" a="1"/>
  <c r="B611" i="92"/>
  <c r="H165" i="99" a="1"/>
  <c r="K377" i="99" a="1"/>
  <c r="L244" i="99" a="1"/>
  <c r="V223" i="99" a="1"/>
  <c r="H190" i="99" a="1"/>
  <c r="N5" i="99" a="1"/>
  <c r="K190" i="99" a="1"/>
  <c r="I13" i="99" a="1"/>
  <c r="J62" i="99" a="1"/>
  <c r="D356" i="99" a="1"/>
  <c r="E324" i="99" a="1"/>
  <c r="Z271" i="99" a="1"/>
  <c r="D402" i="99" a="1"/>
  <c r="AE89" i="99" a="1"/>
  <c r="I190" i="99" a="1"/>
  <c r="U383" i="99" a="1"/>
  <c r="D192" i="99" a="1"/>
  <c r="J271" i="99" a="1"/>
  <c r="AO224" i="99" a="1"/>
  <c r="BR219" i="99" a="1"/>
  <c r="AC143" i="99" a="1"/>
  <c r="W273" i="99" a="1"/>
  <c r="F337" i="99" a="1"/>
  <c r="W116" i="99"/>
  <c r="J190" i="99" a="1"/>
  <c r="Q165" i="99" a="1"/>
  <c r="AD114" i="99" a="1"/>
  <c r="AZ219" i="99" a="1"/>
  <c r="F39" i="99" a="1"/>
  <c r="E249" i="99" a="1"/>
  <c r="M322" i="99" a="1"/>
  <c r="K271" i="99" a="1"/>
  <c r="N7" i="99" a="1"/>
  <c r="D403" i="99" a="1"/>
  <c r="G91" i="99" a="1"/>
  <c r="G244" i="99" a="1"/>
  <c r="AB398" i="99" a="1"/>
  <c r="E380" i="99" a="1"/>
  <c r="AF165" i="99" a="1"/>
  <c r="Y62" i="99"/>
  <c r="C616" i="92"/>
  <c r="H305" i="99" a="1"/>
  <c r="AC219" i="99" a="1"/>
  <c r="E290" i="99" a="1"/>
  <c r="I60" i="99" a="1"/>
  <c r="K221" i="99" a="1"/>
  <c r="N9" i="99" a="1"/>
  <c r="F93" i="99" a="1"/>
  <c r="AE360" i="99" a="1"/>
  <c r="AB60" i="99" a="1"/>
  <c r="B614" i="92"/>
  <c r="D273" i="99" a="1"/>
  <c r="F248" i="99" a="1"/>
  <c r="D248" i="99" a="1"/>
  <c r="Y219" i="99" a="1"/>
  <c r="Y89" i="99" a="1"/>
  <c r="C380" i="99" a="1"/>
  <c r="B615" i="92"/>
  <c r="AC271" i="99" a="1"/>
  <c r="AA114" i="99" a="1"/>
  <c r="BW221" i="99" a="1"/>
  <c r="E116" i="99"/>
  <c r="W167" i="99" a="1"/>
  <c r="AD190" i="99" a="1"/>
  <c r="Z60" i="99" a="1"/>
  <c r="E356" i="99" a="1"/>
  <c r="C381" i="99" a="1"/>
  <c r="E381" i="99" a="1"/>
  <c r="AA219" i="99" a="1"/>
  <c r="H60" i="99" a="1"/>
  <c r="C613" i="92"/>
  <c r="V15" i="99" a="1"/>
  <c r="M377" i="99" a="1"/>
  <c r="M60" i="99" a="1"/>
  <c r="M271" i="99" a="1"/>
  <c r="Y167" i="99" a="1"/>
  <c r="H341" i="99" a="1"/>
  <c r="G271" i="99" a="1"/>
  <c r="J398" i="99" a="1"/>
  <c r="BV221" i="99" a="1"/>
  <c r="CD219" i="99" a="1"/>
  <c r="N305" i="99" a="1"/>
  <c r="G60" i="99" a="1"/>
  <c r="C614" i="92"/>
  <c r="H398" i="99" a="1"/>
  <c r="BX221" i="99" a="1"/>
  <c r="F192" i="99"/>
  <c r="E419" i="99" a="1"/>
  <c r="X62" i="99" a="1"/>
  <c r="W224" i="99" a="1"/>
  <c r="J143" i="99" a="1"/>
  <c r="D62" i="99" a="1"/>
  <c r="AO221" i="99" a="1"/>
  <c r="W192" i="99" a="1"/>
  <c r="Y37" i="99" a="1"/>
  <c r="Z35" i="99" a="1"/>
  <c r="H244" i="99" a="1"/>
  <c r="L35" i="99" a="1"/>
  <c r="E221" i="99" a="1"/>
  <c r="BW223" i="99" a="1"/>
  <c r="E273" i="99" a="1"/>
  <c r="AE165" i="99" a="1"/>
  <c r="G322" i="99" a="1"/>
  <c r="AA143" i="99" a="1"/>
  <c r="Z398" i="99" a="1"/>
  <c r="K13" i="99" a="1"/>
  <c r="J60" i="99" a="1"/>
  <c r="H114" i="99" a="1"/>
  <c r="AB143" i="99" a="1"/>
  <c r="C611" i="92"/>
  <c r="J305" i="99" a="1"/>
  <c r="AC360" i="99" a="1"/>
  <c r="L114" i="99" a="1"/>
  <c r="K165" i="99" a="1"/>
  <c r="K288" i="99" a="1"/>
  <c r="AD271" i="99" a="1"/>
  <c r="E91" i="99" a="1"/>
  <c r="AA271" i="99" a="1"/>
  <c r="M244" i="99" a="1"/>
  <c r="AX219" i="99" a="1"/>
  <c r="AE377" i="99" a="1"/>
  <c r="AC114" i="99" a="1"/>
  <c r="Z114" i="99" a="1"/>
  <c r="M305" i="99" a="1"/>
  <c r="G190" i="99" a="1"/>
  <c r="K341" i="99" a="1"/>
  <c r="F223" i="99" a="1"/>
  <c r="AB89" i="99" a="1"/>
  <c r="N114" i="99" a="1"/>
  <c r="F221" i="99" a="1"/>
  <c r="AI89" i="99" a="1"/>
  <c r="AD360" i="99" a="1"/>
  <c r="I143" i="99" a="1"/>
  <c r="Z143" i="99" a="1"/>
  <c r="O288" i="99" a="1"/>
  <c r="AG219" i="99" a="1"/>
  <c r="AN221" i="99" a="1"/>
  <c r="AA398" i="99" a="1"/>
  <c r="E167" i="99" a="1"/>
  <c r="N6" i="99" a="1"/>
  <c r="D37" i="99" a="1"/>
  <c r="P244" i="99" a="1"/>
  <c r="P7" i="99" a="1"/>
  <c r="D223" i="99" a="1"/>
  <c r="L288" i="99" a="1"/>
  <c r="AE219" i="99" a="1"/>
  <c r="D383" i="99" a="1"/>
  <c r="M35" i="99" a="1"/>
  <c r="H89" i="99" a="1"/>
  <c r="J377" i="99" a="1"/>
  <c r="X377" i="99" a="1"/>
  <c r="Y271" i="99" a="1"/>
  <c r="AA89" i="99" a="1"/>
  <c r="E343" i="99" a="1"/>
  <c r="H377" i="99" a="1"/>
  <c r="D379" i="99" a="1"/>
  <c r="AF89" i="99" a="1"/>
  <c r="D381" i="99" a="1"/>
  <c r="D404" i="99" a="1"/>
  <c r="J360" i="99" a="1"/>
  <c r="AI219" i="99" a="1"/>
  <c r="Y192" i="99" a="1"/>
  <c r="AT219" i="99" a="1"/>
  <c r="CE219" i="99" a="1"/>
  <c r="AG190" i="99" a="1"/>
  <c r="X398" i="99" a="1"/>
  <c r="AE60" i="99" a="1"/>
  <c r="V167" i="99" a="1"/>
  <c r="L322" i="99" a="1"/>
  <c r="I219" i="99" a="1"/>
  <c r="J244" i="99" a="1"/>
  <c r="W398" i="99" a="1"/>
  <c r="H219" i="99" a="1"/>
  <c r="BG221" i="99" a="1"/>
  <c r="K219" i="99" a="1"/>
  <c r="B610" i="92"/>
  <c r="AA190" i="99" a="1"/>
  <c r="D39" i="99" a="1"/>
  <c r="Y190" i="99" a="1"/>
  <c r="X192" i="99"/>
  <c r="M398" i="99" a="1"/>
  <c r="U273" i="99" a="1"/>
  <c r="B612" i="92"/>
  <c r="N219" i="99" a="1"/>
  <c r="Y114" i="99" a="1"/>
  <c r="BK219" i="99" a="1"/>
  <c r="C379" i="99" a="1"/>
  <c r="H143" i="99" a="1"/>
  <c r="D362" i="99" a="1"/>
  <c r="CI219" i="99" a="1"/>
  <c r="N35" i="99" a="1"/>
  <c r="I288" i="99" a="1"/>
  <c r="BW224" i="99" a="1"/>
  <c r="C91" i="99" a="1"/>
  <c r="I89" i="99" a="1"/>
  <c r="BM219" i="99" a="1"/>
  <c r="V362" i="99" a="1"/>
  <c r="V221" i="99" a="1"/>
  <c r="AV219" i="99" a="1"/>
  <c r="W221" i="99" a="1"/>
  <c r="X167" i="99" a="1"/>
  <c r="D343" i="99" a="1"/>
  <c r="BX223" i="99" a="1"/>
  <c r="AA377" i="99" a="1"/>
  <c r="P219" i="99" a="1"/>
  <c r="I271" i="99" a="1"/>
  <c r="AC60" i="99" a="1"/>
  <c r="AI165" i="99" a="1"/>
  <c r="BI221" i="99" a="1"/>
  <c r="BV223" i="99" a="1"/>
  <c r="D169" i="99" a="1"/>
  <c r="AC221" i="99" a="1"/>
  <c r="AI114" i="99" a="1"/>
  <c r="L13" i="99" a="1"/>
  <c r="V403" i="99" a="1"/>
  <c r="Y377" i="99" a="1"/>
  <c r="O190" i="99" a="1"/>
  <c r="N89" i="99" a="1"/>
  <c r="M114" i="99" a="1"/>
  <c r="C382" i="99" a="1"/>
  <c r="M13" i="99" a="1"/>
  <c r="D167" i="99" a="1"/>
  <c r="M219" i="99" a="1"/>
  <c r="AD219" i="99" a="1"/>
  <c r="BQ219" i="99" a="1"/>
  <c r="U382" i="99" a="1"/>
  <c r="G116" i="99" a="1"/>
  <c r="Y60" i="99" a="1"/>
  <c r="Y360" i="99" a="1"/>
  <c r="G89" i="99" a="1"/>
  <c r="X224" i="99" a="1"/>
  <c r="F377" i="99" a="1"/>
  <c r="D246" i="99" a="1"/>
  <c r="G219" i="99" a="1"/>
  <c r="BF221" i="99" a="1"/>
  <c r="K360" i="99" a="1"/>
  <c r="AD89" i="99" a="1"/>
  <c r="D116" i="99" a="1"/>
  <c r="AB360" i="99" a="1"/>
  <c r="BL219" i="99" a="1"/>
  <c r="W93" i="99" a="1"/>
  <c r="M288" i="99" a="1"/>
  <c r="W37" i="99" a="1"/>
  <c r="AF271" i="99" a="1"/>
  <c r="P4" i="99" a="1"/>
  <c r="L305" i="99" a="1"/>
  <c r="F419" i="99" a="1"/>
  <c r="D224" i="99" a="1"/>
  <c r="BE223" i="99" a="1"/>
  <c r="C383" i="99" a="1"/>
  <c r="H360" i="99" a="1"/>
  <c r="AB165" i="99" a="1"/>
  <c r="G167" i="99" a="1"/>
  <c r="C356" i="99" a="1"/>
  <c r="Q219" i="99" a="1"/>
  <c r="H288" i="99" a="1"/>
  <c r="M360" i="99" a="1"/>
  <c r="C273" i="99" a="1"/>
  <c r="D249" i="99" a="1"/>
  <c r="D91" i="99" a="1"/>
  <c r="L89" i="99" a="1"/>
  <c r="V62" i="99" a="1"/>
  <c r="AR219" i="99" a="1"/>
  <c r="AW219" i="99" a="1"/>
  <c r="W379" i="99" a="1"/>
  <c r="J219" i="99" a="1"/>
  <c r="BO219" i="99" a="1"/>
  <c r="AC398" i="99" a="1"/>
  <c r="AB62" i="99" a="1"/>
  <c r="AE271" i="99" a="1"/>
  <c r="F224" i="99" a="1"/>
  <c r="L341" i="99" a="1"/>
  <c r="Z89" i="99" a="1"/>
  <c r="N60" i="99" a="1"/>
  <c r="L398" i="99" a="1"/>
  <c r="AA13" i="99" a="1"/>
  <c r="Z221" i="99" a="1"/>
  <c r="E223" i="99" a="1"/>
  <c r="D221" i="99" a="1"/>
  <c r="V379" i="99" a="1"/>
  <c r="E383" i="99" a="1"/>
  <c r="Q60" i="99" a="1"/>
  <c r="J89" i="99" a="1"/>
  <c r="D401" i="99" a="1"/>
  <c r="AU219" i="99" a="1"/>
  <c r="H221" i="99" a="1"/>
  <c r="AH165" i="99" a="1"/>
  <c r="N341" i="99" a="1"/>
  <c r="C324" i="99" a="1"/>
  <c r="Y91" i="99" a="1"/>
  <c r="AH143" i="99" a="1"/>
  <c r="V116" i="99" a="1"/>
  <c r="F167" i="99" a="1"/>
  <c r="H356" i="99" a="1"/>
  <c r="AP223" i="99" a="1"/>
  <c r="K398" i="99" a="1"/>
  <c r="U380" i="99" a="1"/>
  <c r="AD35" i="99" a="1"/>
  <c r="AF114" i="99" a="1"/>
  <c r="C610" i="92"/>
  <c r="AE13" i="99" a="1"/>
  <c r="G337" i="99" a="1"/>
  <c r="L219" i="99" a="1"/>
  <c r="Z360" i="99" a="1"/>
  <c r="N271" i="99" a="1"/>
  <c r="H13" i="99" a="1"/>
  <c r="G35" i="99" a="1"/>
  <c r="Q89" i="99" a="1"/>
  <c r="AP221" i="99" a="1"/>
  <c r="I244" i="99" a="1"/>
  <c r="I398" i="99" a="1"/>
  <c r="AB37" i="99" a="1"/>
  <c r="G288" i="99" a="1"/>
  <c r="AA360" i="99" a="1"/>
  <c r="W383" i="99" a="1"/>
  <c r="E398" i="99" a="1"/>
  <c r="Y116" i="99" a="1"/>
  <c r="V145" i="99" a="1"/>
  <c r="AE398" i="99" a="1"/>
  <c r="Z13" i="99" a="1"/>
  <c r="N190" i="99" a="1"/>
  <c r="P165" i="99" a="1"/>
  <c r="CG219" i="99" a="1"/>
  <c r="L143" i="99" a="1"/>
  <c r="F249" i="99" a="1"/>
  <c r="J37" i="99" a="1"/>
  <c r="G246" i="99" a="1"/>
  <c r="AG143" i="99" a="1"/>
  <c r="AB13" i="99" a="1"/>
  <c r="K35" i="99" a="1"/>
  <c r="J35" i="99" a="1"/>
  <c r="F169" i="99" a="1"/>
  <c r="O165" i="99" a="1"/>
  <c r="BL221" i="99" a="1"/>
  <c r="G341" i="99" a="1"/>
  <c r="BG223" i="99" a="1"/>
  <c r="G356" i="99" a="1"/>
  <c r="C615" i="92"/>
  <c r="V404" i="99" a="1"/>
  <c r="J114" i="99" a="1"/>
  <c r="J13" i="99" a="1"/>
  <c r="J322" i="99" a="1"/>
  <c r="G62" i="99"/>
  <c r="W223" i="99" a="1"/>
  <c r="V381" i="99" a="1"/>
  <c r="I165" i="99" a="1"/>
  <c r="F37" i="99" a="1"/>
  <c r="AH219" i="99" a="1"/>
  <c r="AD13" i="99" a="1"/>
  <c r="U379" i="99" a="1"/>
  <c r="CC221" i="99" a="1"/>
  <c r="O219" i="99" a="1"/>
  <c r="AA60" i="99" a="1"/>
  <c r="I341" i="99" a="1"/>
  <c r="E248" i="99" a="1"/>
  <c r="P143" i="99" a="1"/>
  <c r="W62" i="99" a="1"/>
  <c r="E337" i="99" a="1"/>
  <c r="AD143" i="99" a="1"/>
  <c r="V382" i="99" a="1"/>
  <c r="G419" i="99" a="1"/>
  <c r="E379" i="99" a="1"/>
  <c r="AF219" i="99" a="1"/>
  <c r="V192" i="99" a="1"/>
  <c r="K244" i="99" a="1"/>
  <c r="Y35" i="99" a="1"/>
  <c r="P13" i="99" a="1"/>
  <c r="Z165" i="99" a="1"/>
  <c r="BE224" i="99" a="1"/>
  <c r="V93" i="99" a="1"/>
  <c r="Q190" i="99" a="1"/>
  <c r="I322" i="99" a="1"/>
  <c r="U91" i="99" a="1"/>
  <c r="C362" i="99" a="1"/>
  <c r="L360" i="99" a="1"/>
  <c r="G13" i="99" a="1"/>
  <c r="AC190" i="99" a="1"/>
  <c r="G192" i="99" a="1"/>
  <c r="K114" i="99" a="1"/>
  <c r="AI35" i="99" a="1"/>
  <c r="Q35" i="99" a="1"/>
  <c r="W380" i="99" a="1"/>
  <c r="AF60" i="99" a="1"/>
  <c r="G114" i="99" a="1"/>
  <c r="D380" i="99" a="1"/>
  <c r="G305" i="99" a="1"/>
  <c r="CH219" i="99" a="1"/>
  <c r="J419" i="99" a="1"/>
  <c r="G165" i="99" a="1"/>
  <c r="BV224" i="99" a="1"/>
  <c r="X93" i="99" a="1"/>
  <c r="AH190" i="99" a="1"/>
  <c r="Y165" i="99" a="1"/>
  <c r="AF190" i="99" a="1"/>
  <c r="C337" i="99" a="1"/>
  <c r="C290" i="99" a="1"/>
  <c r="P305" i="99" a="1"/>
  <c r="M89" i="99" a="1"/>
  <c r="E377" i="99" a="1"/>
  <c r="AB271" i="99" a="1"/>
  <c r="E93" i="99" a="1"/>
  <c r="V91" i="99" a="1"/>
  <c r="AC165" i="99" a="1"/>
  <c r="AH13" i="99" a="1"/>
  <c r="K60" i="99" a="1"/>
  <c r="V224" i="99" a="1"/>
  <c r="CB219" i="99" a="1"/>
  <c r="W91" i="99" a="1"/>
  <c r="CA219" i="99" a="1"/>
  <c r="E246" i="99" a="1"/>
  <c r="G37" i="99" a="1"/>
  <c r="G377" i="99" a="1"/>
  <c r="I35" i="99" a="1"/>
  <c r="Y143" i="99" a="1"/>
  <c r="BZ221" i="99" a="1"/>
  <c r="AE114" i="99" a="1"/>
  <c r="W381" i="99" a="1"/>
  <c r="W377" i="99" a="1"/>
  <c r="M190" i="99" a="1"/>
  <c r="K305" i="99" a="1"/>
  <c r="E37" i="99" a="1"/>
  <c r="AB219" i="99" a="1"/>
  <c r="K322" i="99" a="1"/>
  <c r="AC89" i="99" a="1"/>
  <c r="N288" i="99" a="1"/>
  <c r="Z377" i="99" a="1"/>
  <c r="AR221" i="99" a="1"/>
  <c r="K143" i="99" a="1"/>
  <c r="X221" i="99" a="1"/>
  <c r="V380" i="99" a="1"/>
  <c r="Z190" i="99" a="1"/>
  <c r="M143" i="99" a="1"/>
  <c r="AE143" i="99" a="1"/>
  <c r="V273" i="99" a="1"/>
  <c r="V402" i="99" a="1"/>
  <c r="BA219" i="99" a="1"/>
  <c r="E62" i="99" a="1"/>
  <c r="X223" i="99" a="1"/>
  <c r="I377" i="99" a="1"/>
  <c r="F62" i="99" a="1"/>
  <c r="V169" i="99" a="1"/>
  <c r="H271" i="99" a="1"/>
  <c r="E39" i="99" a="1"/>
  <c r="E362" i="99" a="1"/>
  <c r="P5" i="99" a="1"/>
  <c r="X39" i="99" a="1"/>
  <c r="H337" i="99" a="1"/>
  <c r="K89" i="99" a="1"/>
  <c r="AD60" i="99" a="1"/>
  <c r="AU221" i="99" a="1"/>
  <c r="L271" i="99" a="1"/>
  <c r="K4" i="99" a="1"/>
  <c r="J165" i="99" a="1"/>
  <c r="J288" i="99" a="1"/>
  <c r="W169" i="99" a="1"/>
  <c r="O244" i="99" a="1"/>
  <c r="F246" i="99" a="1"/>
  <c r="BJ219" i="99" a="1"/>
  <c r="AC13" i="99" a="1"/>
  <c r="D337" i="99" a="1"/>
  <c r="D307" i="99" a="1"/>
  <c r="BX224" i="99" a="1"/>
  <c r="Y398" i="99" a="1"/>
  <c r="F398" i="99" a="1"/>
  <c r="G143" i="99" a="1"/>
  <c r="U362" i="99" a="1"/>
  <c r="N377" i="99" a="1"/>
  <c r="BY219" i="99" a="1"/>
  <c r="AB114" i="99" a="1"/>
  <c r="AP224" i="99" a="1"/>
  <c r="V39" i="99" a="1"/>
  <c r="BE221" i="99" a="1"/>
  <c r="BF223" i="99" a="1"/>
  <c r="L377" i="99" a="1"/>
  <c r="E224" i="99" a="1"/>
  <c r="AB35" i="99" a="1"/>
  <c r="AQ219" i="99" a="1"/>
  <c r="D382" i="99" a="1"/>
  <c r="H322"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Z13" i="97" l="1"/>
  <c r="T163" i="97" s="1"/>
  <c r="Z12" i="97"/>
  <c r="Z11" i="97"/>
  <c r="Z10" i="97"/>
  <c r="T117" i="97" s="1"/>
  <c r="Z9" i="97"/>
  <c r="T103" i="97" s="1"/>
  <c r="V118" i="99"/>
  <c r="F118" i="99"/>
  <c r="D118" i="99"/>
  <c r="X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C1854" i="92"/>
  <c r="C1851" i="92"/>
  <c r="C1850" i="92"/>
  <c r="B1854" i="92"/>
  <c r="B1851" i="92"/>
  <c r="B1850"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115" i="94"/>
  <c r="B1872" i="92"/>
  <c r="C1846" i="92"/>
  <c r="B1873" i="92"/>
  <c r="C1945" i="92"/>
  <c r="B1847" i="92"/>
  <c r="B1844" i="92"/>
  <c r="C1946" i="92"/>
  <c r="C1872" i="92"/>
  <c r="B1945" i="92"/>
  <c r="B1846" i="92"/>
  <c r="C1844" i="92"/>
  <c r="C1845" i="92"/>
  <c r="B1946" i="92"/>
  <c r="C1847" i="92"/>
  <c r="B1845" i="92"/>
  <c r="C1873" i="92"/>
  <c r="K215" i="94" l="1"/>
  <c r="G187" i="94"/>
  <c r="B37" i="65" l="1"/>
  <c r="N182" i="94"/>
  <c r="U23" i="12"/>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S113" i="94"/>
  <c r="J103" i="94"/>
  <c r="S99" i="94"/>
  <c r="S85" i="94"/>
  <c r="I80" i="94"/>
  <c r="J75" i="94"/>
  <c r="S71" i="94"/>
  <c r="I66" i="94"/>
  <c r="S57" i="94"/>
  <c r="I52" i="94"/>
  <c r="J48" i="94"/>
  <c r="S43" i="94"/>
  <c r="I38" i="94"/>
  <c r="J34" i="94"/>
  <c r="S29" i="94"/>
  <c r="I24" i="94"/>
  <c r="R41" i="72" l="1"/>
  <c r="R46" i="72"/>
  <c r="R47" i="72"/>
  <c r="R40" i="72"/>
  <c r="R42" i="72"/>
  <c r="R43" i="72"/>
  <c r="R44" i="72"/>
  <c r="R45" i="72"/>
  <c r="R39" i="72"/>
  <c r="O171" i="94"/>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14" i="75" l="1"/>
  <c r="AP15"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W13" i="75" l="1"/>
  <c r="W12" i="75"/>
  <c r="W11" i="75"/>
  <c r="W10" i="75"/>
  <c r="AY15" i="75"/>
  <c r="AX15" i="75"/>
  <c r="W15" i="75"/>
  <c r="W9" i="75"/>
  <c r="AY14" i="75"/>
  <c r="AX14" i="75"/>
  <c r="W14" i="75"/>
  <c r="O14" i="75"/>
  <c r="L14" i="75"/>
  <c r="O15" i="75"/>
  <c r="L15" i="75"/>
  <c r="AR10" i="75"/>
  <c r="AP10" i="75" s="1"/>
  <c r="M10" i="75"/>
  <c r="AR13" i="75"/>
  <c r="AP13" i="75" s="1"/>
  <c r="M13" i="75"/>
  <c r="AR9" i="75"/>
  <c r="AP9" i="75" s="1"/>
  <c r="M9" i="75"/>
  <c r="AR14" i="75"/>
  <c r="M14" i="75"/>
  <c r="M6" i="75"/>
  <c r="AR6" i="75"/>
  <c r="AP6" i="75" s="1"/>
  <c r="M12" i="75"/>
  <c r="AR12" i="75"/>
  <c r="AP12" i="75" s="1"/>
  <c r="AR8" i="75"/>
  <c r="AP8" i="75" s="1"/>
  <c r="M8" i="75"/>
  <c r="M15" i="75"/>
  <c r="AR15" i="75"/>
  <c r="M11" i="75"/>
  <c r="AR11" i="75"/>
  <c r="AP11" i="75" s="1"/>
  <c r="M7" i="75"/>
  <c r="AR7" i="75"/>
  <c r="AP7" i="75" s="1"/>
  <c r="AS14" i="75"/>
  <c r="AT14" i="75" s="1"/>
  <c r="AU14" i="75" s="1"/>
  <c r="AW14" i="75"/>
  <c r="AV14" i="75"/>
  <c r="BC14" i="75"/>
  <c r="AS10" i="75"/>
  <c r="AT10" i="75" s="1"/>
  <c r="AW10" i="75"/>
  <c r="BC10" i="75"/>
  <c r="AV10" i="75"/>
  <c r="AS13" i="75"/>
  <c r="AT13" i="75" s="1"/>
  <c r="AW13" i="75"/>
  <c r="BC13" i="75"/>
  <c r="AV13" i="75"/>
  <c r="AS9" i="75"/>
  <c r="AT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W7" i="75"/>
  <c r="AQ15" i="75"/>
  <c r="AQ10" i="75"/>
  <c r="AQ13" i="75"/>
  <c r="AQ9" i="75"/>
  <c r="AQ14" i="75"/>
  <c r="AQ6" i="75"/>
  <c r="AQ12" i="75"/>
  <c r="AQ8" i="75"/>
  <c r="AQ11" i="75"/>
  <c r="AQ7" i="75"/>
  <c r="H75" i="59"/>
  <c r="H74" i="59"/>
  <c r="H76" i="59"/>
  <c r="H73" i="59"/>
  <c r="D4" i="74"/>
  <c r="C19" i="43"/>
  <c r="AU10" i="75" l="1"/>
  <c r="AY10" i="75" s="1"/>
  <c r="AU9" i="75"/>
  <c r="AY9" i="75" s="1"/>
  <c r="AU7" i="75"/>
  <c r="AY7" i="75" s="1"/>
  <c r="AU13" i="75"/>
  <c r="AY13" i="75" s="1"/>
  <c r="AX13" i="75"/>
  <c r="AX9" i="75"/>
  <c r="AX10" i="75"/>
  <c r="AX7" i="75"/>
  <c r="BC16" i="75"/>
  <c r="L4" i="94"/>
  <c r="L3" i="94" s="1"/>
  <c r="AZ11" i="75"/>
  <c r="AZ10" i="75"/>
  <c r="AZ15" i="75"/>
  <c r="BA15" i="75" s="1"/>
  <c r="AZ8" i="75"/>
  <c r="AZ12" i="75"/>
  <c r="AZ9" i="75"/>
  <c r="AZ13" i="75"/>
  <c r="AZ14" i="75"/>
  <c r="BB14" i="75" s="1"/>
  <c r="BD14" i="75" s="1"/>
  <c r="AT11" i="75"/>
  <c r="AT15" i="75"/>
  <c r="AU15" i="75" s="1"/>
  <c r="AT8" i="75"/>
  <c r="AT12" i="75"/>
  <c r="AT6" i="75"/>
  <c r="AZ7" i="75"/>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B10" i="75" l="1"/>
  <c r="BD10" i="75" s="1"/>
  <c r="BA7" i="75"/>
  <c r="BA9" i="75"/>
  <c r="BA13" i="75"/>
  <c r="AU11" i="75"/>
  <c r="AY11" i="75" s="1"/>
  <c r="BB11" i="75" s="1"/>
  <c r="BD11" i="75" s="1"/>
  <c r="AX11" i="75"/>
  <c r="BA11" i="75" s="1"/>
  <c r="AU12" i="75"/>
  <c r="AY12" i="75" s="1"/>
  <c r="BB12" i="75" s="1"/>
  <c r="BD12" i="75" s="1"/>
  <c r="AX12" i="75"/>
  <c r="BA12" i="75" s="1"/>
  <c r="AU8" i="75"/>
  <c r="AY8" i="75" s="1"/>
  <c r="BB8" i="75" s="1"/>
  <c r="BD8" i="75" s="1"/>
  <c r="AX8" i="75"/>
  <c r="BA8" i="75" s="1"/>
  <c r="AU6" i="75"/>
  <c r="AY6" i="75" s="1"/>
  <c r="BB6" i="75" s="1"/>
  <c r="AX6" i="75"/>
  <c r="BA6" i="75" s="1"/>
  <c r="BA10" i="75"/>
  <c r="BB15" i="75"/>
  <c r="BD15" i="75" s="1"/>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AN13" i="75" s="1"/>
  <c r="K9" i="75"/>
  <c r="AM9" i="75" s="1"/>
  <c r="AN9" i="75" s="1"/>
  <c r="K12" i="75"/>
  <c r="AM12" i="75" s="1"/>
  <c r="AN12" i="75" s="1"/>
  <c r="K8" i="75"/>
  <c r="K15" i="75"/>
  <c r="AM15" i="75" s="1"/>
  <c r="K11" i="75"/>
  <c r="AM11" i="75" s="1"/>
  <c r="AN11" i="75" s="1"/>
  <c r="K7" i="75"/>
  <c r="K14" i="75"/>
  <c r="AM14" i="75" s="1"/>
  <c r="K10" i="75"/>
  <c r="AM10" i="75" s="1"/>
  <c r="AN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H29" i="72" s="1"/>
  <c r="EP29" i="72" s="1" a="1"/>
  <c r="EP29" i="72" s="1"/>
  <c r="EG18" i="72" a="1"/>
  <c r="EG18" i="72" s="1"/>
  <c r="EG24" i="72" a="1"/>
  <c r="EG24" i="72" s="1"/>
  <c r="EH24" i="72" s="1"/>
  <c r="EP24" i="72" s="1" a="1"/>
  <c r="EP24" i="72" s="1"/>
  <c r="EG19" i="72" a="1"/>
  <c r="EG19" i="72" s="1"/>
  <c r="EH19" i="72" s="1"/>
  <c r="EP19" i="72" s="1" a="1"/>
  <c r="EP19" i="72" s="1"/>
  <c r="EG20" i="72" a="1"/>
  <c r="EG20" i="72" s="1"/>
  <c r="EG22" i="72" a="1"/>
  <c r="EG22" i="72" s="1"/>
  <c r="EH22" i="72" s="1"/>
  <c r="EP22" i="72" s="1" a="1"/>
  <c r="EP22" i="72" s="1"/>
  <c r="EG31" i="72" a="1"/>
  <c r="EG31" i="72" s="1"/>
  <c r="EG28" i="72" a="1"/>
  <c r="EG28" i="72" s="1"/>
  <c r="EG16" i="72" a="1"/>
  <c r="EG16" i="72" s="1"/>
  <c r="EH16" i="72" s="1"/>
  <c r="EP16" i="72" s="1" a="1"/>
  <c r="EP16" i="72" s="1"/>
  <c r="EG27" i="72" a="1"/>
  <c r="EG27" i="72" s="1"/>
  <c r="EG25" i="72" a="1"/>
  <c r="EG25" i="72" s="1"/>
  <c r="EH25" i="72" s="1"/>
  <c r="EP25" i="72" s="1" a="1"/>
  <c r="EP25" i="72" s="1"/>
  <c r="EG30" i="72" a="1"/>
  <c r="EG30" i="72" s="1"/>
  <c r="EH30" i="72" s="1"/>
  <c r="EP30" i="72" s="1" a="1"/>
  <c r="EP30" i="72" s="1"/>
  <c r="EG14" i="72" a="1"/>
  <c r="EG14" i="72" s="1"/>
  <c r="EH14" i="72" s="1"/>
  <c r="EP14" i="72" s="1" a="1"/>
  <c r="EP14" i="72" s="1"/>
  <c r="EG33" i="72" a="1"/>
  <c r="EG33" i="72" s="1"/>
  <c r="EH33" i="72" s="1"/>
  <c r="EP33" i="72" s="1" a="1"/>
  <c r="EP33" i="72" s="1"/>
  <c r="EG15" i="72" a="1"/>
  <c r="EG15" i="72" s="1"/>
  <c r="EH15" i="72" s="1"/>
  <c r="EP15" i="72" s="1" a="1"/>
  <c r="EP15" i="72" s="1"/>
  <c r="EG32" i="72" a="1"/>
  <c r="EG32" i="72" s="1"/>
  <c r="EH32" i="72" s="1"/>
  <c r="EP32" i="72" s="1" a="1"/>
  <c r="EP32" i="72" s="1"/>
  <c r="EG26" i="72" a="1"/>
  <c r="EG26" i="72" s="1"/>
  <c r="EH26" i="72" s="1"/>
  <c r="EP26" i="72" s="1" a="1"/>
  <c r="EP26" i="72" s="1"/>
  <c r="EG34" i="72" a="1"/>
  <c r="EG34" i="72" s="1"/>
  <c r="EH34" i="72" s="1"/>
  <c r="EP34" i="72" s="1" a="1"/>
  <c r="EP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E34" i="72" s="1"/>
  <c r="FM34" i="72" s="1" a="1"/>
  <c r="FM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E20" i="72" s="1"/>
  <c r="FM20" i="72" s="1" a="1"/>
  <c r="FM20" i="72" s="1"/>
  <c r="FD16" i="72" a="1"/>
  <c r="FD16" i="72" s="1"/>
  <c r="FE16" i="72" s="1"/>
  <c r="FM16" i="72" s="1" a="1"/>
  <c r="FM16" i="72" s="1"/>
  <c r="FD28" i="72" a="1"/>
  <c r="FD28" i="72" s="1"/>
  <c r="FE28" i="72" s="1"/>
  <c r="FM28" i="72" s="1" a="1"/>
  <c r="FM28" i="72" s="1"/>
  <c r="FD19" i="72" a="1"/>
  <c r="FD19" i="72" s="1"/>
  <c r="FE19" i="72" s="1"/>
  <c r="FM19" i="72" s="1" a="1"/>
  <c r="FM19" i="72" s="1"/>
  <c r="FD15" i="72" a="1"/>
  <c r="FD15" i="72" s="1"/>
  <c r="FE15" i="72" s="1"/>
  <c r="FM15" i="72" s="1" a="1"/>
  <c r="FM15" i="72" s="1"/>
  <c r="FD24" i="72" a="1"/>
  <c r="FD24" i="72" s="1"/>
  <c r="FE24" i="72" s="1"/>
  <c r="FM24" i="72" s="1" a="1"/>
  <c r="FM24" i="72" s="1"/>
  <c r="CM15" i="72" a="1"/>
  <c r="CM15" i="72" s="1"/>
  <c r="CM33" i="72" a="1"/>
  <c r="CM33" i="72" s="1"/>
  <c r="CM23" i="72" a="1"/>
  <c r="CM23" i="72" s="1"/>
  <c r="CM14" i="72" a="1"/>
  <c r="CM14" i="72" s="1"/>
  <c r="CM32" i="72" a="1"/>
  <c r="CM32" i="72" s="1"/>
  <c r="CN32" i="72" s="1"/>
  <c r="CV32" i="72" s="1" a="1"/>
  <c r="CV32" i="72" s="1"/>
  <c r="CM27" i="72" a="1"/>
  <c r="CM27" i="72" s="1"/>
  <c r="CN27" i="72" s="1"/>
  <c r="CV27" i="72" s="1" a="1"/>
  <c r="CV27" i="72" s="1"/>
  <c r="CM20" i="72" a="1"/>
  <c r="CM20" i="72" s="1"/>
  <c r="CM22" i="72" a="1"/>
  <c r="CM22" i="72" s="1"/>
  <c r="CM31" i="72" a="1"/>
  <c r="CM31" i="72" s="1"/>
  <c r="CM28" i="72" a="1"/>
  <c r="CM28" i="72" s="1"/>
  <c r="CM18" i="72" a="1"/>
  <c r="CM18" i="72" s="1"/>
  <c r="CN18" i="72" s="1"/>
  <c r="CV18" i="72" s="1" a="1"/>
  <c r="CV18" i="72" s="1"/>
  <c r="CM25" i="72" a="1"/>
  <c r="CM25" i="72" s="1"/>
  <c r="CN25" i="72" s="1"/>
  <c r="CV25" i="72" s="1" a="1"/>
  <c r="CV25" i="72" s="1"/>
  <c r="CM21" i="72" a="1"/>
  <c r="CM21" i="72" s="1"/>
  <c r="CM16" i="72" a="1"/>
  <c r="CM16" i="72" s="1"/>
  <c r="CN16" i="72" s="1"/>
  <c r="CV16" i="72" s="1" a="1"/>
  <c r="CV16" i="72" s="1"/>
  <c r="CM26" i="72" a="1"/>
  <c r="CM26" i="72" s="1"/>
  <c r="CM24" i="72" a="1"/>
  <c r="CM24" i="72" s="1"/>
  <c r="CN24" i="72" s="1"/>
  <c r="CV24" i="72" s="1" a="1"/>
  <c r="CV24" i="72" s="1"/>
  <c r="CM29" i="72" a="1"/>
  <c r="CM29" i="72" s="1"/>
  <c r="CN29" i="72" s="1"/>
  <c r="CV29" i="72" s="1" a="1"/>
  <c r="CV29" i="72" s="1"/>
  <c r="CM34" i="72" a="1"/>
  <c r="CM34" i="72" s="1"/>
  <c r="CM30" i="72" a="1"/>
  <c r="CM30" i="72" s="1"/>
  <c r="CN30" i="72" s="1"/>
  <c r="CV30" i="72" s="1" a="1"/>
  <c r="CV30" i="72" s="1"/>
  <c r="CM17" i="72" a="1"/>
  <c r="CM17" i="72" s="1"/>
  <c r="CN17" i="72" s="1"/>
  <c r="CV17" i="72" s="1" a="1"/>
  <c r="CV17" i="72" s="1"/>
  <c r="CM19" i="72" a="1"/>
  <c r="CM19" i="72" s="1"/>
  <c r="CN19" i="72" s="1"/>
  <c r="CV19" i="72" s="1" a="1"/>
  <c r="CV19" i="72" s="1"/>
  <c r="GA19" i="72" a="1"/>
  <c r="GA19" i="72" s="1"/>
  <c r="GB19" i="72" s="1"/>
  <c r="GJ19" i="72" s="1" a="1"/>
  <c r="GJ19" i="72" s="1"/>
  <c r="GA16" i="72" a="1"/>
  <c r="GA16" i="72" s="1"/>
  <c r="GB16" i="72" s="1"/>
  <c r="GJ16" i="72" s="1" a="1"/>
  <c r="GJ16" i="72" s="1"/>
  <c r="GA33" i="72" a="1"/>
  <c r="GA33" i="72" s="1"/>
  <c r="GA15" i="72" a="1"/>
  <c r="GA15" i="72" s="1"/>
  <c r="GA18" i="72" a="1"/>
  <c r="GA18" i="72" s="1"/>
  <c r="GA26" i="72" a="1"/>
  <c r="GA26" i="72" s="1"/>
  <c r="GB26" i="72" s="1"/>
  <c r="GJ26" i="72" s="1" a="1"/>
  <c r="GJ26" i="72" s="1"/>
  <c r="GA27" i="72" a="1"/>
  <c r="GA27" i="72" s="1"/>
  <c r="GB27" i="72" s="1"/>
  <c r="GJ27" i="72" s="1" a="1"/>
  <c r="GJ27" i="72" s="1"/>
  <c r="GA34" i="72" a="1"/>
  <c r="GA34" i="72" s="1"/>
  <c r="GA22" i="72" a="1"/>
  <c r="GA22" i="72" s="1"/>
  <c r="GB22" i="72" s="1"/>
  <c r="GJ22" i="72" s="1" a="1"/>
  <c r="GJ22" i="72" s="1"/>
  <c r="GA14" i="72" a="1"/>
  <c r="GA14" i="72" s="1"/>
  <c r="GB14" i="72" s="1"/>
  <c r="GJ14" i="72" s="1" a="1"/>
  <c r="GJ14" i="72" s="1"/>
  <c r="GA17" i="72" a="1"/>
  <c r="GA17" i="72" s="1"/>
  <c r="GA30" i="72" a="1"/>
  <c r="GA30" i="72" s="1"/>
  <c r="GA21" i="72" a="1"/>
  <c r="GA21" i="72" s="1"/>
  <c r="GA29" i="72" a="1"/>
  <c r="GA29" i="72" s="1"/>
  <c r="GB29" i="72" s="1"/>
  <c r="GJ29" i="72" s="1" a="1"/>
  <c r="GJ29" i="72" s="1"/>
  <c r="GA25" i="72" a="1"/>
  <c r="GA25" i="72" s="1"/>
  <c r="GB25" i="72" s="1"/>
  <c r="GJ25" i="72" s="1" a="1"/>
  <c r="GJ25" i="72" s="1"/>
  <c r="GA23" i="72" a="1"/>
  <c r="GA23" i="72" s="1"/>
  <c r="GB23" i="72" s="1"/>
  <c r="GJ23" i="72" s="1" a="1"/>
  <c r="GJ23" i="72" s="1"/>
  <c r="GA31" i="72" a="1"/>
  <c r="GA31" i="72" s="1"/>
  <c r="GB31" i="72" s="1"/>
  <c r="GJ31" i="72" s="1" a="1"/>
  <c r="GJ31" i="72" s="1"/>
  <c r="GA20" i="72" a="1"/>
  <c r="GA20" i="72" s="1"/>
  <c r="GB20" i="72" s="1"/>
  <c r="GJ20" i="72" s="1" a="1"/>
  <c r="GJ20" i="72" s="1"/>
  <c r="GA24" i="72" a="1"/>
  <c r="GA24" i="72" s="1"/>
  <c r="GB24" i="72" s="1"/>
  <c r="GJ24" i="72" s="1" a="1"/>
  <c r="GJ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V18" i="72" s="1"/>
  <c r="ID18" i="72" s="1" a="1"/>
  <c r="ID18" i="72" s="1"/>
  <c r="HU27" i="72" a="1"/>
  <c r="HU27" i="72" s="1"/>
  <c r="HV27" i="72" s="1"/>
  <c r="ID27" i="72" s="1" a="1"/>
  <c r="ID27" i="72" s="1"/>
  <c r="HU32" i="72" a="1"/>
  <c r="HU32" i="72" s="1"/>
  <c r="HV32" i="72" s="1"/>
  <c r="ID32" i="72" s="1" a="1"/>
  <c r="ID32" i="72" s="1"/>
  <c r="HU14" i="72" a="1"/>
  <c r="HU14" i="72" s="1"/>
  <c r="HV14" i="72" s="1"/>
  <c r="ID14" i="72" s="1" a="1"/>
  <c r="ID14" i="72" s="1"/>
  <c r="HU30" i="72" a="1"/>
  <c r="HU30" i="72" s="1"/>
  <c r="HV30" i="72" s="1"/>
  <c r="ID30" i="72" s="1" a="1"/>
  <c r="ID30" i="72" s="1"/>
  <c r="HU33" i="72" a="1"/>
  <c r="HU33" i="72" s="1"/>
  <c r="HV33" i="72" s="1"/>
  <c r="ID33" i="72" s="1" a="1"/>
  <c r="ID33" i="72" s="1"/>
  <c r="HU17" i="72" a="1"/>
  <c r="HU17" i="72" s="1"/>
  <c r="HV17" i="72" s="1"/>
  <c r="ID17" i="72" s="1" a="1"/>
  <c r="ID17" i="72" s="1"/>
  <c r="HU15" i="72" a="1"/>
  <c r="HU15" i="72" s="1"/>
  <c r="HV15" i="72" s="1"/>
  <c r="ID15" i="72" s="1" a="1"/>
  <c r="ID15" i="72" s="1"/>
  <c r="HU34" i="72" a="1"/>
  <c r="HU34" i="72" s="1"/>
  <c r="HV34" i="72" s="1"/>
  <c r="ID34" i="72" s="1" a="1"/>
  <c r="ID34" i="72" s="1"/>
  <c r="HU20" i="72" a="1"/>
  <c r="HU20" i="72" s="1"/>
  <c r="HV20" i="72" s="1"/>
  <c r="ID20" i="72" s="1" a="1"/>
  <c r="ID20" i="72" s="1"/>
  <c r="HU25" i="72" a="1"/>
  <c r="HU25" i="72" s="1"/>
  <c r="HV25" i="72" s="1"/>
  <c r="ID25" i="72" s="1" a="1"/>
  <c r="ID25" i="72" s="1"/>
  <c r="HU28" i="72" a="1"/>
  <c r="HU28" i="72" s="1"/>
  <c r="HV28" i="72" s="1"/>
  <c r="ID28" i="72" s="1" a="1"/>
  <c r="ID28" i="72" s="1"/>
  <c r="HU16" i="72" a="1"/>
  <c r="HU16" i="72" s="1"/>
  <c r="HV16" i="72" s="1"/>
  <c r="ID16" i="72" s="1" a="1"/>
  <c r="ID16" i="72" s="1"/>
  <c r="HU29" i="72" a="1"/>
  <c r="HU29" i="72" s="1"/>
  <c r="HV29" i="72" s="1"/>
  <c r="ID29" i="72" s="1" a="1"/>
  <c r="ID29" i="72" s="1"/>
  <c r="HU26" i="72" a="1"/>
  <c r="HU26" i="72" s="1"/>
  <c r="HV26" i="72" s="1"/>
  <c r="ID26" i="72" s="1" a="1"/>
  <c r="ID26" i="72" s="1"/>
  <c r="GX16" i="72" a="1"/>
  <c r="GX16" i="72" s="1"/>
  <c r="GX30" i="72" a="1"/>
  <c r="GX30" i="72" s="1"/>
  <c r="GY30" i="72" s="1"/>
  <c r="HG30" i="72" s="1" a="1"/>
  <c r="HG30" i="72" s="1"/>
  <c r="GX15" i="72" a="1"/>
  <c r="GX15" i="72" s="1"/>
  <c r="GY15" i="72" s="1"/>
  <c r="HG15" i="72" s="1" a="1"/>
  <c r="HG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Y25" i="72" s="1"/>
  <c r="HG25" i="72" s="1" a="1"/>
  <c r="HG25" i="72" s="1"/>
  <c r="GX32" i="72" a="1"/>
  <c r="GX32" i="72" s="1"/>
  <c r="GY32" i="72" s="1"/>
  <c r="HG32" i="72" s="1" a="1"/>
  <c r="HG32" i="72" s="1"/>
  <c r="GX20" i="72" a="1"/>
  <c r="GX20" i="72" s="1"/>
  <c r="GY20" i="72" s="1"/>
  <c r="HG20" i="72" s="1" a="1"/>
  <c r="HG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Y21" i="72" s="1"/>
  <c r="HG21" i="72" s="1" a="1"/>
  <c r="HG21" i="72" s="1"/>
  <c r="GX19" i="72" a="1"/>
  <c r="GX19" i="72" s="1"/>
  <c r="GY19" i="72" s="1"/>
  <c r="HG19" i="72" s="1" a="1"/>
  <c r="HG19" i="72" s="1"/>
  <c r="GX27" i="72" a="1"/>
  <c r="GX27" i="72" s="1"/>
  <c r="GY27" i="72" s="1"/>
  <c r="HG27" i="72" s="1" a="1"/>
  <c r="HG27" i="72" s="1"/>
  <c r="BP14" i="72" a="1"/>
  <c r="BP14" i="72" s="1"/>
  <c r="BP31" i="72" a="1"/>
  <c r="BP31" i="72" s="1"/>
  <c r="BP24" i="72" a="1"/>
  <c r="BP24" i="72" s="1"/>
  <c r="BP32" i="72" a="1"/>
  <c r="BP32" i="72" s="1"/>
  <c r="BQ32" i="72" s="1"/>
  <c r="BY32" i="72" s="1" a="1"/>
  <c r="BY32" i="72" s="1"/>
  <c r="BP20" i="72" a="1"/>
  <c r="BP20" i="72" s="1"/>
  <c r="BP15" i="72" a="1"/>
  <c r="BP15" i="72" s="1"/>
  <c r="BQ15" i="72" s="1"/>
  <c r="BY15" i="72" s="1" a="1"/>
  <c r="BY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Q33" i="72" s="1"/>
  <c r="BY33" i="72" s="1" a="1"/>
  <c r="BY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GY28" i="72"/>
  <c r="HG28" i="72" s="1" a="1"/>
  <c r="HG28" i="72" s="1"/>
  <c r="GY14" i="72"/>
  <c r="HG14" i="72" s="1" a="1"/>
  <c r="HG14" i="72" s="1"/>
  <c r="GY26" i="72"/>
  <c r="HG26" i="72" s="1" a="1"/>
  <c r="HG26" i="72" s="1"/>
  <c r="GY34" i="72"/>
  <c r="HG34" i="72" s="1" a="1"/>
  <c r="HG34" i="72" s="1"/>
  <c r="GB33" i="72"/>
  <c r="GJ33" i="72" s="1" a="1"/>
  <c r="GJ33" i="72" s="1"/>
  <c r="GB17" i="72"/>
  <c r="GJ17" i="72" s="1" a="1"/>
  <c r="GJ17" i="72" s="1"/>
  <c r="GB34" i="72"/>
  <c r="GJ34" i="72" s="1" a="1"/>
  <c r="GJ34" i="72" s="1"/>
  <c r="GB30" i="72"/>
  <c r="GJ30" i="72" s="1" a="1"/>
  <c r="GJ30" i="72" s="1"/>
  <c r="GB21" i="72"/>
  <c r="GJ21" i="72" s="1" a="1"/>
  <c r="GJ21" i="72" s="1"/>
  <c r="GB18" i="72"/>
  <c r="GJ18" i="72" s="1" a="1"/>
  <c r="GJ18" i="72" s="1"/>
  <c r="FE18" i="72"/>
  <c r="FM18" i="72" s="1" a="1"/>
  <c r="FM18" i="72" s="1"/>
  <c r="FE25" i="72"/>
  <c r="FM25" i="72" s="1" a="1"/>
  <c r="FM25" i="72" s="1"/>
  <c r="FE29" i="72"/>
  <c r="FM29" i="72" s="1" a="1"/>
  <c r="FM29" i="72" s="1"/>
  <c r="FE32" i="72"/>
  <c r="FM32" i="72" s="1" a="1"/>
  <c r="FM32" i="72" s="1"/>
  <c r="FE27" i="72"/>
  <c r="FM27" i="72" s="1" a="1"/>
  <c r="FM27" i="72" s="1"/>
  <c r="EH28" i="72"/>
  <c r="EP28" i="72" s="1" a="1"/>
  <c r="EP28" i="72" s="1"/>
  <c r="EH18" i="72"/>
  <c r="EP18" i="72" s="1" a="1"/>
  <c r="EP18" i="72" s="1"/>
  <c r="EH20" i="72"/>
  <c r="EP20" i="72" s="1" a="1"/>
  <c r="EP20" i="72" s="1"/>
  <c r="EH31" i="72"/>
  <c r="EP31" i="72" s="1" a="1"/>
  <c r="EP31" i="72" s="1"/>
  <c r="EH23" i="72"/>
  <c r="EP23" i="72" s="1" a="1"/>
  <c r="EP23" i="72" s="1"/>
  <c r="CN28" i="72"/>
  <c r="CV28" i="72" s="1" a="1"/>
  <c r="CV28" i="72" s="1"/>
  <c r="CN34" i="72"/>
  <c r="CV34" i="72" s="1" a="1"/>
  <c r="CV34" i="72" s="1"/>
  <c r="CN20" i="72"/>
  <c r="CV20" i="72" s="1" a="1"/>
  <c r="CV20" i="72" s="1"/>
  <c r="CN31" i="72"/>
  <c r="CV31" i="72" s="1" a="1"/>
  <c r="CV31" i="72" s="1"/>
  <c r="CN14" i="72"/>
  <c r="CV14" i="72" s="1" a="1"/>
  <c r="CV14" i="72" s="1"/>
  <c r="CN23" i="72"/>
  <c r="CV23" i="72" s="1" a="1"/>
  <c r="CV23"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4" i="72"/>
  <c r="BY34" i="72" s="1" a="1"/>
  <c r="BY34" i="72" s="1"/>
  <c r="BQ29" i="72"/>
  <c r="BY29" i="72" s="1" a="1"/>
  <c r="BY29" i="72" s="1"/>
  <c r="IS30" i="72"/>
  <c r="JA30" i="72" s="1" a="1"/>
  <c r="JA30" i="72" s="1"/>
  <c r="HV22" i="72"/>
  <c r="ID22" i="72" s="1" a="1"/>
  <c r="ID22" i="72" s="1"/>
  <c r="HV23" i="72"/>
  <c r="ID23" i="72" s="1" a="1"/>
  <c r="ID23" i="72" s="1"/>
  <c r="HV19" i="72"/>
  <c r="ID19" i="72" s="1" a="1"/>
  <c r="ID19" i="72" s="1"/>
  <c r="GY16" i="72"/>
  <c r="HG16" i="72" s="1" a="1"/>
  <c r="HG16" i="72" s="1"/>
  <c r="GB15" i="72"/>
  <c r="GJ15" i="72" s="1" a="1"/>
  <c r="GJ15" i="72" s="1"/>
  <c r="FE26" i="72"/>
  <c r="FM26" i="72" s="1" a="1"/>
  <c r="FM26" i="72" s="1"/>
  <c r="FE30" i="72"/>
  <c r="FM30" i="72" s="1" a="1"/>
  <c r="FM30"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GY29" i="72"/>
  <c r="HG29" i="72" s="1" a="1"/>
  <c r="HG29"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AB38" i="72" s="1"/>
  <c r="Z38" i="72" s="1"/>
  <c r="K17" i="75"/>
  <c r="D227" i="94" s="1"/>
  <c r="AM7" i="75"/>
  <c r="AN7" i="75" s="1"/>
  <c r="AM6" i="75"/>
  <c r="AN6" i="75" s="1"/>
  <c r="AE8" i="75"/>
  <c r="AM8" i="75"/>
  <c r="AN8" i="75" s="1"/>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H39" i="72"/>
  <c r="H18" i="89"/>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BU26" i="72" a="1"/>
  <c r="BU26" i="72" s="1"/>
  <c r="BD26" i="72" a="1"/>
  <c r="BD26" i="72" s="1"/>
  <c r="BT26" i="72" a="1"/>
  <c r="BT26" i="72" s="1"/>
  <c r="BS26" i="72" a="1"/>
  <c r="BS26" i="72" s="1"/>
  <c r="BW26" i="72" a="1"/>
  <c r="BW26" i="72" s="1"/>
  <c r="BR26" i="72" a="1"/>
  <c r="BR26" i="72" s="1"/>
  <c r="BX26" i="72" a="1"/>
  <c r="BX26" i="72" s="1"/>
  <c r="BV26" i="72" a="1"/>
  <c r="BV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L10" i="75" s="1"/>
  <c r="JF49" i="72"/>
  <c r="II49" i="72"/>
  <c r="GO49" i="72"/>
  <c r="L12" i="75" s="1"/>
  <c r="FR49" i="72"/>
  <c r="L11" i="75" s="1"/>
  <c r="HL49" i="72"/>
  <c r="L13" i="75" s="1"/>
  <c r="DX49" i="72"/>
  <c r="L9" i="75" s="1"/>
  <c r="DA49" i="72"/>
  <c r="L8" i="75" s="1"/>
  <c r="CD49" i="72"/>
  <c r="L7" i="75" s="1"/>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G34" i="72" l="1"/>
  <c r="H26" i="72"/>
  <c r="R38" i="72"/>
  <c r="S49" i="72" s="1"/>
  <c r="CP35" i="72"/>
  <c r="GC35" i="72"/>
  <c r="IT35" i="72"/>
  <c r="EI35" i="72"/>
  <c r="HA35" i="72"/>
  <c r="DL35" i="72"/>
  <c r="FF35" i="72"/>
  <c r="IU35" i="72"/>
  <c r="HW35" i="72"/>
  <c r="FG35" i="72"/>
  <c r="GD35" i="72"/>
  <c r="JR35" i="72"/>
  <c r="EJ35" i="72"/>
  <c r="CO35" i="72"/>
  <c r="HX35" i="72"/>
  <c r="DM35" i="72"/>
  <c r="JQ35" i="72"/>
  <c r="GZ35" i="72"/>
  <c r="D23" i="36"/>
  <c r="AB63" i="72"/>
  <c r="AB55" i="72"/>
  <c r="AB47" i="72"/>
  <c r="AB62" i="72"/>
  <c r="AB54" i="72"/>
  <c r="AB46" i="72"/>
  <c r="AB37" i="72"/>
  <c r="Z37" i="72" s="1"/>
  <c r="AB61" i="72"/>
  <c r="AB53" i="72"/>
  <c r="AB45" i="72"/>
  <c r="AB60" i="72"/>
  <c r="AB52" i="72"/>
  <c r="AB44" i="72"/>
  <c r="AB59" i="72"/>
  <c r="AB51" i="72"/>
  <c r="AB43" i="72"/>
  <c r="AB58" i="72"/>
  <c r="AB50" i="72"/>
  <c r="AB42" i="72"/>
  <c r="AB65" i="72"/>
  <c r="AB57" i="72"/>
  <c r="AB49" i="72"/>
  <c r="AB41" i="72"/>
  <c r="AB64" i="72"/>
  <c r="AB56" i="72"/>
  <c r="AB48" i="72"/>
  <c r="AB40" i="72"/>
  <c r="AB39" i="72"/>
  <c r="H30" i="72"/>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FY24" i="72" s="1"/>
  <c r="CX35" i="72"/>
  <c r="CY28" i="72" s="1"/>
  <c r="DA28" i="72" s="1"/>
  <c r="DH28" i="72" s="1"/>
  <c r="DU35" i="72"/>
  <c r="DV14" i="72" s="1"/>
  <c r="DX14" i="72" s="1"/>
  <c r="ED14" i="72" s="1"/>
  <c r="ER35" i="72"/>
  <c r="ES16" i="72" s="1"/>
  <c r="EU16" i="72" s="1"/>
  <c r="FB16" i="72" s="1"/>
  <c r="HI35" i="72"/>
  <c r="HJ18" i="72" s="1"/>
  <c r="HL18" i="72" s="1"/>
  <c r="HR18" i="72" s="1"/>
  <c r="GL35" i="72"/>
  <c r="GM29" i="72" s="1"/>
  <c r="GO29" i="72" s="1"/>
  <c r="GV29" i="72" s="1"/>
  <c r="CA35" i="72"/>
  <c r="CB28" i="72" s="1"/>
  <c r="CD28" i="72" s="1"/>
  <c r="CK28" i="72" s="1"/>
  <c r="IF35" i="72"/>
  <c r="IG29" i="72" s="1"/>
  <c r="II29" i="72" s="1"/>
  <c r="IP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O12" i="75" s="1"/>
  <c r="FR50" i="72"/>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O13" i="75" s="1"/>
  <c r="JF4" i="72"/>
  <c r="II4" i="72"/>
  <c r="GO4" i="72"/>
  <c r="HL4" i="72"/>
  <c r="EU4" i="72"/>
  <c r="DA4" i="72"/>
  <c r="FR4" i="72"/>
  <c r="Z48" i="72" l="1"/>
  <c r="H6" i="12"/>
  <c r="H5" i="11"/>
  <c r="L5" i="94"/>
  <c r="H5" i="70"/>
  <c r="Z40" i="72"/>
  <c r="Z56" i="72"/>
  <c r="EE14" i="72"/>
  <c r="Z65" i="72"/>
  <c r="Z52" i="72"/>
  <c r="Z62" i="72"/>
  <c r="DG28" i="72"/>
  <c r="FX24" i="72"/>
  <c r="Z42" i="72"/>
  <c r="Z60" i="72"/>
  <c r="Z47" i="72"/>
  <c r="GU29" i="72"/>
  <c r="Z50" i="72"/>
  <c r="Z45" i="72"/>
  <c r="Z55" i="72"/>
  <c r="CJ28" i="72"/>
  <c r="JL14" i="72"/>
  <c r="FA16" i="72"/>
  <c r="IO29" i="72"/>
  <c r="Z58" i="72"/>
  <c r="Z53" i="72"/>
  <c r="Z63" i="72"/>
  <c r="JM14" i="72"/>
  <c r="Z64" i="72"/>
  <c r="Z43" i="72"/>
  <c r="Z61" i="72"/>
  <c r="HS18" i="72"/>
  <c r="Z41" i="72"/>
  <c r="Z51" i="72"/>
  <c r="Z49" i="72"/>
  <c r="Z59" i="72"/>
  <c r="Z46" i="72"/>
  <c r="Z57" i="72"/>
  <c r="Z44" i="72"/>
  <c r="Z54" i="72"/>
  <c r="AH40" i="72"/>
  <c r="Z39" i="72"/>
  <c r="O11" i="75"/>
  <c r="AA11" i="75" s="1"/>
  <c r="AB11" i="75" s="1"/>
  <c r="G213" i="94"/>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A15" i="75"/>
  <c r="AA6" i="75"/>
  <c r="W24" i="36"/>
  <c r="W21" i="36"/>
  <c r="W22" i="36"/>
  <c r="W19" i="36"/>
  <c r="W20" i="36"/>
  <c r="W23" i="36"/>
  <c r="W15" i="36"/>
  <c r="D25" i="57"/>
  <c r="D29" i="57"/>
  <c r="D23" i="57"/>
  <c r="D26" i="57"/>
  <c r="D30" i="57"/>
  <c r="D27" i="57"/>
  <c r="D31" i="57"/>
  <c r="D24" i="57"/>
  <c r="D28" i="57"/>
  <c r="D32" i="57"/>
  <c r="C352" i="92"/>
  <c r="C14" i="92"/>
  <c r="B448" i="92"/>
  <c r="C216" i="92"/>
  <c r="C55" i="92"/>
  <c r="B397" i="92"/>
  <c r="C98" i="92"/>
  <c r="C308" i="92"/>
  <c r="C505" i="92"/>
  <c r="B21" i="92"/>
  <c r="B505" i="92"/>
  <c r="C316" i="92"/>
  <c r="B501" i="92"/>
  <c r="C424" i="92"/>
  <c r="B191" i="92"/>
  <c r="C399" i="92"/>
  <c r="C605" i="92"/>
  <c r="B172" i="92"/>
  <c r="C91" i="92"/>
  <c r="B535" i="92"/>
  <c r="C504" i="92"/>
  <c r="C519" i="92"/>
  <c r="C322" i="92"/>
  <c r="B350" i="92"/>
  <c r="C136" i="92"/>
  <c r="C488" i="92"/>
  <c r="B291" i="92"/>
  <c r="C34" i="92"/>
  <c r="C286" i="92"/>
  <c r="C486" i="92"/>
  <c r="B94" i="92"/>
  <c r="C303" i="92"/>
  <c r="B395" i="92"/>
  <c r="C217" i="92"/>
  <c r="B217" i="92"/>
  <c r="C553" i="92"/>
  <c r="B26" i="92"/>
  <c r="B207" i="92"/>
  <c r="C310" i="92"/>
  <c r="B506" i="92"/>
  <c r="C465" i="92"/>
  <c r="O60" i="99" a="1"/>
  <c r="C113" i="92"/>
  <c r="C446" i="92"/>
  <c r="C78" i="92"/>
  <c r="C593" i="92"/>
  <c r="C412" i="92"/>
  <c r="C225" i="92"/>
  <c r="B442" i="92"/>
  <c r="B5" i="92"/>
  <c r="B348" i="92"/>
  <c r="B524" i="92"/>
  <c r="B515" i="92"/>
  <c r="B431" i="92"/>
  <c r="C252" i="92"/>
  <c r="C209" i="92"/>
  <c r="C428" i="92"/>
  <c r="B456" i="92"/>
  <c r="C264" i="92"/>
  <c r="C478" i="92"/>
  <c r="B557" i="92"/>
  <c r="C139" i="92"/>
  <c r="C285" i="92"/>
  <c r="B440" i="92"/>
  <c r="C411" i="92"/>
  <c r="C251" i="92"/>
  <c r="B632" i="92"/>
  <c r="B27" i="92"/>
  <c r="C391" i="92"/>
  <c r="C167" i="92"/>
  <c r="C44" i="92"/>
  <c r="B214" i="92"/>
  <c r="B599" i="92"/>
  <c r="B420" i="92"/>
  <c r="B357" i="92"/>
  <c r="C239" i="92"/>
  <c r="B445" i="92"/>
  <c r="B185" i="92"/>
  <c r="B36" i="92"/>
  <c r="C330" i="92"/>
  <c r="C328" i="92"/>
  <c r="C451" i="92"/>
  <c r="C205" i="92"/>
  <c r="B334" i="92"/>
  <c r="B430" i="92"/>
  <c r="B413" i="92"/>
  <c r="B289" i="92"/>
  <c r="C414" i="92"/>
  <c r="B580" i="92"/>
  <c r="C56" i="92"/>
  <c r="C271" i="92"/>
  <c r="C329" i="92"/>
  <c r="B199" i="92"/>
  <c r="B353" i="92"/>
  <c r="B271" i="92"/>
  <c r="C288" i="92"/>
  <c r="B534" i="92"/>
  <c r="B65" i="92"/>
  <c r="B274" i="92"/>
  <c r="C587" i="92"/>
  <c r="B325" i="92"/>
  <c r="C345" i="92"/>
  <c r="B235" i="92"/>
  <c r="C85" i="92"/>
  <c r="B418" i="92"/>
  <c r="B634" i="92"/>
  <c r="B187" i="92"/>
  <c r="B62" i="92"/>
  <c r="B125" i="92"/>
  <c r="B240" i="92"/>
  <c r="B116" i="92"/>
  <c r="C194" i="92"/>
  <c r="B371" i="92"/>
  <c r="C112" i="92"/>
  <c r="C340" i="92"/>
  <c r="B424" i="92"/>
  <c r="B129" i="92"/>
  <c r="C182" i="92"/>
  <c r="B435" i="92"/>
  <c r="C364" i="92"/>
  <c r="B495" i="92"/>
  <c r="C365" i="92"/>
  <c r="C219" i="92"/>
  <c r="B286" i="92"/>
  <c r="C367" i="92"/>
  <c r="C369" i="92"/>
  <c r="B156" i="92"/>
  <c r="B317" i="92"/>
  <c r="C153" i="92"/>
  <c r="B150" i="92"/>
  <c r="B339" i="92"/>
  <c r="C9" i="92"/>
  <c r="B454" i="92"/>
  <c r="B365" i="92"/>
  <c r="B298" i="92"/>
  <c r="C108" i="92"/>
  <c r="B307" i="92"/>
  <c r="B354" i="92"/>
  <c r="B278" i="92"/>
  <c r="B483" i="92"/>
  <c r="C588" i="92"/>
  <c r="B56" i="92"/>
  <c r="B102" i="92"/>
  <c r="C293" i="92"/>
  <c r="B619" i="92"/>
  <c r="B4" i="92"/>
  <c r="B19" i="92"/>
  <c r="C514" i="92"/>
  <c r="B600" i="92"/>
  <c r="C442" i="92"/>
  <c r="B498" i="92"/>
  <c r="B485" i="92"/>
  <c r="C498" i="92"/>
  <c r="B186" i="92"/>
  <c r="C75" i="92"/>
  <c r="AG114" i="99" a="1"/>
  <c r="C429" i="92"/>
  <c r="C144" i="92"/>
  <c r="C633" i="92"/>
  <c r="B230" i="92"/>
  <c r="C409" i="92"/>
  <c r="C170" i="92"/>
  <c r="C385" i="92"/>
  <c r="C445" i="92"/>
  <c r="B309" i="92"/>
  <c r="B216" i="92"/>
  <c r="B35" i="92"/>
  <c r="C448" i="92"/>
  <c r="B292" i="92"/>
  <c r="B439" i="92"/>
  <c r="B427" i="92"/>
  <c r="C313" i="92"/>
  <c r="B566" i="92"/>
  <c r="C23" i="92"/>
  <c r="C106" i="92"/>
  <c r="C596" i="92"/>
  <c r="C524" i="92"/>
  <c r="B547" i="92"/>
  <c r="B14" i="92"/>
  <c r="P60" i="99" a="1"/>
  <c r="C541" i="92"/>
  <c r="C21" i="92"/>
  <c r="B182" i="92"/>
  <c r="C95" i="92"/>
  <c r="B581" i="92"/>
  <c r="C417" i="92"/>
  <c r="B449" i="92"/>
  <c r="B236" i="92"/>
  <c r="B392" i="92"/>
  <c r="B273" i="92"/>
  <c r="C214" i="92"/>
  <c r="B18" i="92"/>
  <c r="B106" i="92"/>
  <c r="B444" i="92"/>
  <c r="B530" i="92"/>
  <c r="B279" i="92"/>
  <c r="C538" i="92"/>
  <c r="B486" i="92"/>
  <c r="B629" i="92"/>
  <c r="C32" i="92"/>
  <c r="C556" i="92"/>
  <c r="C419" i="92"/>
  <c r="C190" i="92"/>
  <c r="C291" i="92"/>
  <c r="C563" i="92"/>
  <c r="B99" i="92"/>
  <c r="B195" i="92"/>
  <c r="AH35" i="99" a="1"/>
  <c r="C29" i="92"/>
  <c r="C565" i="92"/>
  <c r="C577" i="92"/>
  <c r="C410" i="92"/>
  <c r="C193" i="92"/>
  <c r="B473" i="92"/>
  <c r="B429" i="92"/>
  <c r="B196" i="92"/>
  <c r="AG13" i="99" a="1"/>
  <c r="B321" i="92"/>
  <c r="B404" i="92"/>
  <c r="B11" i="92"/>
  <c r="AG89" i="99" a="1"/>
  <c r="C200" i="92"/>
  <c r="B342" i="92"/>
  <c r="C589" i="92"/>
  <c r="C575" i="92"/>
  <c r="B396" i="92"/>
  <c r="C8" i="92"/>
  <c r="C591" i="92"/>
  <c r="B288" i="92"/>
  <c r="C11" i="92"/>
  <c r="B34" i="92"/>
  <c r="C109" i="92"/>
  <c r="C151" i="92"/>
  <c r="B183" i="92"/>
  <c r="C314" i="92"/>
  <c r="C560" i="92"/>
  <c r="C174" i="92"/>
  <c r="C30" i="92"/>
  <c r="C276" i="92"/>
  <c r="C150" i="92"/>
  <c r="C115" i="92"/>
  <c r="B105" i="92"/>
  <c r="C307" i="92"/>
  <c r="B28" i="92"/>
  <c r="C97" i="92"/>
  <c r="B72" i="92"/>
  <c r="C43" i="92"/>
  <c r="C392" i="92"/>
  <c r="C195" i="92"/>
  <c r="B552" i="92"/>
  <c r="C246" i="92"/>
  <c r="B97" i="92"/>
  <c r="B178" i="92"/>
  <c r="C632" i="92"/>
  <c r="C573" i="92"/>
  <c r="C500" i="92"/>
  <c r="C35" i="92"/>
  <c r="C402" i="92"/>
  <c r="B285" i="92"/>
  <c r="C121" i="92"/>
  <c r="B320" i="92"/>
  <c r="B252" i="92"/>
  <c r="C472" i="92"/>
  <c r="B69" i="92"/>
  <c r="C521" i="92"/>
  <c r="C222" i="92"/>
  <c r="B254" i="92"/>
  <c r="B299" i="92"/>
  <c r="B565" i="92"/>
  <c r="C311" i="92"/>
  <c r="B276" i="92"/>
  <c r="C351" i="92"/>
  <c r="B355" i="92"/>
  <c r="C386" i="92"/>
  <c r="C116" i="92"/>
  <c r="B461" i="92"/>
  <c r="B74" i="92"/>
  <c r="C467" i="92"/>
  <c r="B338" i="92"/>
  <c r="C481" i="92"/>
  <c r="C141" i="92"/>
  <c r="B120" i="92"/>
  <c r="B370" i="92"/>
  <c r="C373" i="92"/>
  <c r="AG35" i="99" a="1"/>
  <c r="B349" i="92"/>
  <c r="C493" i="92"/>
  <c r="B433" i="92"/>
  <c r="B226" i="92"/>
  <c r="C574" i="92"/>
  <c r="C122" i="92"/>
  <c r="B200" i="92"/>
  <c r="C294" i="92"/>
  <c r="B472" i="92"/>
  <c r="C80" i="92"/>
  <c r="C546" i="92"/>
  <c r="B617" i="92"/>
  <c r="C552" i="92"/>
  <c r="B359" i="92"/>
  <c r="C118" i="92"/>
  <c r="B243" i="92"/>
  <c r="C349" i="92"/>
  <c r="B590" i="92"/>
  <c r="C516" i="92"/>
  <c r="B303" i="92"/>
  <c r="C83" i="92"/>
  <c r="B157" i="92"/>
  <c r="C507" i="92"/>
  <c r="B324" i="92"/>
  <c r="C608" i="92"/>
  <c r="B574" i="92"/>
  <c r="C146" i="92"/>
  <c r="B301" i="92"/>
  <c r="C590" i="92"/>
  <c r="C201" i="92"/>
  <c r="B22" i="92"/>
  <c r="B81" i="92"/>
  <c r="C622" i="92"/>
  <c r="B84" i="92"/>
  <c r="C533" i="92"/>
  <c r="C324" i="92"/>
  <c r="C199" i="92"/>
  <c r="B329" i="92"/>
  <c r="C169" i="92"/>
  <c r="B151" i="92"/>
  <c r="C515" i="92"/>
  <c r="C526" i="92"/>
  <c r="B469" i="92"/>
  <c r="C257" i="92"/>
  <c r="C49" i="92"/>
  <c r="B23" i="92"/>
  <c r="C434" i="92"/>
  <c r="B188" i="92"/>
  <c r="C581" i="92"/>
  <c r="B484" i="92"/>
  <c r="C327" i="92"/>
  <c r="B347" i="92"/>
  <c r="C333" i="92"/>
  <c r="B475" i="92"/>
  <c r="C184" i="92"/>
  <c r="B264" i="92"/>
  <c r="B140" i="92"/>
  <c r="C453" i="92"/>
  <c r="B209" i="92"/>
  <c r="B194" i="92"/>
  <c r="C4" i="92"/>
  <c r="B63" i="92"/>
  <c r="B492" i="92"/>
  <c r="B224" i="92"/>
  <c r="B494" i="92"/>
  <c r="B143" i="92"/>
  <c r="C597" i="92"/>
  <c r="B443" i="92"/>
  <c r="B128" i="92"/>
  <c r="B416" i="92"/>
  <c r="C425" i="92"/>
  <c r="B247" i="92"/>
  <c r="C319" i="92"/>
  <c r="B556" i="92"/>
  <c r="C315" i="92"/>
  <c r="B192" i="92"/>
  <c r="C309" i="92"/>
  <c r="C371" i="92"/>
  <c r="C338" i="92"/>
  <c r="C449" i="92"/>
  <c r="B9" i="92"/>
  <c r="B529" i="92"/>
  <c r="C433" i="92"/>
  <c r="B490" i="92"/>
  <c r="C107" i="92"/>
  <c r="AH60" i="99" a="1"/>
  <c r="C282" i="92"/>
  <c r="B468" i="92"/>
  <c r="B293" i="92"/>
  <c r="B220" i="92"/>
  <c r="C609" i="92"/>
  <c r="C341" i="92"/>
  <c r="B419" i="92"/>
  <c r="B177" i="92"/>
  <c r="C48" i="92"/>
  <c r="C292" i="92"/>
  <c r="C255" i="92"/>
  <c r="C470" i="92"/>
  <c r="C536" i="92"/>
  <c r="C475" i="92"/>
  <c r="B61" i="92"/>
  <c r="B509" i="92"/>
  <c r="B372" i="92"/>
  <c r="B149" i="92"/>
  <c r="B86" i="92"/>
  <c r="B477" i="92"/>
  <c r="B406" i="92"/>
  <c r="C52" i="92"/>
  <c r="B346" i="92"/>
  <c r="B24" i="92"/>
  <c r="C181" i="92"/>
  <c r="B337" i="92"/>
  <c r="B361" i="92"/>
  <c r="C119" i="92"/>
  <c r="C550" i="92"/>
  <c r="C630" i="92"/>
  <c r="B378" i="92"/>
  <c r="B248" i="92"/>
  <c r="C323" i="92"/>
  <c r="B272" i="92"/>
  <c r="B351" i="92"/>
  <c r="B343" i="92"/>
  <c r="B111" i="92"/>
  <c r="C562" i="92"/>
  <c r="C59" i="92"/>
  <c r="C601" i="92"/>
  <c r="B167" i="92"/>
  <c r="B605" i="92"/>
  <c r="B588" i="92"/>
  <c r="B636" i="92"/>
  <c r="C547" i="92"/>
  <c r="C24" i="92"/>
  <c r="C173" i="92"/>
  <c r="C627" i="92"/>
  <c r="C137" i="92"/>
  <c r="C421" i="92"/>
  <c r="B453" i="92"/>
  <c r="C76" i="92"/>
  <c r="C532" i="92"/>
  <c r="C51" i="92"/>
  <c r="B467" i="92"/>
  <c r="B363" i="92"/>
  <c r="C301" i="92"/>
  <c r="B242" i="92"/>
  <c r="C147" i="92"/>
  <c r="B512" i="92"/>
  <c r="C484" i="92"/>
  <c r="C395" i="92"/>
  <c r="B386" i="92"/>
  <c r="C497" i="92"/>
  <c r="C372" i="92"/>
  <c r="B513" i="92"/>
  <c r="C571" i="92"/>
  <c r="B592" i="92"/>
  <c r="B310" i="92"/>
  <c r="C185" i="92"/>
  <c r="C101" i="92"/>
  <c r="C10" i="92"/>
  <c r="C26" i="92"/>
  <c r="B591" i="92"/>
  <c r="B305" i="92"/>
  <c r="C568" i="92"/>
  <c r="B507" i="92"/>
  <c r="B267" i="92"/>
  <c r="C438" i="92"/>
  <c r="B296" i="92"/>
  <c r="B491" i="92"/>
  <c r="C231" i="92"/>
  <c r="B384" i="92"/>
  <c r="C226" i="92"/>
  <c r="C468" i="92"/>
  <c r="B20" i="92"/>
  <c r="B621" i="92"/>
  <c r="B382" i="92"/>
  <c r="B79" i="92"/>
  <c r="B96" i="92"/>
  <c r="C401" i="92"/>
  <c r="B318" i="92"/>
  <c r="C637" i="92"/>
  <c r="C413" i="92"/>
  <c r="B538" i="92"/>
  <c r="B421" i="92"/>
  <c r="C235" i="92"/>
  <c r="B227" i="92"/>
  <c r="C263" i="92"/>
  <c r="C344" i="92"/>
  <c r="B551" i="92"/>
  <c r="C496" i="92"/>
  <c r="C466" i="92"/>
  <c r="B369" i="92"/>
  <c r="C284" i="92"/>
  <c r="C50" i="92"/>
  <c r="B67" i="92"/>
  <c r="C607" i="92"/>
  <c r="B373" i="92"/>
  <c r="C135" i="92"/>
  <c r="C320" i="92"/>
  <c r="C45" i="92"/>
  <c r="C202" i="92"/>
  <c r="B476" i="92"/>
  <c r="C537" i="92"/>
  <c r="C348" i="92"/>
  <c r="C540" i="92"/>
  <c r="C22" i="92"/>
  <c r="B521" i="92"/>
  <c r="C215" i="92"/>
  <c r="B130" i="92"/>
  <c r="C599" i="92"/>
  <c r="C19" i="92"/>
  <c r="B269" i="92"/>
  <c r="B319" i="92"/>
  <c r="B609" i="92"/>
  <c r="C152" i="92"/>
  <c r="C603" i="92"/>
  <c r="C491" i="92"/>
  <c r="B58" i="92"/>
  <c r="B465" i="92"/>
  <c r="B127" i="92"/>
  <c r="B327" i="92"/>
  <c r="B68" i="92"/>
  <c r="C353" i="92"/>
  <c r="C123" i="92"/>
  <c r="C278" i="92"/>
  <c r="C361" i="92"/>
  <c r="C396" i="92"/>
  <c r="B241" i="92"/>
  <c r="B622" i="92"/>
  <c r="C580" i="92"/>
  <c r="B405" i="92"/>
  <c r="C355" i="92"/>
  <c r="C12" i="92"/>
  <c r="B401" i="92"/>
  <c r="H419" i="99" a="1"/>
  <c r="B15" i="92"/>
  <c r="C415" i="92"/>
  <c r="C117" i="92"/>
  <c r="B425" i="92"/>
  <c r="C462" i="92"/>
  <c r="C557" i="92"/>
  <c r="B344" i="92"/>
  <c r="C302" i="92"/>
  <c r="B223" i="92"/>
  <c r="C204" i="92"/>
  <c r="AH89" i="99" a="1"/>
  <c r="B558" i="92"/>
  <c r="B555" i="92"/>
  <c r="C430" i="92"/>
  <c r="C253" i="92"/>
  <c r="C439" i="92"/>
  <c r="C378" i="92"/>
  <c r="C499" i="92"/>
  <c r="C423" i="92"/>
  <c r="B323" i="92"/>
  <c r="B518" i="92"/>
  <c r="B520" i="92"/>
  <c r="B44" i="92"/>
  <c r="C376" i="92"/>
  <c r="C176" i="92"/>
  <c r="B604" i="92"/>
  <c r="C220" i="92"/>
  <c r="C138" i="92"/>
  <c r="C237" i="92"/>
  <c r="C224" i="92"/>
  <c r="N143" i="99" a="1"/>
  <c r="B528" i="92"/>
  <c r="C426" i="92"/>
  <c r="B578" i="92"/>
  <c r="B45" i="92"/>
  <c r="C600" i="92"/>
  <c r="C567" i="92"/>
  <c r="B479" i="92"/>
  <c r="B193" i="92"/>
  <c r="C495" i="92"/>
  <c r="B635" i="92"/>
  <c r="B579" i="92"/>
  <c r="B251" i="92"/>
  <c r="B554" i="92"/>
  <c r="C306" i="92"/>
  <c r="B497" i="92"/>
  <c r="C564" i="92"/>
  <c r="C620" i="92"/>
  <c r="C18" i="92"/>
  <c r="B571" i="92"/>
  <c r="C84" i="92"/>
  <c r="B294" i="92"/>
  <c r="C487" i="92"/>
  <c r="B78" i="92"/>
  <c r="C443" i="92"/>
  <c r="B7" i="92"/>
  <c r="C297" i="92"/>
  <c r="B57" i="92"/>
  <c r="C461" i="92"/>
  <c r="C531" i="92"/>
  <c r="C46" i="92"/>
  <c r="B464" i="92"/>
  <c r="B90" i="92"/>
  <c r="C566" i="92"/>
  <c r="B575" i="92"/>
  <c r="B112" i="92"/>
  <c r="B257" i="92"/>
  <c r="B131" i="92"/>
  <c r="B330" i="92"/>
  <c r="B88" i="92"/>
  <c r="B75" i="92"/>
  <c r="B201" i="92"/>
  <c r="B628" i="92"/>
  <c r="B259" i="92"/>
  <c r="C177" i="92"/>
  <c r="C403" i="92"/>
  <c r="B608" i="92"/>
  <c r="C196" i="92"/>
  <c r="B391" i="92"/>
  <c r="C47" i="92"/>
  <c r="C229" i="92"/>
  <c r="B117" i="92"/>
  <c r="C339" i="92"/>
  <c r="C296" i="92"/>
  <c r="C104" i="92"/>
  <c r="B389" i="92"/>
  <c r="C366" i="92"/>
  <c r="C380" i="92"/>
  <c r="B107" i="92"/>
  <c r="B624" i="92"/>
  <c r="B138" i="92"/>
  <c r="C143" i="92"/>
  <c r="C156" i="92"/>
  <c r="B180" i="92"/>
  <c r="B168" i="92"/>
  <c r="B326" i="92"/>
  <c r="B144" i="92"/>
  <c r="C334" i="92"/>
  <c r="C289" i="92"/>
  <c r="B53" i="92"/>
  <c r="B134" i="92"/>
  <c r="C126" i="92"/>
  <c r="I419" i="99" a="1"/>
  <c r="C618" i="92"/>
  <c r="C359" i="92"/>
  <c r="B103" i="92"/>
  <c r="B441" i="92"/>
  <c r="B32" i="92"/>
  <c r="B381" i="92"/>
  <c r="B66" i="92"/>
  <c r="C187" i="92"/>
  <c r="B502" i="92"/>
  <c r="B113" i="92"/>
  <c r="B432" i="92"/>
  <c r="B374" i="92"/>
  <c r="C501" i="92"/>
  <c r="B197" i="92"/>
  <c r="B311" i="92"/>
  <c r="B313" i="92"/>
  <c r="C125" i="92"/>
  <c r="B218" i="92"/>
  <c r="C274" i="92"/>
  <c r="B488" i="92"/>
  <c r="B244" i="92"/>
  <c r="B275" i="92"/>
  <c r="C534" i="92"/>
  <c r="B422" i="92"/>
  <c r="C128" i="92"/>
  <c r="C400" i="92"/>
  <c r="C342" i="92"/>
  <c r="B573" i="92"/>
  <c r="C454" i="92"/>
  <c r="C129" i="92"/>
  <c r="B385" i="92"/>
  <c r="B489" i="92"/>
  <c r="B231" i="92"/>
  <c r="B46" i="92"/>
  <c r="C548" i="92"/>
  <c r="C626" i="92"/>
  <c r="B101" i="92"/>
  <c r="O89" i="99" a="1"/>
  <c r="C576" i="92"/>
  <c r="B77" i="92"/>
  <c r="C93" i="92"/>
  <c r="B249" i="92"/>
  <c r="C523" i="92"/>
  <c r="C595" i="92"/>
  <c r="B481" i="92"/>
  <c r="C64" i="92"/>
  <c r="B601" i="92"/>
  <c r="B25" i="92"/>
  <c r="C375" i="92"/>
  <c r="B462" i="92"/>
  <c r="C346" i="92"/>
  <c r="C206" i="92"/>
  <c r="C94" i="92"/>
  <c r="B213" i="92"/>
  <c r="C508" i="92"/>
  <c r="O13" i="99" a="1"/>
  <c r="B328" i="92"/>
  <c r="B314" i="92"/>
  <c r="C208" i="92"/>
  <c r="C90" i="92"/>
  <c r="C530" i="92"/>
  <c r="C207" i="92"/>
  <c r="C114" i="92"/>
  <c r="C393" i="92"/>
  <c r="C384" i="92"/>
  <c r="B570" i="92"/>
  <c r="B287" i="92"/>
  <c r="B550" i="92"/>
  <c r="C397" i="92"/>
  <c r="C389" i="92"/>
  <c r="B232" i="92"/>
  <c r="C404" i="92"/>
  <c r="C394" i="92"/>
  <c r="B620" i="92"/>
  <c r="C27" i="92"/>
  <c r="B594" i="92"/>
  <c r="B340" i="92"/>
  <c r="C354" i="92"/>
  <c r="B189" i="92"/>
  <c r="B460" i="92"/>
  <c r="B114" i="92"/>
  <c r="C436" i="92"/>
  <c r="C502" i="92"/>
  <c r="B542" i="92"/>
  <c r="B545" i="92"/>
  <c r="C191" i="92"/>
  <c r="B544" i="92"/>
  <c r="C149" i="92"/>
  <c r="C592" i="92"/>
  <c r="C234" i="92"/>
  <c r="B175" i="92"/>
  <c r="C103" i="92"/>
  <c r="C594" i="92"/>
  <c r="B487" i="92"/>
  <c r="B411" i="92"/>
  <c r="B304" i="92"/>
  <c r="C305" i="92"/>
  <c r="B510" i="92"/>
  <c r="B474" i="92"/>
  <c r="C72" i="92"/>
  <c r="B30" i="92"/>
  <c r="B250" i="92"/>
  <c r="B567" i="92"/>
  <c r="B496" i="92"/>
  <c r="C629" i="92"/>
  <c r="B572" i="92"/>
  <c r="C464" i="92"/>
  <c r="C192" i="92"/>
  <c r="C62" i="92"/>
  <c r="B225" i="92"/>
  <c r="B367" i="92"/>
  <c r="B596" i="92"/>
  <c r="B253" i="92"/>
  <c r="B137" i="92"/>
  <c r="C3" i="92"/>
  <c r="C92" i="92"/>
  <c r="B602" i="92"/>
  <c r="C617" i="92"/>
  <c r="C360" i="92"/>
  <c r="C36" i="92"/>
  <c r="C242" i="92"/>
  <c r="C634" i="92"/>
  <c r="B503" i="92"/>
  <c r="C458" i="92"/>
  <c r="C406" i="92"/>
  <c r="B262" i="92"/>
  <c r="B152" i="92"/>
  <c r="B268" i="92"/>
  <c r="B136" i="92"/>
  <c r="C437" i="92"/>
  <c r="C241" i="92"/>
  <c r="C463" i="92"/>
  <c r="C7" i="92"/>
  <c r="B47" i="92"/>
  <c r="B457" i="92"/>
  <c r="B50" i="92"/>
  <c r="C469" i="92"/>
  <c r="B282" i="92"/>
  <c r="B607" i="92"/>
  <c r="C261" i="92"/>
  <c r="C636" i="92"/>
  <c r="C326" i="92"/>
  <c r="C248" i="92"/>
  <c r="B637" i="92"/>
  <c r="C180" i="92"/>
  <c r="B281" i="92"/>
  <c r="B80" i="92"/>
  <c r="C262" i="92"/>
  <c r="B458" i="92"/>
  <c r="C304" i="92"/>
  <c r="B100" i="92"/>
  <c r="B625" i="92"/>
  <c r="B147" i="92"/>
  <c r="C435" i="92"/>
  <c r="B126" i="92"/>
  <c r="B181" i="92"/>
  <c r="C233" i="92"/>
  <c r="C28" i="92"/>
  <c r="B43" i="92"/>
  <c r="C513" i="92"/>
  <c r="B33" i="92"/>
  <c r="C529" i="92"/>
  <c r="C549" i="92"/>
  <c r="C485" i="92"/>
  <c r="C230" i="92"/>
  <c r="C543" i="92"/>
  <c r="B383" i="92"/>
  <c r="C172" i="92"/>
  <c r="B169" i="92"/>
  <c r="C362" i="92"/>
  <c r="B559" i="92"/>
  <c r="B315" i="92"/>
  <c r="C503" i="92"/>
  <c r="C221" i="92"/>
  <c r="B153" i="92"/>
  <c r="B533" i="92"/>
  <c r="B368" i="92"/>
  <c r="B261" i="92"/>
  <c r="B543" i="92"/>
  <c r="C25" i="92"/>
  <c r="C270" i="92"/>
  <c r="C210" i="92"/>
  <c r="C188" i="92"/>
  <c r="C388" i="92"/>
  <c r="B245" i="92"/>
  <c r="B400" i="92"/>
  <c r="C407" i="92"/>
  <c r="C331" i="92"/>
  <c r="B499" i="92"/>
  <c r="C127" i="92"/>
  <c r="B234" i="92"/>
  <c r="B284" i="92"/>
  <c r="C528" i="92"/>
  <c r="B549" i="92"/>
  <c r="B623" i="92"/>
  <c r="C68" i="92"/>
  <c r="C317" i="92"/>
  <c r="C623" i="92"/>
  <c r="C67" i="92"/>
  <c r="B60" i="92"/>
  <c r="B283" i="92"/>
  <c r="B511" i="92"/>
  <c r="B306" i="92"/>
  <c r="B91" i="92"/>
  <c r="C558" i="92"/>
  <c r="C522" i="92"/>
  <c r="B379" i="92"/>
  <c r="C124" i="92"/>
  <c r="C512" i="92"/>
  <c r="C82" i="92"/>
  <c r="B59" i="92"/>
  <c r="C283" i="92"/>
  <c r="B198" i="92"/>
  <c r="B356" i="92"/>
  <c r="B115" i="92"/>
  <c r="C318" i="92"/>
  <c r="C280" i="92"/>
  <c r="B564" i="92"/>
  <c r="C37" i="92"/>
  <c r="C460" i="92"/>
  <c r="C490" i="92"/>
  <c r="C300" i="92"/>
  <c r="C81" i="92"/>
  <c r="C74" i="92"/>
  <c r="B109" i="92"/>
  <c r="C240" i="92"/>
  <c r="B627" i="92"/>
  <c r="B270" i="92"/>
  <c r="C387" i="92"/>
  <c r="B135" i="92"/>
  <c r="B399" i="92"/>
  <c r="C87" i="92"/>
  <c r="C405" i="92"/>
  <c r="B146" i="92"/>
  <c r="C211" i="92"/>
  <c r="C483" i="92"/>
  <c r="C77" i="92"/>
  <c r="C6" i="92"/>
  <c r="C299" i="92"/>
  <c r="B633" i="92"/>
  <c r="B16" i="92"/>
  <c r="C268" i="92"/>
  <c r="C510" i="92"/>
  <c r="B215" i="92"/>
  <c r="C635" i="92"/>
  <c r="C247" i="92"/>
  <c r="B522" i="92"/>
  <c r="C357" i="92"/>
  <c r="AF13" i="99" a="1"/>
  <c r="B37" i="92"/>
  <c r="B212" i="92"/>
  <c r="B452" i="92"/>
  <c r="B312" i="92"/>
  <c r="B434" i="92"/>
  <c r="B8" i="92"/>
  <c r="C61" i="92"/>
  <c r="C444" i="92"/>
  <c r="B568" i="92"/>
  <c r="C509" i="92"/>
  <c r="B345" i="92"/>
  <c r="B297" i="92"/>
  <c r="C213" i="92"/>
  <c r="C382" i="92"/>
  <c r="C186" i="92"/>
  <c r="B548" i="92"/>
  <c r="C178" i="92"/>
  <c r="C58" i="92"/>
  <c r="B482" i="92"/>
  <c r="C432" i="92"/>
  <c r="B124" i="92"/>
  <c r="C545" i="92"/>
  <c r="C356" i="92"/>
  <c r="C260" i="92"/>
  <c r="B466" i="92"/>
  <c r="B184" i="92"/>
  <c r="B576" i="92"/>
  <c r="C606" i="92"/>
  <c r="C619" i="92"/>
  <c r="C368" i="92"/>
  <c r="C572" i="92"/>
  <c r="C63" i="92"/>
  <c r="C258" i="92"/>
  <c r="B237" i="92"/>
  <c r="B260" i="92"/>
  <c r="B447" i="92"/>
  <c r="B290" i="92"/>
  <c r="C489" i="92"/>
  <c r="B335" i="92"/>
  <c r="B210" i="92"/>
  <c r="B410" i="92"/>
  <c r="B553" i="92"/>
  <c r="B352" i="92"/>
  <c r="P35" i="99" a="1"/>
  <c r="C236" i="92"/>
  <c r="B360" i="92"/>
  <c r="C66" i="92"/>
  <c r="B54" i="92"/>
  <c r="B82" i="92"/>
  <c r="B332" i="92"/>
  <c r="B48" i="92"/>
  <c r="C111" i="92"/>
  <c r="C243" i="92"/>
  <c r="B219" i="92"/>
  <c r="B98" i="92"/>
  <c r="C145" i="92"/>
  <c r="B415" i="92"/>
  <c r="C604" i="92"/>
  <c r="B539" i="92"/>
  <c r="B336" i="92"/>
  <c r="C325" i="92"/>
  <c r="B541" i="92"/>
  <c r="C71" i="92"/>
  <c r="C544" i="92"/>
  <c r="B519" i="92"/>
  <c r="C130" i="92"/>
  <c r="B255" i="92"/>
  <c r="B142" i="92"/>
  <c r="B308" i="92"/>
  <c r="B104" i="92"/>
  <c r="B76" i="92"/>
  <c r="C212" i="92"/>
  <c r="C358" i="92"/>
  <c r="B450" i="92"/>
  <c r="B173" i="92"/>
  <c r="C418" i="92"/>
  <c r="B504" i="92"/>
  <c r="C198" i="92"/>
  <c r="B500" i="92"/>
  <c r="C110" i="92"/>
  <c r="B560" i="92"/>
  <c r="B208" i="92"/>
  <c r="B108" i="92"/>
  <c r="C381" i="92"/>
  <c r="C420" i="92"/>
  <c r="B597" i="92"/>
  <c r="C120" i="92"/>
  <c r="B190" i="92"/>
  <c r="C559" i="92"/>
  <c r="C473" i="92"/>
  <c r="C427" i="92"/>
  <c r="B451" i="92"/>
  <c r="C168" i="92"/>
  <c r="C598" i="92"/>
  <c r="B73" i="92"/>
  <c r="B170" i="92"/>
  <c r="B606" i="92"/>
  <c r="B523" i="92"/>
  <c r="C132" i="92"/>
  <c r="C218" i="92"/>
  <c r="O35" i="99" a="1"/>
  <c r="C102" i="92"/>
  <c r="B630" i="92"/>
  <c r="B407" i="92"/>
  <c r="B364" i="92"/>
  <c r="B6" i="92"/>
  <c r="C555" i="92"/>
  <c r="B423" i="92"/>
  <c r="N13" i="99" a="1"/>
  <c r="B525" i="92"/>
  <c r="C456" i="92"/>
  <c r="C511" i="92"/>
  <c r="C5" i="92"/>
  <c r="C269" i="92"/>
  <c r="B123" i="92"/>
  <c r="C245" i="92"/>
  <c r="B470" i="92"/>
  <c r="B295" i="92"/>
  <c r="C290" i="92"/>
  <c r="C275" i="92"/>
  <c r="B587" i="92"/>
  <c r="B211" i="92"/>
  <c r="C99" i="92"/>
  <c r="B409" i="92"/>
  <c r="B3" i="92"/>
  <c r="C480" i="92"/>
  <c r="C142" i="92"/>
  <c r="B408" i="92"/>
  <c r="C73" i="92"/>
  <c r="B414" i="92"/>
  <c r="B463" i="92"/>
  <c r="B390" i="92"/>
  <c r="B145" i="92"/>
  <c r="C140" i="92"/>
  <c r="C337" i="92"/>
  <c r="B322" i="92"/>
  <c r="B402" i="92"/>
  <c r="C479" i="92"/>
  <c r="C383" i="92"/>
  <c r="B52" i="92"/>
  <c r="B508" i="92"/>
  <c r="B398" i="92"/>
  <c r="C374" i="92"/>
  <c r="B246" i="92"/>
  <c r="B229" i="92"/>
  <c r="C440" i="92"/>
  <c r="C476" i="92"/>
  <c r="C197" i="92"/>
  <c r="B366" i="92"/>
  <c r="B256" i="92"/>
  <c r="C223" i="92"/>
  <c r="B394" i="92"/>
  <c r="B206" i="92"/>
  <c r="B563" i="92"/>
  <c r="C89" i="92"/>
  <c r="C267" i="92"/>
  <c r="C266" i="92"/>
  <c r="B526" i="92"/>
  <c r="P89" i="99" a="1"/>
  <c r="B480" i="92"/>
  <c r="B536" i="92"/>
  <c r="B222" i="92"/>
  <c r="B266" i="92"/>
  <c r="B132" i="92"/>
  <c r="B204" i="92"/>
  <c r="C625" i="92"/>
  <c r="B12" i="92"/>
  <c r="C447" i="92"/>
  <c r="B280" i="92"/>
  <c r="B455" i="92"/>
  <c r="AG60" i="99" a="1"/>
  <c r="O143" i="99" a="1"/>
  <c r="B437" i="92"/>
  <c r="C20" i="92"/>
  <c r="B478" i="92"/>
  <c r="B517" i="92"/>
  <c r="B426" i="92"/>
  <c r="B393" i="92"/>
  <c r="C535" i="92"/>
  <c r="B179" i="92"/>
  <c r="B171" i="92"/>
  <c r="C561" i="92"/>
  <c r="C347" i="92"/>
  <c r="C189" i="92"/>
  <c r="C525" i="92"/>
  <c r="C554" i="92"/>
  <c r="B148" i="92"/>
  <c r="C539" i="92"/>
  <c r="B446" i="92"/>
  <c r="B176" i="92"/>
  <c r="B593" i="92"/>
  <c r="C551" i="92"/>
  <c r="C134" i="92"/>
  <c r="B139" i="92"/>
  <c r="B331" i="92"/>
  <c r="B375" i="92"/>
  <c r="B531" i="92"/>
  <c r="B92" i="92"/>
  <c r="B55" i="92"/>
  <c r="B238" i="92"/>
  <c r="C332" i="92"/>
  <c r="B577" i="92"/>
  <c r="B203" i="92"/>
  <c r="B10" i="92"/>
  <c r="B122" i="92"/>
  <c r="B155" i="92"/>
  <c r="C256" i="92"/>
  <c r="C148" i="92"/>
  <c r="C579" i="92"/>
  <c r="B221" i="92"/>
  <c r="B333" i="92"/>
  <c r="B387" i="92"/>
  <c r="C70" i="92"/>
  <c r="C335" i="92"/>
  <c r="B436" i="92"/>
  <c r="AH114" i="99" a="1"/>
  <c r="B516" i="92"/>
  <c r="C228" i="92"/>
  <c r="C175" i="92"/>
  <c r="C96" i="92"/>
  <c r="B471" i="92"/>
  <c r="B428" i="92"/>
  <c r="B154" i="92"/>
  <c r="C287" i="92"/>
  <c r="C265" i="92"/>
  <c r="B493" i="92"/>
  <c r="B70" i="92"/>
  <c r="C157" i="92"/>
  <c r="C578" i="92"/>
  <c r="O114" i="99" a="1"/>
  <c r="C54" i="92"/>
  <c r="B265" i="92"/>
  <c r="C88" i="92"/>
  <c r="C33" i="92"/>
  <c r="B85" i="92"/>
  <c r="B64" i="92"/>
  <c r="B603" i="92"/>
  <c r="B174" i="92"/>
  <c r="C249" i="92"/>
  <c r="C15" i="92"/>
  <c r="C16" i="92"/>
  <c r="B341" i="92"/>
  <c r="C431" i="92"/>
  <c r="B233" i="92"/>
  <c r="C154" i="92"/>
  <c r="C105" i="92"/>
  <c r="C542" i="92"/>
  <c r="B202" i="92"/>
  <c r="B93" i="92"/>
  <c r="B618" i="92"/>
  <c r="C279" i="92"/>
  <c r="B110" i="92"/>
  <c r="C416" i="92"/>
  <c r="B95" i="92"/>
  <c r="C350" i="92"/>
  <c r="B388" i="92"/>
  <c r="C273" i="92"/>
  <c r="B562" i="92"/>
  <c r="B412" i="92"/>
  <c r="C244" i="92"/>
  <c r="B258" i="92"/>
  <c r="C65" i="92"/>
  <c r="C86" i="92"/>
  <c r="B377" i="92"/>
  <c r="P114" i="99" a="1"/>
  <c r="B71" i="92"/>
  <c r="C155" i="92"/>
  <c r="B537" i="92"/>
  <c r="B302" i="92"/>
  <c r="C631" i="92"/>
  <c r="B263" i="92"/>
  <c r="C183" i="92"/>
  <c r="C232" i="92"/>
  <c r="C621" i="92"/>
  <c r="C452" i="92"/>
  <c r="B228" i="92"/>
  <c r="C343" i="92"/>
  <c r="C459" i="92"/>
  <c r="B527" i="92"/>
  <c r="B514" i="92"/>
  <c r="B205" i="92"/>
  <c r="B141" i="92"/>
  <c r="B561" i="92"/>
  <c r="B316" i="92"/>
  <c r="C312" i="92"/>
  <c r="B362" i="92"/>
  <c r="C482" i="92"/>
  <c r="C79" i="92"/>
  <c r="C227" i="92"/>
  <c r="C477" i="92"/>
  <c r="C450" i="92"/>
  <c r="C370" i="92"/>
  <c r="B87" i="92"/>
  <c r="C520" i="92"/>
  <c r="C281" i="92"/>
  <c r="B119" i="92"/>
  <c r="C628" i="92"/>
  <c r="C474" i="92"/>
  <c r="C179" i="92"/>
  <c r="C408" i="92"/>
  <c r="C527" i="92"/>
  <c r="C494" i="92"/>
  <c r="B29" i="92"/>
  <c r="C471" i="92"/>
  <c r="C506" i="92"/>
  <c r="C53" i="92"/>
  <c r="C60" i="92"/>
  <c r="B546" i="92"/>
  <c r="C398" i="92"/>
  <c r="C455" i="92"/>
  <c r="C602" i="92"/>
  <c r="C570" i="92"/>
  <c r="C379" i="92"/>
  <c r="B358" i="92"/>
  <c r="B598" i="92"/>
  <c r="C298" i="92"/>
  <c r="B121" i="92"/>
  <c r="B239" i="92"/>
  <c r="B438" i="92"/>
  <c r="B133" i="92"/>
  <c r="B376" i="92"/>
  <c r="B569" i="92"/>
  <c r="C321" i="92"/>
  <c r="B417" i="92"/>
  <c r="C441" i="92"/>
  <c r="C422" i="92"/>
  <c r="B626" i="92"/>
  <c r="C390" i="92"/>
  <c r="C57" i="92"/>
  <c r="B380" i="92"/>
  <c r="B589" i="92"/>
  <c r="C457" i="92"/>
  <c r="C295" i="92"/>
  <c r="C131" i="92"/>
  <c r="B300" i="92"/>
  <c r="B459" i="92"/>
  <c r="B118" i="92"/>
  <c r="C518" i="92"/>
  <c r="C492" i="92"/>
  <c r="B595" i="92"/>
  <c r="C377" i="92"/>
  <c r="B403" i="92"/>
  <c r="C336" i="92"/>
  <c r="C517" i="92"/>
  <c r="C238" i="92"/>
  <c r="C272" i="92"/>
  <c r="B83" i="92"/>
  <c r="C259" i="92"/>
  <c r="B49" i="92"/>
  <c r="C203" i="92"/>
  <c r="C69" i="92"/>
  <c r="B540" i="92"/>
  <c r="C624" i="92"/>
  <c r="C363" i="92"/>
  <c r="C171" i="92"/>
  <c r="C250" i="92"/>
  <c r="B51" i="92"/>
  <c r="C254" i="92"/>
  <c r="B532" i="92"/>
  <c r="C569" i="92"/>
  <c r="C100" i="92"/>
  <c r="B89" i="92"/>
  <c r="C133" i="92"/>
  <c r="B631" i="92"/>
  <c r="AH38" i="72" l="1"/>
  <c r="AH37" i="72" s="1"/>
  <c r="GV15" i="72"/>
  <c r="GU15" i="72"/>
  <c r="HR28" i="72"/>
  <c r="HS28" i="72"/>
  <c r="IO25" i="72"/>
  <c r="IP25" i="72"/>
  <c r="JM33" i="72"/>
  <c r="JL33" i="72"/>
  <c r="CK25" i="72"/>
  <c r="CJ25" i="72"/>
  <c r="CJ27" i="72"/>
  <c r="CK27" i="72"/>
  <c r="DH14" i="72"/>
  <c r="DG14" i="72"/>
  <c r="JL17" i="72"/>
  <c r="JM17" i="72"/>
  <c r="ED29" i="72"/>
  <c r="EE29" i="72"/>
  <c r="CK18" i="72"/>
  <c r="CJ18" i="72"/>
  <c r="IP27" i="72"/>
  <c r="IO27" i="72"/>
  <c r="FB34" i="72"/>
  <c r="FA34" i="72"/>
  <c r="CK31" i="72"/>
  <c r="CJ31" i="72"/>
  <c r="DG19" i="72"/>
  <c r="DH19" i="72"/>
  <c r="DH15" i="72"/>
  <c r="DG15" i="72"/>
  <c r="GV18" i="72"/>
  <c r="GU18" i="72"/>
  <c r="FA20" i="72"/>
  <c r="FB20" i="72"/>
  <c r="JM19" i="72"/>
  <c r="JL19" i="72"/>
  <c r="HR34" i="72"/>
  <c r="HS34" i="72"/>
  <c r="HS31" i="72"/>
  <c r="HR31" i="72"/>
  <c r="FX33" i="72"/>
  <c r="FY33" i="72"/>
  <c r="ED23" i="72"/>
  <c r="EE23" i="72"/>
  <c r="GU25" i="72"/>
  <c r="GV25" i="72"/>
  <c r="ED20" i="72"/>
  <c r="EE20" i="72"/>
  <c r="JL16" i="72"/>
  <c r="JM16" i="72"/>
  <c r="GV24" i="72"/>
  <c r="GU24" i="72"/>
  <c r="FY34" i="72"/>
  <c r="FX34" i="72"/>
  <c r="IO31" i="72"/>
  <c r="IP31" i="72"/>
  <c r="EE15" i="72"/>
  <c r="ED15" i="72"/>
  <c r="GV28" i="72"/>
  <c r="GU28" i="72"/>
  <c r="JM30" i="72"/>
  <c r="JL30" i="72"/>
  <c r="CJ17" i="72"/>
  <c r="CK17" i="72"/>
  <c r="CJ21" i="72"/>
  <c r="CK21" i="72"/>
  <c r="IP24" i="72"/>
  <c r="IO24" i="72"/>
  <c r="IO14" i="72"/>
  <c r="IP14" i="72"/>
  <c r="ED33" i="72"/>
  <c r="EE33" i="72"/>
  <c r="JM23" i="72"/>
  <c r="JL23" i="72"/>
  <c r="FA19" i="72"/>
  <c r="FB19" i="72"/>
  <c r="FB32" i="72"/>
  <c r="FA32" i="72"/>
  <c r="JL29" i="72"/>
  <c r="JM29" i="72"/>
  <c r="HS22" i="72"/>
  <c r="HR22" i="72"/>
  <c r="FX27" i="72"/>
  <c r="FY27" i="72"/>
  <c r="ED21" i="72"/>
  <c r="EE21" i="72"/>
  <c r="DG18" i="72"/>
  <c r="DH18" i="72"/>
  <c r="IO18" i="72"/>
  <c r="IP18" i="72"/>
  <c r="HS30" i="72"/>
  <c r="HR30" i="72"/>
  <c r="FY20" i="72"/>
  <c r="FX20" i="72"/>
  <c r="HS19" i="72"/>
  <c r="HR19" i="72"/>
  <c r="FX22" i="72"/>
  <c r="FY22" i="72"/>
  <c r="GU14" i="72"/>
  <c r="GV14" i="72"/>
  <c r="CK26" i="72"/>
  <c r="CJ26" i="72"/>
  <c r="CK23" i="72"/>
  <c r="CJ23" i="72"/>
  <c r="FA21" i="72"/>
  <c r="FB21" i="72"/>
  <c r="JL34" i="72"/>
  <c r="JM34" i="72"/>
  <c r="CK32" i="72"/>
  <c r="CJ32" i="72"/>
  <c r="JM15" i="72"/>
  <c r="JL15" i="72"/>
  <c r="HR26" i="72"/>
  <c r="HS26" i="72"/>
  <c r="FA17" i="72"/>
  <c r="FB17" i="72"/>
  <c r="FA23" i="72"/>
  <c r="FB23" i="72"/>
  <c r="FB27" i="72"/>
  <c r="FA27" i="72"/>
  <c r="FB24" i="72"/>
  <c r="FA24" i="72"/>
  <c r="FX17" i="72"/>
  <c r="FY17" i="72"/>
  <c r="EE25" i="72"/>
  <c r="ED25" i="72"/>
  <c r="DG16" i="72"/>
  <c r="DH16" i="72"/>
  <c r="ED19" i="72"/>
  <c r="EE19" i="72"/>
  <c r="EE24" i="72"/>
  <c r="ED24" i="72"/>
  <c r="JM24" i="72"/>
  <c r="JL24" i="72"/>
  <c r="HS33" i="72"/>
  <c r="HR33" i="72"/>
  <c r="CK34" i="72"/>
  <c r="CJ34" i="72"/>
  <c r="IP16" i="72"/>
  <c r="IO16" i="72"/>
  <c r="CK30" i="72"/>
  <c r="CJ30" i="72"/>
  <c r="JM27" i="72"/>
  <c r="JL27" i="72"/>
  <c r="FY23" i="72"/>
  <c r="FX23" i="72"/>
  <c r="FB18" i="72"/>
  <c r="FA18" i="72"/>
  <c r="FA14" i="72"/>
  <c r="FB14" i="72"/>
  <c r="GV21" i="72"/>
  <c r="GU21" i="72"/>
  <c r="CK24" i="72"/>
  <c r="CJ24" i="72"/>
  <c r="IO34" i="72"/>
  <c r="IP34" i="72"/>
  <c r="ED22" i="72"/>
  <c r="EE22" i="72"/>
  <c r="GV30" i="72"/>
  <c r="GU30" i="72"/>
  <c r="DG32" i="72"/>
  <c r="DH32" i="72"/>
  <c r="EE17" i="72"/>
  <c r="ED17" i="72"/>
  <c r="DG34" i="72"/>
  <c r="DH34" i="72"/>
  <c r="DH17" i="72"/>
  <c r="DG17" i="72"/>
  <c r="ED26" i="72"/>
  <c r="EE26" i="72"/>
  <c r="DG33" i="72"/>
  <c r="DH33" i="72"/>
  <c r="FB26" i="72"/>
  <c r="FA26" i="72"/>
  <c r="FY26" i="72"/>
  <c r="FX26" i="72"/>
  <c r="GV23" i="72"/>
  <c r="GU23" i="72"/>
  <c r="IO17" i="72"/>
  <c r="IP17" i="72"/>
  <c r="GU19" i="72"/>
  <c r="GV19" i="72"/>
  <c r="GV20" i="72"/>
  <c r="GU20" i="72"/>
  <c r="FY30" i="72"/>
  <c r="FX30" i="72"/>
  <c r="FA22" i="72"/>
  <c r="FB22" i="72"/>
  <c r="GU17" i="72"/>
  <c r="GV17" i="72"/>
  <c r="GV22" i="72"/>
  <c r="GU22" i="72"/>
  <c r="IP28" i="72"/>
  <c r="IO28" i="72"/>
  <c r="IP19" i="72"/>
  <c r="IO19" i="72"/>
  <c r="IP20" i="72"/>
  <c r="IO20" i="72"/>
  <c r="FY21" i="72"/>
  <c r="FX21" i="72"/>
  <c r="HS27" i="72"/>
  <c r="HR27" i="72"/>
  <c r="CJ15" i="72"/>
  <c r="CK15" i="72"/>
  <c r="FB30" i="72"/>
  <c r="FA30" i="72"/>
  <c r="DH29" i="72"/>
  <c r="DG29" i="72"/>
  <c r="DG22" i="72"/>
  <c r="DH22" i="72"/>
  <c r="DH25" i="72"/>
  <c r="DG25" i="72"/>
  <c r="FY32" i="72"/>
  <c r="FX32" i="72"/>
  <c r="FY28" i="72"/>
  <c r="FX28" i="72"/>
  <c r="JM31" i="72"/>
  <c r="JL31" i="72"/>
  <c r="JL18" i="72"/>
  <c r="JM18" i="72"/>
  <c r="ED31" i="72"/>
  <c r="EE31" i="72"/>
  <c r="GV16" i="72"/>
  <c r="GU16" i="72"/>
  <c r="GU33" i="72"/>
  <c r="GV33" i="72"/>
  <c r="CJ19" i="72"/>
  <c r="CK19" i="72"/>
  <c r="FX15" i="72"/>
  <c r="FY15" i="72"/>
  <c r="JL20" i="72"/>
  <c r="JM20" i="72"/>
  <c r="IP32" i="72"/>
  <c r="IO32" i="72"/>
  <c r="CJ22" i="72"/>
  <c r="CK22" i="72"/>
  <c r="CJ29" i="72"/>
  <c r="CK29" i="72"/>
  <c r="JM25" i="72"/>
  <c r="JL25" i="72"/>
  <c r="IO33" i="72"/>
  <c r="IP33" i="72"/>
  <c r="HR23" i="72"/>
  <c r="HS23" i="72"/>
  <c r="DH23" i="72"/>
  <c r="DG23" i="72"/>
  <c r="FA33" i="72"/>
  <c r="FB33" i="72"/>
  <c r="HS24" i="72"/>
  <c r="HR24" i="72"/>
  <c r="JM21" i="72"/>
  <c r="JL21" i="72"/>
  <c r="ED34" i="72"/>
  <c r="EE34" i="72"/>
  <c r="HS17" i="72"/>
  <c r="HR17" i="72"/>
  <c r="FX18" i="72"/>
  <c r="FY18" i="72"/>
  <c r="ED27" i="72"/>
  <c r="EE27" i="72"/>
  <c r="DH21" i="72"/>
  <c r="DG21" i="72"/>
  <c r="EE16" i="72"/>
  <c r="ED16" i="72"/>
  <c r="FX25" i="72"/>
  <c r="FY25" i="72"/>
  <c r="GU27" i="72"/>
  <c r="GV27" i="72"/>
  <c r="EE32" i="72"/>
  <c r="ED32" i="72"/>
  <c r="CJ33" i="72"/>
  <c r="CK33" i="72"/>
  <c r="HS16" i="72"/>
  <c r="HR16" i="72"/>
  <c r="JM32" i="72"/>
  <c r="JL32" i="72"/>
  <c r="FA25" i="72"/>
  <c r="FB25" i="72"/>
  <c r="HS15" i="72"/>
  <c r="HR15" i="72"/>
  <c r="HS25" i="72"/>
  <c r="HR25" i="72"/>
  <c r="CJ20" i="72"/>
  <c r="CK20" i="72"/>
  <c r="JM22" i="72"/>
  <c r="JL22" i="72"/>
  <c r="IO22" i="72"/>
  <c r="IP22" i="72"/>
  <c r="GV32" i="72"/>
  <c r="GU32" i="72"/>
  <c r="HS21" i="72"/>
  <c r="HR21" i="72"/>
  <c r="FA31" i="72"/>
  <c r="FB31" i="72"/>
  <c r="HR20" i="72"/>
  <c r="HS20" i="72"/>
  <c r="FY31" i="72"/>
  <c r="FX31" i="72"/>
  <c r="HS29" i="72"/>
  <c r="HR29" i="72"/>
  <c r="DG27" i="72"/>
  <c r="DH27" i="72"/>
  <c r="FY19" i="72"/>
  <c r="FX19" i="72"/>
  <c r="ED30" i="72"/>
  <c r="EE30" i="72"/>
  <c r="FX29" i="72"/>
  <c r="FY29" i="72"/>
  <c r="IO26" i="72"/>
  <c r="IP26" i="72"/>
  <c r="IP21" i="72"/>
  <c r="IO21" i="72"/>
  <c r="IP23" i="72"/>
  <c r="IO23" i="72"/>
  <c r="JL28" i="72"/>
  <c r="JM28" i="72"/>
  <c r="FX16" i="72"/>
  <c r="FY16" i="72"/>
  <c r="GV26" i="72"/>
  <c r="GU26" i="72"/>
  <c r="HS32" i="72"/>
  <c r="HR32" i="72"/>
  <c r="JL26" i="72"/>
  <c r="JM26" i="72"/>
  <c r="FB29" i="72"/>
  <c r="FA29" i="72"/>
  <c r="GU31" i="72"/>
  <c r="GV31" i="72"/>
  <c r="CK16" i="72"/>
  <c r="CJ16" i="72"/>
  <c r="IP15" i="72"/>
  <c r="IO15" i="72"/>
  <c r="IP30" i="72"/>
  <c r="IO30" i="72"/>
  <c r="FA15" i="72"/>
  <c r="FB15" i="72"/>
  <c r="GU34" i="72"/>
  <c r="GV34" i="72"/>
  <c r="FB28" i="72"/>
  <c r="FA28" i="72"/>
  <c r="ED28" i="72"/>
  <c r="EE28" i="72"/>
  <c r="DG26" i="72"/>
  <c r="DH26" i="72"/>
  <c r="DH20" i="72"/>
  <c r="DG20" i="72"/>
  <c r="DG30" i="72"/>
  <c r="DH30" i="72"/>
  <c r="EE18" i="72"/>
  <c r="ED18" i="72"/>
  <c r="DH31" i="72"/>
  <c r="DG31" i="72"/>
  <c r="DG24" i="72"/>
  <c r="DH24" i="72"/>
  <c r="H7" i="12"/>
  <c r="H6" i="11"/>
  <c r="H6" i="70"/>
  <c r="L6" i="94"/>
  <c r="I419" i="99"/>
  <c r="AG60" i="99"/>
  <c r="O114" i="99"/>
  <c r="P35" i="99"/>
  <c r="P114" i="99"/>
  <c r="O35" i="99"/>
  <c r="O13" i="99"/>
  <c r="AG13" i="99"/>
  <c r="AG114" i="99"/>
  <c r="O60" i="99"/>
  <c r="N13" i="99"/>
  <c r="N143" i="99"/>
  <c r="H419" i="99"/>
  <c r="P89" i="99"/>
  <c r="O89" i="99"/>
  <c r="P60" i="99"/>
  <c r="O143" i="99"/>
  <c r="AF13" i="99"/>
  <c r="AH60" i="99"/>
  <c r="AH89" i="99"/>
  <c r="AH114" i="99"/>
  <c r="AH35" i="99"/>
  <c r="AG35" i="99"/>
  <c r="AG89" i="99"/>
  <c r="L222" i="94"/>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P600" i="92" a="1"/>
  <c r="Q600" i="92" a="1"/>
  <c r="P619" i="92" a="1"/>
  <c r="P581" i="92" a="1"/>
  <c r="Q566" i="92" a="1"/>
  <c r="Q581" i="92" a="1"/>
  <c r="Q551" i="92" a="1"/>
  <c r="P566" i="92" a="1"/>
  <c r="P551" i="92" a="1"/>
  <c r="Q619" i="92" a="1"/>
  <c r="CK14" i="72" l="1"/>
  <c r="CJ14" i="72"/>
  <c r="FY14" i="72"/>
  <c r="FX14" i="72"/>
  <c r="HS14" i="72"/>
  <c r="HR14" i="72"/>
  <c r="Q566" i="92"/>
  <c r="P619" i="92"/>
  <c r="P551" i="92"/>
  <c r="P600" i="92"/>
  <c r="Q581" i="92"/>
  <c r="Q551" i="92"/>
  <c r="P581" i="92"/>
  <c r="P566" i="92"/>
  <c r="Q619" i="92"/>
  <c r="Q600" i="92"/>
  <c r="HM14" i="72"/>
  <c r="HN14" i="72" s="1"/>
  <c r="HO14" i="72"/>
  <c r="CG14" i="72"/>
  <c r="CE14" i="72"/>
  <c r="CF14" i="72" s="1"/>
  <c r="FS14" i="72"/>
  <c r="FT14" i="72" s="1"/>
  <c r="FU14" i="72"/>
  <c r="K26" i="36"/>
  <c r="H6" i="94" s="1"/>
  <c r="G73" i="94" s="1"/>
  <c r="W17" i="36"/>
  <c r="AB7" i="75"/>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S16" i="75" l="1" a="1"/>
  <c r="S16" i="75" s="1"/>
  <c r="AD16" i="36"/>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S35" i="72" s="1"/>
  <c r="BV14" i="72" a="1"/>
  <c r="BV14" i="72" s="1"/>
  <c r="H14" i="72" s="1"/>
  <c r="H35" i="72" s="1"/>
  <c r="BR14" i="72" a="1"/>
  <c r="BR14" i="72" s="1"/>
  <c r="BR35" i="72" s="1"/>
  <c r="BU14" i="72" a="1"/>
  <c r="BU14" i="72" s="1"/>
  <c r="G14" i="72" s="1"/>
  <c r="G35" i="72" s="1"/>
  <c r="BT14" i="72" a="1"/>
  <c r="BT14" i="72" s="1"/>
  <c r="BX14" i="72" a="1"/>
  <c r="BX14" i="72" s="1"/>
  <c r="BD14" i="72" a="1"/>
  <c r="BD14" i="72" s="1"/>
  <c r="BD35" i="72" l="1"/>
  <c r="BE14" i="72" s="1"/>
  <c r="BG14" i="72" s="1"/>
  <c r="BN14" i="72" l="1"/>
  <c r="AN14" i="72"/>
  <c r="BM14" i="72"/>
  <c r="BE25" i="72"/>
  <c r="BG25" i="72" s="1"/>
  <c r="AN25" i="72" s="1"/>
  <c r="AR25" i="72" s="1"/>
  <c r="AS25" i="72" s="1"/>
  <c r="AO25" i="72" s="1"/>
  <c r="BE17" i="72"/>
  <c r="BG17" i="72" s="1"/>
  <c r="AN17" i="72" s="1"/>
  <c r="AR17" i="72" s="1"/>
  <c r="AS17" i="72" s="1"/>
  <c r="AO17" i="72" s="1"/>
  <c r="BE30" i="72"/>
  <c r="BG30" i="72" s="1"/>
  <c r="AN30" i="72" s="1"/>
  <c r="AR30" i="72" s="1"/>
  <c r="AS30" i="72" s="1"/>
  <c r="AO30" i="72" s="1"/>
  <c r="BE32" i="72"/>
  <c r="BG32" i="72" s="1"/>
  <c r="AN32" i="72" s="1"/>
  <c r="AR32" i="72" s="1"/>
  <c r="AS32" i="72" s="1"/>
  <c r="AO32" i="72" s="1"/>
  <c r="BE20" i="72"/>
  <c r="BG20" i="72" s="1"/>
  <c r="AN20" i="72" s="1"/>
  <c r="AR20" i="72" s="1"/>
  <c r="AS20" i="72" s="1"/>
  <c r="AO20" i="72" s="1"/>
  <c r="BE28" i="72"/>
  <c r="BG28" i="72" s="1"/>
  <c r="AN28" i="72" s="1"/>
  <c r="AR28" i="72" s="1"/>
  <c r="AS28" i="72" s="1"/>
  <c r="AO28" i="72" s="1"/>
  <c r="BE27" i="72"/>
  <c r="BG27" i="72" s="1"/>
  <c r="AN27" i="72" s="1"/>
  <c r="AR27" i="72" s="1"/>
  <c r="AS27" i="72" s="1"/>
  <c r="AO27" i="72" s="1"/>
  <c r="BE26" i="72"/>
  <c r="BG26" i="72" s="1"/>
  <c r="AN26" i="72" s="1"/>
  <c r="AR26" i="72" s="1"/>
  <c r="AS26" i="72" s="1"/>
  <c r="AO26" i="72" s="1"/>
  <c r="BE15" i="72"/>
  <c r="BG15" i="72" s="1"/>
  <c r="AN15" i="72" s="1"/>
  <c r="AR15" i="72" s="1"/>
  <c r="AS15" i="72" s="1"/>
  <c r="AO15" i="72" s="1"/>
  <c r="BE34" i="72"/>
  <c r="BG34" i="72" s="1"/>
  <c r="AN34" i="72" s="1"/>
  <c r="AR34" i="72" s="1"/>
  <c r="AS34" i="72" s="1"/>
  <c r="AO34" i="72" s="1"/>
  <c r="BE23" i="72"/>
  <c r="BG23" i="72" s="1"/>
  <c r="AN23" i="72" s="1"/>
  <c r="AR23" i="72" s="1"/>
  <c r="AS23" i="72" s="1"/>
  <c r="AO23" i="72" s="1"/>
  <c r="BE24" i="72"/>
  <c r="BG24" i="72" s="1"/>
  <c r="AN24" i="72" s="1"/>
  <c r="AR24" i="72" s="1"/>
  <c r="AS24" i="72" s="1"/>
  <c r="AO24" i="72" s="1"/>
  <c r="BE22" i="72"/>
  <c r="BG22" i="72" s="1"/>
  <c r="AN22" i="72" s="1"/>
  <c r="AR22" i="72" s="1"/>
  <c r="AS22" i="72" s="1"/>
  <c r="AO22" i="72" s="1"/>
  <c r="BE18" i="72"/>
  <c r="BG18" i="72" s="1"/>
  <c r="AN18" i="72" s="1"/>
  <c r="AR18" i="72" s="1"/>
  <c r="AS18" i="72" s="1"/>
  <c r="AO18" i="72" s="1"/>
  <c r="BE33" i="72"/>
  <c r="BG33" i="72" s="1"/>
  <c r="AN33" i="72" s="1"/>
  <c r="AR33" i="72" s="1"/>
  <c r="AS33" i="72" s="1"/>
  <c r="AO33" i="72" s="1"/>
  <c r="BJ14" i="72"/>
  <c r="BH14" i="72"/>
  <c r="BI14" i="72" s="1"/>
  <c r="BE21" i="72"/>
  <c r="BG21" i="72" s="1"/>
  <c r="AN21" i="72" s="1"/>
  <c r="AR21" i="72" s="1"/>
  <c r="AS21" i="72" s="1"/>
  <c r="AO21" i="72" s="1"/>
  <c r="BE16" i="72"/>
  <c r="BG16" i="72" s="1"/>
  <c r="AN16" i="72" s="1"/>
  <c r="AR16" i="72" s="1"/>
  <c r="AS16" i="72" s="1"/>
  <c r="AO16" i="72" s="1"/>
  <c r="BE19" i="72"/>
  <c r="BG19" i="72" s="1"/>
  <c r="AN19" i="72" s="1"/>
  <c r="AR19" i="72" s="1"/>
  <c r="AS19" i="72" s="1"/>
  <c r="AO19" i="72" s="1"/>
  <c r="BE29" i="72"/>
  <c r="BG29" i="72" s="1"/>
  <c r="AN29" i="72" s="1"/>
  <c r="AR29" i="72" s="1"/>
  <c r="AS29" i="72" s="1"/>
  <c r="AO29" i="72" s="1"/>
  <c r="BE31" i="72"/>
  <c r="BG31" i="72" s="1"/>
  <c r="AN31" i="72" s="1"/>
  <c r="AR31" i="72" s="1"/>
  <c r="AS31" i="72" s="1"/>
  <c r="AO31" i="72" s="1"/>
  <c r="BE35" i="72"/>
  <c r="AG23" i="72"/>
  <c r="AG14" i="72"/>
  <c r="Y14" i="72"/>
  <c r="C14" i="72"/>
  <c r="AR14" i="72" l="1"/>
  <c r="AS14" i="72" s="1"/>
  <c r="AO14" i="72" s="1"/>
  <c r="AO35" i="72" s="1"/>
  <c r="AN35" i="72"/>
  <c r="AP35" i="72" s="1"/>
  <c r="BN33" i="72"/>
  <c r="BM33" i="72"/>
  <c r="BN27" i="72"/>
  <c r="BM27" i="72"/>
  <c r="BM31" i="72"/>
  <c r="BN31" i="72"/>
  <c r="AG18" i="72"/>
  <c r="AJ18" i="72" s="1"/>
  <c r="M14" i="70" s="1"/>
  <c r="BM18" i="72"/>
  <c r="BN18" i="72"/>
  <c r="BN28" i="72"/>
  <c r="BM28" i="72"/>
  <c r="BN29" i="72"/>
  <c r="BM29" i="72"/>
  <c r="Y22" i="72"/>
  <c r="AD22" i="72" s="1"/>
  <c r="BN22" i="72"/>
  <c r="BM22" i="72"/>
  <c r="BJ20" i="72"/>
  <c r="F20" i="72" s="1"/>
  <c r="G18" i="76" s="1"/>
  <c r="BN20" i="72"/>
  <c r="BM20" i="72"/>
  <c r="C19" i="72"/>
  <c r="D17" i="76" s="1"/>
  <c r="BM19" i="72"/>
  <c r="BN19" i="72"/>
  <c r="C24" i="72"/>
  <c r="BM24" i="72"/>
  <c r="BN24" i="72"/>
  <c r="BH32" i="72"/>
  <c r="BI32" i="72" s="1"/>
  <c r="BM32" i="72"/>
  <c r="BN32" i="72"/>
  <c r="Y16" i="72"/>
  <c r="AD16" i="72" s="1"/>
  <c r="BM16" i="72"/>
  <c r="BN16" i="72"/>
  <c r="C23" i="72"/>
  <c r="BM23" i="72"/>
  <c r="BN23" i="72"/>
  <c r="BM30" i="72"/>
  <c r="BN30" i="72"/>
  <c r="Y21" i="72"/>
  <c r="AD21" i="72" s="1"/>
  <c r="BN21" i="72"/>
  <c r="BM21" i="72"/>
  <c r="BN34" i="72"/>
  <c r="BM34" i="72"/>
  <c r="AG17" i="72"/>
  <c r="AJ17" i="72" s="1"/>
  <c r="M13" i="70" s="1"/>
  <c r="BN17" i="72"/>
  <c r="BM17" i="72"/>
  <c r="Y23" i="72"/>
  <c r="AD23" i="72" s="1"/>
  <c r="C15" i="72"/>
  <c r="D13" i="76" s="1"/>
  <c r="BM15" i="72"/>
  <c r="BN15" i="72"/>
  <c r="C25" i="72"/>
  <c r="D23" i="76" s="1"/>
  <c r="BN25" i="72"/>
  <c r="BM25" i="72"/>
  <c r="BN26" i="72"/>
  <c r="BM26" i="72"/>
  <c r="AG20" i="72"/>
  <c r="AK20" i="72" s="1"/>
  <c r="AG22" i="72"/>
  <c r="AJ22" i="72" s="1"/>
  <c r="M18" i="70" s="1"/>
  <c r="Y24" i="72"/>
  <c r="AD24" i="72" s="1"/>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AB14" i="72"/>
  <c r="F14" i="72"/>
  <c r="AD14" i="72"/>
  <c r="D14" i="72"/>
  <c r="Z14" i="72"/>
  <c r="AJ14" i="72"/>
  <c r="M10" i="70" s="1"/>
  <c r="AK14" i="72"/>
  <c r="AZ23" i="72"/>
  <c r="W19" i="70" s="1"/>
  <c r="AK23" i="72"/>
  <c r="AJ23" i="72"/>
  <c r="M19" i="70" s="1"/>
  <c r="AB20" i="72" l="1"/>
  <c r="AZ14" i="72"/>
  <c r="W10" i="70" s="1"/>
  <c r="AK17" i="72"/>
  <c r="D20" i="72"/>
  <c r="E18" i="76" s="1"/>
  <c r="H18" i="76" s="1"/>
  <c r="AB21" i="72"/>
  <c r="D16" i="72"/>
  <c r="E14" i="76" s="1"/>
  <c r="H14" i="76" s="1"/>
  <c r="AZ17" i="72"/>
  <c r="W13" i="70" s="1"/>
  <c r="D17" i="72"/>
  <c r="E15" i="76" s="1"/>
  <c r="H15" i="76" s="1"/>
  <c r="AK18" i="72"/>
  <c r="AZ18" i="72"/>
  <c r="W14" i="70" s="1"/>
  <c r="AB25" i="72"/>
  <c r="AJ21" i="72"/>
  <c r="M17" i="70" s="1"/>
  <c r="AK21" i="72"/>
  <c r="AZ20" i="72"/>
  <c r="W16" i="70" s="1"/>
  <c r="AJ20" i="72"/>
  <c r="M16" i="70" s="1"/>
  <c r="Z17" i="72"/>
  <c r="AK22" i="72"/>
  <c r="AZ22" i="72"/>
  <c r="W18" i="70" s="1"/>
  <c r="F22" i="72"/>
  <c r="G20" i="76" s="1"/>
  <c r="I20" i="76" s="1"/>
  <c r="AB16" i="72"/>
  <c r="Z16" i="72"/>
  <c r="Z20" i="72"/>
  <c r="AJ16" i="72"/>
  <c r="M12" i="70" s="1"/>
  <c r="Z23" i="72"/>
  <c r="F17" i="72"/>
  <c r="G15" i="76" s="1"/>
  <c r="I15" i="76" s="1"/>
  <c r="AB24" i="72"/>
  <c r="Z15" i="72"/>
  <c r="AJ24" i="72"/>
  <c r="M20" i="70" s="1"/>
  <c r="D25" i="72"/>
  <c r="E23" i="76" s="1"/>
  <c r="H23" i="76" s="1"/>
  <c r="AB18" i="72"/>
  <c r="Z25" i="72"/>
  <c r="AZ16" i="72"/>
  <c r="W12" i="70" s="1"/>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I18" i="76"/>
  <c r="I22" i="76"/>
  <c r="I17"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AV29" i="72" s="1"/>
  <c r="S31" i="72"/>
  <c r="AV31" i="72" s="1"/>
  <c r="S34" i="72"/>
  <c r="AV34" i="72" s="1"/>
  <c r="K27" i="72"/>
  <c r="O23" i="70" s="1"/>
  <c r="Q26" i="72"/>
  <c r="Q29" i="72"/>
  <c r="M33" i="72"/>
  <c r="Q29" i="70" s="1"/>
  <c r="L34" i="72"/>
  <c r="P30" i="70" s="1"/>
  <c r="S27" i="72"/>
  <c r="AV27" i="72" s="1"/>
  <c r="K30" i="72"/>
  <c r="O26" i="70" s="1"/>
  <c r="M29" i="72"/>
  <c r="Q25" i="70" s="1"/>
  <c r="L33" i="72"/>
  <c r="P29" i="70" s="1"/>
  <c r="Q34" i="72"/>
  <c r="L28" i="72"/>
  <c r="P24" i="70" s="1"/>
  <c r="Q27" i="72"/>
  <c r="S30" i="72"/>
  <c r="AV30" i="72" s="1"/>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E15" i="11" l="1"/>
  <c r="E19" i="11" s="1"/>
  <c r="W33" i="76"/>
  <c r="F33" i="76"/>
  <c r="AG25" i="36"/>
  <c r="I15" i="11" l="1"/>
  <c r="E28" i="12"/>
  <c r="AH12" i="76"/>
  <c r="AH33" i="76" s="1"/>
  <c r="L33" i="76"/>
  <c r="I11" i="11"/>
  <c r="E26" i="12"/>
  <c r="B972" i="92"/>
  <c r="C753" i="92"/>
  <c r="B1094" i="92"/>
  <c r="C967" i="92"/>
  <c r="C1018" i="92"/>
  <c r="B810" i="92"/>
  <c r="B724" i="92"/>
  <c r="C757" i="92"/>
  <c r="B1114" i="92"/>
  <c r="C822" i="92"/>
  <c r="B1062" i="92"/>
  <c r="B1047" i="92"/>
  <c r="B983" i="92"/>
  <c r="B874" i="92"/>
  <c r="C832" i="92"/>
  <c r="B1169" i="92"/>
  <c r="B1173" i="92"/>
  <c r="C907" i="92"/>
  <c r="C666" i="92"/>
  <c r="C953" i="92"/>
  <c r="C1203" i="92"/>
  <c r="C1056" i="92"/>
  <c r="B1217" i="92"/>
  <c r="B852" i="92"/>
  <c r="B928" i="92"/>
  <c r="B1013" i="92"/>
  <c r="C725" i="92"/>
  <c r="B695" i="92"/>
  <c r="C891" i="92"/>
  <c r="B1213" i="92"/>
  <c r="C1068" i="92"/>
  <c r="C679" i="92"/>
  <c r="B780" i="92"/>
  <c r="B939" i="92"/>
  <c r="C1059" i="92"/>
  <c r="C1009" i="92"/>
  <c r="C1126" i="92"/>
  <c r="B902" i="92"/>
  <c r="B1174" i="92"/>
  <c r="B885" i="92"/>
  <c r="B937" i="92"/>
  <c r="C880" i="92"/>
  <c r="B1127" i="92"/>
  <c r="B778" i="92"/>
  <c r="B1036" i="92"/>
  <c r="B892" i="92"/>
  <c r="C643" i="92"/>
  <c r="C1169" i="92"/>
  <c r="B1215" i="92"/>
  <c r="B1137" i="92"/>
  <c r="B734" i="92"/>
  <c r="C1102" i="92"/>
  <c r="B1133" i="92"/>
  <c r="C944" i="92"/>
  <c r="B1022" i="92"/>
  <c r="B789" i="92"/>
  <c r="C999" i="92"/>
  <c r="C972" i="92"/>
  <c r="B1046" i="92"/>
  <c r="B953" i="92"/>
  <c r="C1121" i="92"/>
  <c r="C982" i="92"/>
  <c r="B886" i="92"/>
  <c r="B718" i="92"/>
  <c r="C707" i="92"/>
  <c r="C641" i="92"/>
  <c r="B1051" i="92"/>
  <c r="B1187" i="92"/>
  <c r="B678" i="92"/>
  <c r="B742" i="92"/>
  <c r="C748" i="92"/>
  <c r="B1197" i="92"/>
  <c r="B1042" i="92"/>
  <c r="C1049" i="92"/>
  <c r="B685" i="92"/>
  <c r="C1152" i="92"/>
  <c r="B711" i="92"/>
  <c r="C818" i="92"/>
  <c r="C660" i="92"/>
  <c r="C719" i="92"/>
  <c r="C903" i="92"/>
  <c r="C690" i="92"/>
  <c r="B787" i="92"/>
  <c r="B1056" i="92"/>
  <c r="C1192" i="92"/>
  <c r="C1218" i="92"/>
  <c r="B1125" i="92"/>
  <c r="B867" i="92"/>
  <c r="B782" i="92"/>
  <c r="B758" i="92"/>
  <c r="C1174" i="92"/>
  <c r="B661" i="92"/>
  <c r="B1185" i="92"/>
  <c r="B825" i="92"/>
  <c r="B725" i="92"/>
  <c r="C650" i="92"/>
  <c r="C734" i="92"/>
  <c r="B1084" i="92"/>
  <c r="B753" i="92"/>
  <c r="B882" i="92"/>
  <c r="C668" i="92"/>
  <c r="C856" i="92"/>
  <c r="C664" i="92"/>
  <c r="B765" i="92"/>
  <c r="C1158" i="92"/>
  <c r="C778" i="92"/>
  <c r="C866" i="92"/>
  <c r="B662" i="92"/>
  <c r="B1119" i="92"/>
  <c r="C850" i="92"/>
  <c r="B775" i="92"/>
  <c r="B1182" i="92"/>
  <c r="C1076" i="92"/>
  <c r="C1212" i="92"/>
  <c r="C1188" i="92"/>
  <c r="B1016" i="92"/>
  <c r="C704" i="92"/>
  <c r="C639" i="92"/>
  <c r="B1107" i="92"/>
  <c r="C1026" i="92"/>
  <c r="C805" i="92"/>
  <c r="C695" i="92"/>
  <c r="B1001" i="92"/>
  <c r="C720" i="92"/>
  <c r="C1013" i="92"/>
  <c r="B1025" i="92"/>
  <c r="C1050" i="92"/>
  <c r="B804" i="92"/>
  <c r="B1090" i="92"/>
  <c r="B671" i="92"/>
  <c r="C901" i="92"/>
  <c r="C814" i="92"/>
  <c r="B846" i="92"/>
  <c r="B803" i="92"/>
  <c r="C683" i="92"/>
  <c r="C1093" i="92"/>
  <c r="B719" i="92"/>
  <c r="B933" i="92"/>
  <c r="B660" i="92"/>
  <c r="B991" i="92"/>
  <c r="C775" i="92"/>
  <c r="C768" i="92"/>
  <c r="B897" i="92"/>
  <c r="B962" i="92"/>
  <c r="C893" i="92"/>
  <c r="B988" i="92"/>
  <c r="C966" i="92"/>
  <c r="C767" i="92"/>
  <c r="C1096" i="92"/>
  <c r="C1157" i="92"/>
  <c r="C711" i="92"/>
  <c r="B1135" i="92"/>
  <c r="C962" i="92"/>
  <c r="C721" i="92"/>
  <c r="B876" i="92"/>
  <c r="B1193" i="92"/>
  <c r="B690" i="92"/>
  <c r="B959" i="92"/>
  <c r="C1081" i="92"/>
  <c r="C1058" i="92"/>
  <c r="B856" i="92"/>
  <c r="C1193" i="92"/>
  <c r="B1184" i="92"/>
  <c r="C669" i="92"/>
  <c r="C1191" i="92"/>
  <c r="B894" i="92"/>
  <c r="C1153" i="92"/>
  <c r="B1096" i="92"/>
  <c r="C899" i="92"/>
  <c r="C1167" i="92"/>
  <c r="B1012" i="92"/>
  <c r="B1153" i="92"/>
  <c r="B1199" i="92"/>
  <c r="B717" i="92"/>
  <c r="B1179" i="92"/>
  <c r="C954" i="92"/>
  <c r="C833" i="92"/>
  <c r="C935" i="92"/>
  <c r="B903" i="92"/>
  <c r="B879" i="92"/>
  <c r="B731" i="92"/>
  <c r="C745" i="92"/>
  <c r="C1134" i="92"/>
  <c r="B985" i="92"/>
  <c r="B793" i="92"/>
  <c r="B1098" i="92"/>
  <c r="B1191" i="92"/>
  <c r="C827" i="92"/>
  <c r="C998" i="92"/>
  <c r="B1152" i="92"/>
  <c r="B687" i="92"/>
  <c r="C689" i="92"/>
  <c r="B1219" i="92"/>
  <c r="B641" i="92"/>
  <c r="B999" i="92"/>
  <c r="B824" i="92"/>
  <c r="B682" i="92"/>
  <c r="B935" i="92"/>
  <c r="B1086" i="92"/>
  <c r="C743" i="92"/>
  <c r="C764" i="92"/>
  <c r="C955" i="92"/>
  <c r="B675" i="92"/>
  <c r="C800" i="92"/>
  <c r="B1099" i="92"/>
  <c r="C1075" i="92"/>
  <c r="B797" i="92"/>
  <c r="B1028" i="92"/>
  <c r="C1034" i="92"/>
  <c r="B680" i="92"/>
  <c r="B1211" i="92"/>
  <c r="B761" i="92"/>
  <c r="B866" i="92"/>
  <c r="B893" i="92"/>
  <c r="C1142" i="92"/>
  <c r="B1031" i="92"/>
  <c r="C782" i="92"/>
  <c r="C803" i="92"/>
  <c r="B1189" i="92"/>
  <c r="B1157" i="92"/>
  <c r="B844" i="92"/>
  <c r="B652" i="92"/>
  <c r="B1092" i="92"/>
  <c r="C754" i="92"/>
  <c r="C894" i="92"/>
  <c r="C1008" i="92"/>
  <c r="C987" i="92"/>
  <c r="C1125" i="92"/>
  <c r="C1000" i="92"/>
  <c r="B1126" i="92"/>
  <c r="B1061" i="92"/>
  <c r="B1208" i="92"/>
  <c r="B715" i="92"/>
  <c r="C1028" i="92"/>
  <c r="B830" i="92"/>
  <c r="B1091" i="92"/>
  <c r="B980" i="92"/>
  <c r="B1123" i="92"/>
  <c r="C847" i="92"/>
  <c r="B888" i="92"/>
  <c r="B837" i="92"/>
  <c r="C1055" i="92"/>
  <c r="C874" i="92"/>
  <c r="C755" i="92"/>
  <c r="B1006" i="92"/>
  <c r="C1109" i="92"/>
  <c r="B1202" i="92"/>
  <c r="B1188" i="92"/>
  <c r="B911" i="92"/>
  <c r="B982" i="92"/>
  <c r="C1044" i="92"/>
  <c r="C1170" i="92"/>
  <c r="B965" i="92"/>
  <c r="C835" i="92"/>
  <c r="B927" i="92"/>
  <c r="C1012" i="92"/>
  <c r="C638" i="92"/>
  <c r="B669" i="92"/>
  <c r="C657" i="92"/>
  <c r="B1167" i="92"/>
  <c r="C879" i="92"/>
  <c r="B1150" i="92"/>
  <c r="B1069" i="92"/>
  <c r="C1072" i="92"/>
  <c r="C831" i="92"/>
  <c r="C1198" i="92"/>
  <c r="C765" i="92"/>
  <c r="C905" i="92"/>
  <c r="B1095" i="92"/>
  <c r="B816" i="92"/>
  <c r="C770" i="92"/>
  <c r="B858" i="92"/>
  <c r="B712" i="92"/>
  <c r="B832" i="92"/>
  <c r="C1030" i="92"/>
  <c r="B755" i="92"/>
  <c r="B1030" i="92"/>
  <c r="B843" i="92"/>
  <c r="C1037" i="92"/>
  <c r="C898" i="92"/>
  <c r="C959" i="92"/>
  <c r="B1145" i="92"/>
  <c r="B898" i="92"/>
  <c r="B890" i="92"/>
  <c r="C960" i="92"/>
  <c r="C774" i="92"/>
  <c r="C951" i="92"/>
  <c r="C731" i="92"/>
  <c r="B1080" i="92"/>
  <c r="B967" i="92"/>
  <c r="B1073" i="92"/>
  <c r="C1083" i="92"/>
  <c r="C1066" i="92"/>
  <c r="B955" i="92"/>
  <c r="B1162" i="92"/>
  <c r="C1015" i="92"/>
  <c r="C906" i="92"/>
  <c r="B1079" i="92"/>
  <c r="B1149" i="92"/>
  <c r="B657" i="92"/>
  <c r="C1210" i="92"/>
  <c r="B1008" i="92"/>
  <c r="C1091" i="92"/>
  <c r="B1104" i="92"/>
  <c r="C642" i="92"/>
  <c r="C677" i="92"/>
  <c r="B1131" i="92"/>
  <c r="B704" i="92"/>
  <c r="C939" i="92"/>
  <c r="B640" i="92"/>
  <c r="C861" i="92"/>
  <c r="B1109" i="92"/>
  <c r="B1071" i="92"/>
  <c r="B906" i="92"/>
  <c r="C983" i="92"/>
  <c r="C990" i="92"/>
  <c r="B963" i="92"/>
  <c r="C735" i="92"/>
  <c r="B1196" i="92"/>
  <c r="B1195" i="92"/>
  <c r="B826" i="92"/>
  <c r="C802" i="92"/>
  <c r="C886" i="92"/>
  <c r="B941" i="92"/>
  <c r="C1177" i="92"/>
  <c r="C1159" i="92"/>
  <c r="B691" i="92"/>
  <c r="B730" i="92"/>
  <c r="C1067" i="92"/>
  <c r="B784" i="92"/>
  <c r="B1171" i="92"/>
  <c r="B914" i="92"/>
  <c r="C1155" i="92"/>
  <c r="B956" i="92"/>
  <c r="B827" i="92"/>
  <c r="C1033" i="92"/>
  <c r="C733" i="92"/>
  <c r="C978" i="92"/>
  <c r="C1073" i="92"/>
  <c r="C925" i="92"/>
  <c r="C644" i="92"/>
  <c r="B976" i="92"/>
  <c r="C1172" i="92"/>
  <c r="C1219" i="92"/>
  <c r="B977" i="92"/>
  <c r="C1087" i="92"/>
  <c r="B1067" i="92"/>
  <c r="B847" i="92"/>
  <c r="B759" i="92"/>
  <c r="C1194" i="92"/>
  <c r="C1156" i="92"/>
  <c r="C870" i="92"/>
  <c r="B737" i="92"/>
  <c r="B649" i="92"/>
  <c r="C1147" i="92"/>
  <c r="B646" i="92"/>
  <c r="B714" i="92"/>
  <c r="B802" i="92"/>
  <c r="C1190" i="92"/>
  <c r="C1071" i="92"/>
  <c r="C1085" i="92"/>
  <c r="C1199" i="92"/>
  <c r="C1060" i="92"/>
  <c r="B666" i="92"/>
  <c r="B811" i="92"/>
  <c r="C674" i="92"/>
  <c r="B762" i="92"/>
  <c r="C1021" i="92"/>
  <c r="C912" i="92"/>
  <c r="B868" i="92"/>
  <c r="C996" i="92"/>
  <c r="B732" i="92"/>
  <c r="C882" i="92"/>
  <c r="C869" i="92"/>
  <c r="B1170" i="92"/>
  <c r="C1200" i="92"/>
  <c r="B992" i="92"/>
  <c r="B785" i="92"/>
  <c r="B798" i="92"/>
  <c r="B702" i="92"/>
  <c r="B987" i="92"/>
  <c r="B663" i="92"/>
  <c r="B1087" i="92"/>
  <c r="C1003" i="92"/>
  <c r="C1101" i="92"/>
  <c r="B745" i="92"/>
  <c r="B986" i="92"/>
  <c r="B769" i="92"/>
  <c r="C1131" i="92"/>
  <c r="B1000" i="92"/>
  <c r="B1017" i="92"/>
  <c r="C1138" i="92"/>
  <c r="C807" i="92"/>
  <c r="C1016" i="92"/>
  <c r="C750" i="92"/>
  <c r="B767" i="92"/>
  <c r="B839" i="92"/>
  <c r="B1019" i="92"/>
  <c r="B726" i="92"/>
  <c r="C844" i="92"/>
  <c r="B699" i="92"/>
  <c r="B945" i="92"/>
  <c r="C812" i="92"/>
  <c r="B864" i="92"/>
  <c r="B900" i="92"/>
  <c r="C1120" i="92"/>
  <c r="C1127" i="92"/>
  <c r="B672" i="92"/>
  <c r="B728" i="92"/>
  <c r="C1173" i="92"/>
  <c r="C718" i="92"/>
  <c r="B766" i="92"/>
  <c r="C663" i="92"/>
  <c r="B1138" i="92"/>
  <c r="B809" i="92"/>
  <c r="C761" i="92"/>
  <c r="C675" i="92"/>
  <c r="C980" i="92"/>
  <c r="B1097" i="92"/>
  <c r="B1043" i="92"/>
  <c r="C838" i="92"/>
  <c r="B1161" i="92"/>
  <c r="B932" i="92"/>
  <c r="C846" i="92"/>
  <c r="C825" i="92"/>
  <c r="B807" i="92"/>
  <c r="C703" i="92"/>
  <c r="B850" i="92"/>
  <c r="B931" i="92"/>
  <c r="B912" i="92"/>
  <c r="B929" i="92"/>
  <c r="C804" i="92"/>
  <c r="B958" i="92"/>
  <c r="C852" i="92"/>
  <c r="C884" i="92"/>
  <c r="B642" i="92"/>
  <c r="C1150" i="92"/>
  <c r="C729" i="92"/>
  <c r="B1085" i="92"/>
  <c r="B817" i="92"/>
  <c r="C896" i="92"/>
  <c r="C659" i="92"/>
  <c r="B721" i="92"/>
  <c r="C920" i="92"/>
  <c r="B1063" i="92"/>
  <c r="B658" i="92"/>
  <c r="C1187" i="92"/>
  <c r="B1034" i="92"/>
  <c r="C971" i="92"/>
  <c r="C783" i="92"/>
  <c r="C651" i="92"/>
  <c r="C916" i="92"/>
  <c r="C646" i="92"/>
  <c r="C738" i="92"/>
  <c r="C667" i="92"/>
  <c r="B1072" i="92"/>
  <c r="C1182" i="92"/>
  <c r="C686" i="92"/>
  <c r="B805" i="92"/>
  <c r="B957" i="92"/>
  <c r="C885" i="92"/>
  <c r="C712" i="92"/>
  <c r="B1029" i="92"/>
  <c r="B1049" i="92"/>
  <c r="C933" i="92"/>
  <c r="C670" i="92"/>
  <c r="C706" i="92"/>
  <c r="C924" i="92"/>
  <c r="C795" i="92"/>
  <c r="B697" i="92"/>
  <c r="C1211" i="92"/>
  <c r="B998" i="92"/>
  <c r="B1216" i="92"/>
  <c r="C1100" i="92"/>
  <c r="B961" i="92"/>
  <c r="B788" i="92"/>
  <c r="C842" i="92"/>
  <c r="C1047" i="92"/>
  <c r="B1082" i="92"/>
  <c r="B1139" i="92"/>
  <c r="B1175" i="92"/>
  <c r="C1115" i="92"/>
  <c r="C1175" i="92"/>
  <c r="C1035" i="92"/>
  <c r="C1007" i="92"/>
  <c r="C1145" i="92"/>
  <c r="B913" i="92"/>
  <c r="B1151" i="92"/>
  <c r="C989" i="92"/>
  <c r="B996" i="92"/>
  <c r="B1176" i="92"/>
  <c r="B722" i="92"/>
  <c r="C655" i="92"/>
  <c r="B1144" i="92"/>
  <c r="C728" i="92"/>
  <c r="C1027" i="92"/>
  <c r="C791" i="92"/>
  <c r="C730" i="92"/>
  <c r="B831" i="92"/>
  <c r="B1141" i="92"/>
  <c r="C854" i="92"/>
  <c r="B679" i="92"/>
  <c r="B926" i="92"/>
  <c r="C851" i="92"/>
  <c r="B909" i="92"/>
  <c r="C1178" i="92"/>
  <c r="C1132" i="92"/>
  <c r="B978" i="92"/>
  <c r="B796" i="92"/>
  <c r="C909" i="92"/>
  <c r="C928" i="92"/>
  <c r="C1057" i="92"/>
  <c r="C1065" i="92"/>
  <c r="B1038" i="92"/>
  <c r="C737" i="92"/>
  <c r="C836" i="92"/>
  <c r="B923" i="92"/>
  <c r="C672" i="92"/>
  <c r="C777" i="92"/>
  <c r="C863" i="92"/>
  <c r="C918" i="92"/>
  <c r="C904" i="92"/>
  <c r="C1180" i="92"/>
  <c r="B815" i="92"/>
  <c r="C986" i="92"/>
  <c r="C1154" i="92"/>
  <c r="C662" i="92"/>
  <c r="C717" i="92"/>
  <c r="B984" i="92"/>
  <c r="B667" i="92"/>
  <c r="C1168" i="92"/>
  <c r="B1075" i="92"/>
  <c r="B664" i="92"/>
  <c r="B859" i="92"/>
  <c r="B1106" i="92"/>
  <c r="C762" i="92"/>
  <c r="C713" i="92"/>
  <c r="C676" i="92"/>
  <c r="B1113" i="92"/>
  <c r="C876" i="92"/>
  <c r="B1023" i="92"/>
  <c r="B1164" i="92"/>
  <c r="B828" i="92"/>
  <c r="C1069" i="92"/>
  <c r="B1039" i="92"/>
  <c r="C895" i="92"/>
  <c r="B1089" i="92"/>
  <c r="B1147" i="92"/>
  <c r="C742" i="92"/>
  <c r="B822" i="92"/>
  <c r="B1212" i="92"/>
  <c r="C988" i="92"/>
  <c r="C1208" i="92"/>
  <c r="C829" i="92"/>
  <c r="C788" i="92"/>
  <c r="C773" i="92"/>
  <c r="C1197" i="92"/>
  <c r="C702" i="92"/>
  <c r="B1168" i="92"/>
  <c r="C929" i="92"/>
  <c r="B1077" i="92"/>
  <c r="C858" i="92"/>
  <c r="C868" i="92"/>
  <c r="C1144" i="92"/>
  <c r="C684" i="92"/>
  <c r="C692" i="92"/>
  <c r="C1039" i="92"/>
  <c r="B1007" i="92"/>
  <c r="C932" i="92"/>
  <c r="B960" i="92"/>
  <c r="B899" i="92"/>
  <c r="B1210" i="92"/>
  <c r="C834" i="92"/>
  <c r="C923" i="92"/>
  <c r="C946" i="92"/>
  <c r="B1159" i="92"/>
  <c r="C984" i="92"/>
  <c r="B865" i="92"/>
  <c r="B1117" i="92"/>
  <c r="C693" i="92"/>
  <c r="C699" i="92"/>
  <c r="C963" i="92"/>
  <c r="C1196" i="92"/>
  <c r="B863" i="92"/>
  <c r="C705" i="92"/>
  <c r="B1064" i="92"/>
  <c r="C1020" i="92"/>
  <c r="C1005" i="92"/>
  <c r="B869" i="92"/>
  <c r="C1092" i="92"/>
  <c r="C817" i="92"/>
  <c r="C715" i="92"/>
  <c r="B1110" i="92"/>
  <c r="B1003" i="92"/>
  <c r="B889" i="92"/>
  <c r="B915" i="92"/>
  <c r="C747" i="92"/>
  <c r="C789" i="92"/>
  <c r="C1023" i="92"/>
  <c r="B924" i="92"/>
  <c r="C864" i="92"/>
  <c r="B994" i="92"/>
  <c r="C652" i="92"/>
  <c r="C930" i="92"/>
  <c r="C1106" i="92"/>
  <c r="B884" i="92"/>
  <c r="B880" i="92"/>
  <c r="C945" i="92"/>
  <c r="C1032" i="92"/>
  <c r="C781" i="92"/>
  <c r="C1139" i="92"/>
  <c r="B943" i="92"/>
  <c r="C830" i="92"/>
  <c r="B683" i="92"/>
  <c r="B1200" i="92"/>
  <c r="B647" i="92"/>
  <c r="C1090" i="92"/>
  <c r="B747" i="92"/>
  <c r="B1183" i="92"/>
  <c r="B764" i="92"/>
  <c r="C1029" i="92"/>
  <c r="C793" i="92"/>
  <c r="B713" i="92"/>
  <c r="C881" i="92"/>
  <c r="C739" i="92"/>
  <c r="C1074" i="92"/>
  <c r="B878" i="92"/>
  <c r="C813" i="92"/>
  <c r="C1048" i="92"/>
  <c r="B1148" i="92"/>
  <c r="B795" i="92"/>
  <c r="B997" i="92"/>
  <c r="B744" i="92"/>
  <c r="C740" i="92"/>
  <c r="C878" i="92"/>
  <c r="C1160" i="92"/>
  <c r="C696" i="92"/>
  <c r="B833" i="92"/>
  <c r="C724" i="92"/>
  <c r="B1048" i="92"/>
  <c r="B751" i="92"/>
  <c r="B763" i="92"/>
  <c r="B1015" i="92"/>
  <c r="C700" i="92"/>
  <c r="C685" i="92"/>
  <c r="C751" i="92"/>
  <c r="C1116" i="92"/>
  <c r="B966" i="92"/>
  <c r="C763" i="92"/>
  <c r="B653" i="92"/>
  <c r="B1207" i="92"/>
  <c r="C843" i="92"/>
  <c r="C1077" i="92"/>
  <c r="C645" i="92"/>
  <c r="B871" i="92"/>
  <c r="C1040" i="92"/>
  <c r="C936" i="92"/>
  <c r="B651" i="92"/>
  <c r="B1163" i="92"/>
  <c r="B1002" i="92"/>
  <c r="B727" i="92"/>
  <c r="C1179" i="92"/>
  <c r="B1156" i="92"/>
  <c r="C890" i="92"/>
  <c r="B760" i="92"/>
  <c r="B1118" i="92"/>
  <c r="B907" i="92"/>
  <c r="C1207" i="92"/>
  <c r="C1161" i="92"/>
  <c r="B1108" i="92"/>
  <c r="C1062" i="92"/>
  <c r="B1035" i="92"/>
  <c r="B1054" i="92"/>
  <c r="C732" i="92"/>
  <c r="C922" i="92"/>
  <c r="C1070" i="92"/>
  <c r="C1163" i="92"/>
  <c r="C1088" i="92"/>
  <c r="B1209" i="92"/>
  <c r="B1052" i="92"/>
  <c r="B665" i="92"/>
  <c r="C723" i="92"/>
  <c r="C1095" i="92"/>
  <c r="C648" i="92"/>
  <c r="C853" i="92"/>
  <c r="C897" i="92"/>
  <c r="C952" i="92"/>
  <c r="C1002" i="92"/>
  <c r="B1115" i="92"/>
  <c r="C1201" i="92"/>
  <c r="C698" i="92"/>
  <c r="C970" i="92"/>
  <c r="C968" i="92"/>
  <c r="C710" i="92"/>
  <c r="C727" i="92"/>
  <c r="B1165" i="92"/>
  <c r="B1065" i="92"/>
  <c r="B1136" i="92"/>
  <c r="C811" i="92"/>
  <c r="C975" i="92"/>
  <c r="B701" i="92"/>
  <c r="B853" i="92"/>
  <c r="C826" i="92"/>
  <c r="B1142" i="92"/>
  <c r="C1140" i="92"/>
  <c r="B819" i="92"/>
  <c r="B684" i="92"/>
  <c r="B1024" i="92"/>
  <c r="C873" i="92"/>
  <c r="C678" i="92"/>
  <c r="B904" i="92"/>
  <c r="C913" i="92"/>
  <c r="C1097" i="92"/>
  <c r="C961" i="92"/>
  <c r="C1063" i="92"/>
  <c r="B1093" i="92"/>
  <c r="B716" i="92"/>
  <c r="B821" i="92"/>
  <c r="C1217" i="92"/>
  <c r="C908" i="92"/>
  <c r="B896" i="92"/>
  <c r="C867" i="92"/>
  <c r="B677" i="92"/>
  <c r="C855" i="92"/>
  <c r="C979" i="92"/>
  <c r="C687" i="92"/>
  <c r="B781" i="92"/>
  <c r="C741" i="92"/>
  <c r="C1052" i="92"/>
  <c r="C1084" i="92"/>
  <c r="B706" i="92"/>
  <c r="B918" i="92"/>
  <c r="B768" i="92"/>
  <c r="C1061" i="92"/>
  <c r="B772" i="92"/>
  <c r="B881" i="92"/>
  <c r="B990" i="92"/>
  <c r="B644" i="92"/>
  <c r="B1053" i="92"/>
  <c r="B1154" i="92"/>
  <c r="C1216" i="92"/>
  <c r="B860" i="92"/>
  <c r="B820" i="92"/>
  <c r="B872" i="92"/>
  <c r="C1006" i="92"/>
  <c r="B757" i="92"/>
  <c r="B746" i="92"/>
  <c r="B700" i="92"/>
  <c r="B1121" i="92"/>
  <c r="C744" i="92"/>
  <c r="B925" i="92"/>
  <c r="C974" i="92"/>
  <c r="B1009" i="92"/>
  <c r="B1190" i="92"/>
  <c r="C758" i="92"/>
  <c r="B848" i="92"/>
  <c r="C787" i="92"/>
  <c r="B969" i="92"/>
  <c r="B1037" i="92"/>
  <c r="B740" i="92"/>
  <c r="B1066" i="92"/>
  <c r="C806" i="92"/>
  <c r="C661" i="92"/>
  <c r="B688" i="92"/>
  <c r="C973" i="92"/>
  <c r="B723" i="92"/>
  <c r="C671" i="92"/>
  <c r="C810" i="92"/>
  <c r="B1041" i="92"/>
  <c r="C940" i="92"/>
  <c r="C889" i="92"/>
  <c r="C1054" i="92"/>
  <c r="C1038" i="92"/>
  <c r="C1183" i="92"/>
  <c r="C697" i="92"/>
  <c r="C887" i="92"/>
  <c r="C1080" i="92"/>
  <c r="B895" i="92"/>
  <c r="C977" i="92"/>
  <c r="B1178" i="92"/>
  <c r="B1103" i="92"/>
  <c r="C1195" i="92"/>
  <c r="C837" i="92"/>
  <c r="C701" i="92"/>
  <c r="B1172" i="92"/>
  <c r="B783" i="92"/>
  <c r="B1158" i="92"/>
  <c r="C779" i="92"/>
  <c r="B1020" i="92"/>
  <c r="C1133" i="92"/>
  <c r="C654" i="92"/>
  <c r="C1089" i="92"/>
  <c r="C680" i="92"/>
  <c r="B694" i="92"/>
  <c r="B1105" i="92"/>
  <c r="C1205" i="92"/>
  <c r="B654" i="92"/>
  <c r="B670" i="92"/>
  <c r="C1209" i="92"/>
  <c r="C957" i="92"/>
  <c r="B808" i="92"/>
  <c r="C708" i="92"/>
  <c r="C942" i="92"/>
  <c r="C1051" i="92"/>
  <c r="B1129" i="92"/>
  <c r="B1180" i="92"/>
  <c r="C1146" i="92"/>
  <c r="B1204" i="92"/>
  <c r="C1042" i="92"/>
  <c r="B776" i="92"/>
  <c r="B842" i="92"/>
  <c r="B1122" i="92"/>
  <c r="C1171" i="92"/>
  <c r="B794" i="92"/>
  <c r="B777" i="92"/>
  <c r="C995" i="92"/>
  <c r="C991" i="92"/>
  <c r="B1194" i="92"/>
  <c r="B862" i="92"/>
  <c r="B1198" i="92"/>
  <c r="B733" i="92"/>
  <c r="B1111" i="92"/>
  <c r="C1011" i="92"/>
  <c r="C785" i="92"/>
  <c r="B1134" i="92"/>
  <c r="C1001" i="92"/>
  <c r="B1206" i="92"/>
  <c r="B1130" i="92"/>
  <c r="C1111" i="92"/>
  <c r="C653" i="92"/>
  <c r="B812" i="92"/>
  <c r="B829" i="92"/>
  <c r="B750" i="92"/>
  <c r="C771" i="92"/>
  <c r="C1107" i="92"/>
  <c r="B756" i="92"/>
  <c r="B1005" i="92"/>
  <c r="B989" i="92"/>
  <c r="B979" i="92"/>
  <c r="C927" i="92"/>
  <c r="C1031" i="92"/>
  <c r="C1025" i="92"/>
  <c r="C1124" i="92"/>
  <c r="C1149" i="92"/>
  <c r="B916" i="92"/>
  <c r="B946" i="92"/>
  <c r="C794" i="92"/>
  <c r="B877" i="92"/>
  <c r="C756" i="92"/>
  <c r="C1176" i="92"/>
  <c r="B1057" i="92"/>
  <c r="C877" i="92"/>
  <c r="C722" i="92"/>
  <c r="C911" i="92"/>
  <c r="C1017" i="92"/>
  <c r="C691" i="92"/>
  <c r="C965" i="92"/>
  <c r="B749" i="92"/>
  <c r="C749" i="92"/>
  <c r="C938" i="92"/>
  <c r="B950" i="92"/>
  <c r="C949" i="92"/>
  <c r="B1074" i="92"/>
  <c r="C848" i="92"/>
  <c r="C947" i="92"/>
  <c r="C682" i="92"/>
  <c r="B1055" i="92"/>
  <c r="B710" i="92"/>
  <c r="C1206" i="92"/>
  <c r="B1112" i="92"/>
  <c r="C888" i="92"/>
  <c r="C780" i="92"/>
  <c r="B673" i="92"/>
  <c r="B840" i="92"/>
  <c r="B922" i="92"/>
  <c r="C808" i="92"/>
  <c r="C1014" i="92"/>
  <c r="C1151" i="92"/>
  <c r="B696" i="92"/>
  <c r="B674" i="92"/>
  <c r="B936" i="92"/>
  <c r="C769" i="92"/>
  <c r="C797" i="92"/>
  <c r="B835" i="92"/>
  <c r="B689" i="92"/>
  <c r="B720" i="92"/>
  <c r="B855" i="92"/>
  <c r="B738" i="92"/>
  <c r="C900" i="92"/>
  <c r="C840" i="92"/>
  <c r="B813" i="92"/>
  <c r="B801" i="92"/>
  <c r="B1078" i="92"/>
  <c r="C1086" i="92"/>
  <c r="B1058" i="92"/>
  <c r="C845" i="92"/>
  <c r="C1136" i="92"/>
  <c r="B1101" i="92"/>
  <c r="C823" i="92"/>
  <c r="C1119" i="92"/>
  <c r="C1213" i="92"/>
  <c r="B703" i="92"/>
  <c r="C1064" i="92"/>
  <c r="B891" i="92"/>
  <c r="B995" i="92"/>
  <c r="C1148" i="92"/>
  <c r="C1164" i="92"/>
  <c r="C759" i="92"/>
  <c r="C1143" i="92"/>
  <c r="B708" i="92"/>
  <c r="B1026" i="92"/>
  <c r="B638" i="92"/>
  <c r="C1135" i="92"/>
  <c r="B1214" i="92"/>
  <c r="B841" i="92"/>
  <c r="B873" i="92"/>
  <c r="B1076" i="92"/>
  <c r="B743" i="92"/>
  <c r="C994" i="92"/>
  <c r="B770" i="92"/>
  <c r="B1083" i="92"/>
  <c r="B791" i="92"/>
  <c r="B834" i="92"/>
  <c r="B823" i="92"/>
  <c r="B1033" i="92"/>
  <c r="B849" i="92"/>
  <c r="C726" i="92"/>
  <c r="C1098" i="92"/>
  <c r="B752" i="92"/>
  <c r="C914" i="92"/>
  <c r="C1129" i="92"/>
  <c r="B1155" i="92"/>
  <c r="B947" i="92"/>
  <c r="C1128" i="92"/>
  <c r="C1165" i="92"/>
  <c r="B774" i="92"/>
  <c r="C1053" i="92"/>
  <c r="C950" i="92"/>
  <c r="C1186" i="92"/>
  <c r="C956" i="92"/>
  <c r="C917" i="92"/>
  <c r="C937" i="92"/>
  <c r="C714" i="92"/>
  <c r="B1160" i="92"/>
  <c r="C1099" i="92"/>
  <c r="C799" i="92"/>
  <c r="C985" i="92"/>
  <c r="B1010" i="92"/>
  <c r="B949" i="92"/>
  <c r="B800" i="92"/>
  <c r="B709" i="92"/>
  <c r="B1205" i="92"/>
  <c r="C997" i="92"/>
  <c r="B1081" i="92"/>
  <c r="C673" i="92"/>
  <c r="C1122" i="92"/>
  <c r="C1105" i="92"/>
  <c r="C752" i="92"/>
  <c r="C1094" i="92"/>
  <c r="C1137" i="92"/>
  <c r="C1123" i="92"/>
  <c r="B905" i="92"/>
  <c r="B857" i="92"/>
  <c r="C1184" i="92"/>
  <c r="C772" i="92"/>
  <c r="C647" i="92"/>
  <c r="C872" i="92"/>
  <c r="C1202" i="92"/>
  <c r="B707" i="92"/>
  <c r="C809" i="92"/>
  <c r="C658" i="92"/>
  <c r="B754" i="92"/>
  <c r="B1059" i="92"/>
  <c r="B1014" i="92"/>
  <c r="C1046" i="92"/>
  <c r="B736" i="92"/>
  <c r="B1027" i="92"/>
  <c r="C819" i="92"/>
  <c r="C1113" i="92"/>
  <c r="B806" i="92"/>
  <c r="B993" i="92"/>
  <c r="B919" i="92"/>
  <c r="B948" i="92"/>
  <c r="B686" i="92"/>
  <c r="B952" i="92"/>
  <c r="B973" i="92"/>
  <c r="C790" i="92"/>
  <c r="B1181" i="92"/>
  <c r="B814" i="92"/>
  <c r="C1108" i="92"/>
  <c r="B1060" i="92"/>
  <c r="B968" i="92"/>
  <c r="C716" i="92"/>
  <c r="B1018" i="92"/>
  <c r="B887" i="92"/>
  <c r="B1004" i="92"/>
  <c r="C1185" i="92"/>
  <c r="C839" i="92"/>
  <c r="B1021" i="92"/>
  <c r="C1036" i="92"/>
  <c r="B656" i="92"/>
  <c r="B1218" i="92"/>
  <c r="C1114" i="92"/>
  <c r="C1214" i="92"/>
  <c r="C1118" i="92"/>
  <c r="C640" i="92"/>
  <c r="C865" i="92"/>
  <c r="C792" i="92"/>
  <c r="C1082" i="92"/>
  <c r="B1186" i="92"/>
  <c r="C992" i="92"/>
  <c r="B659" i="92"/>
  <c r="C910" i="92"/>
  <c r="C1078" i="92"/>
  <c r="C981" i="92"/>
  <c r="C656" i="92"/>
  <c r="C1103" i="92"/>
  <c r="C786" i="92"/>
  <c r="C915" i="92"/>
  <c r="B692" i="92"/>
  <c r="B920" i="92"/>
  <c r="C958" i="92"/>
  <c r="B668" i="92"/>
  <c r="B981" i="92"/>
  <c r="B779" i="92"/>
  <c r="C969" i="92"/>
  <c r="B773" i="92"/>
  <c r="B1040" i="92"/>
  <c r="C694" i="92"/>
  <c r="C688" i="92"/>
  <c r="C649" i="92"/>
  <c r="B838" i="92"/>
  <c r="B643" i="92"/>
  <c r="C760" i="92"/>
  <c r="C849" i="92"/>
  <c r="B729" i="92"/>
  <c r="C993" i="92"/>
  <c r="C964" i="92"/>
  <c r="B938" i="92"/>
  <c r="C824" i="92"/>
  <c r="B940" i="92"/>
  <c r="B1045" i="92"/>
  <c r="C1117" i="92"/>
  <c r="B875" i="92"/>
  <c r="C816" i="92"/>
  <c r="B1120" i="92"/>
  <c r="B954" i="92"/>
  <c r="B974" i="92"/>
  <c r="C1104" i="92"/>
  <c r="B870" i="92"/>
  <c r="B792" i="92"/>
  <c r="C821" i="92"/>
  <c r="B676" i="92"/>
  <c r="B1146" i="92"/>
  <c r="C1010" i="92"/>
  <c r="C776" i="92"/>
  <c r="C801" i="92"/>
  <c r="B1070" i="92"/>
  <c r="B1116" i="92"/>
  <c r="B681" i="92"/>
  <c r="C1110" i="92"/>
  <c r="B836" i="92"/>
  <c r="B851" i="92"/>
  <c r="B854" i="92"/>
  <c r="B655" i="92"/>
  <c r="C875" i="92"/>
  <c r="B934" i="92"/>
  <c r="C857" i="92"/>
  <c r="B1201" i="92"/>
  <c r="B910" i="92"/>
  <c r="C892" i="92"/>
  <c r="C1024" i="92"/>
  <c r="B1192" i="92"/>
  <c r="B799" i="92"/>
  <c r="C709" i="92"/>
  <c r="C902" i="92"/>
  <c r="B930" i="92"/>
  <c r="B970" i="92"/>
  <c r="C828" i="92"/>
  <c r="C921" i="92"/>
  <c r="C859" i="92"/>
  <c r="B739" i="92"/>
  <c r="B861" i="92"/>
  <c r="C1215" i="92"/>
  <c r="C976" i="92"/>
  <c r="B921" i="92"/>
  <c r="B1128" i="92"/>
  <c r="C926" i="92"/>
  <c r="C1204" i="92"/>
  <c r="B741" i="92"/>
  <c r="B1166" i="92"/>
  <c r="B1132" i="92"/>
  <c r="B1102" i="92"/>
  <c r="C883" i="92"/>
  <c r="B845" i="92"/>
  <c r="B942" i="92"/>
  <c r="B883" i="92"/>
  <c r="B1050" i="92"/>
  <c r="C736" i="92"/>
  <c r="B639" i="92"/>
  <c r="C1130" i="92"/>
  <c r="C1189" i="92"/>
  <c r="B917" i="92"/>
  <c r="B964" i="92"/>
  <c r="B771" i="92"/>
  <c r="C820" i="92"/>
  <c r="B790" i="92"/>
  <c r="B1203" i="92"/>
  <c r="C871" i="92"/>
  <c r="C919" i="92"/>
  <c r="C1079" i="92"/>
  <c r="B818" i="92"/>
  <c r="B1032" i="92"/>
  <c r="B971" i="92"/>
  <c r="C1043" i="92"/>
  <c r="C815" i="92"/>
  <c r="B1011" i="92"/>
  <c r="C1141" i="92"/>
  <c r="C1019" i="92"/>
  <c r="C681" i="92"/>
  <c r="C1112" i="92"/>
  <c r="B951" i="92"/>
  <c r="C796" i="92"/>
  <c r="C1162" i="92"/>
  <c r="C934" i="92"/>
  <c r="C860" i="92"/>
  <c r="B648" i="92"/>
  <c r="B698" i="92"/>
  <c r="C1166" i="92"/>
  <c r="C1041" i="92"/>
  <c r="C665" i="92"/>
  <c r="C1004" i="92"/>
  <c r="B748" i="92"/>
  <c r="B650" i="92"/>
  <c r="C1045" i="92"/>
  <c r="B1088" i="92"/>
  <c r="B1140" i="92"/>
  <c r="B786" i="92"/>
  <c r="B1124" i="92"/>
  <c r="B1068" i="92"/>
  <c r="C841" i="92"/>
  <c r="B901" i="92"/>
  <c r="B645" i="92"/>
  <c r="C931" i="92"/>
  <c r="C798" i="92"/>
  <c r="C943" i="92"/>
  <c r="B1177" i="92"/>
  <c r="B975" i="92"/>
  <c r="C784" i="92"/>
  <c r="C1022" i="92"/>
  <c r="C862" i="92"/>
  <c r="B1143" i="92"/>
  <c r="B1100" i="92"/>
  <c r="B908" i="92"/>
  <c r="C948" i="92"/>
  <c r="C1181" i="92"/>
  <c r="B944" i="92"/>
  <c r="B705" i="92"/>
  <c r="B693" i="92"/>
  <c r="C941" i="92"/>
  <c r="C746" i="92"/>
  <c r="B735" i="92"/>
  <c r="C766" i="92"/>
  <c r="B1044" i="9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Q941" i="92" a="1"/>
  <c r="P941" i="92" a="1"/>
  <c r="P1143" i="92" a="1"/>
  <c r="P873" i="92" a="1"/>
  <c r="Q979" i="92" a="1"/>
  <c r="Q747" i="92" a="1"/>
  <c r="P1034" i="92" a="1"/>
  <c r="Q1091" i="92" a="1"/>
  <c r="P903" i="92" a="1"/>
  <c r="Q1169" i="92" a="1"/>
  <c r="P1101" i="92" a="1"/>
  <c r="P960" i="92" a="1"/>
  <c r="P1012" i="92" a="1"/>
  <c r="P650" i="92" a="1"/>
  <c r="Q1143" i="92" a="1"/>
  <c r="Q873" i="92" a="1"/>
  <c r="Q699" i="92" a="1"/>
  <c r="P807" i="92" a="1"/>
  <c r="Q960" i="92" a="1"/>
  <c r="P717" i="92" a="1"/>
  <c r="P1169" i="92" a="1"/>
  <c r="Q922" i="92" a="1"/>
  <c r="Q825" i="92" a="1"/>
  <c r="P843" i="92" a="1"/>
  <c r="P1114" i="92" a="1"/>
  <c r="Q681" i="92" a="1"/>
  <c r="P681" i="92" a="1"/>
  <c r="P1058" i="92" a="1"/>
  <c r="Q843" i="92" a="1"/>
  <c r="P1023" i="92" a="1"/>
  <c r="P699" i="92" a="1"/>
  <c r="Q1012" i="92" a="1"/>
  <c r="Q1058" i="92" a="1"/>
  <c r="P979" i="92" a="1"/>
  <c r="Q717" i="92" a="1"/>
  <c r="Q1034" i="92" a="1"/>
  <c r="P792" i="92" a="1"/>
  <c r="P922" i="92" a="1"/>
  <c r="P1048" i="92" a="1"/>
  <c r="P1075" i="92" a="1"/>
  <c r="Q807" i="92" a="1"/>
  <c r="P1091" i="92" a="1"/>
  <c r="Q650" i="92" a="1"/>
  <c r="Q792" i="92" a="1"/>
  <c r="Q1048" i="92" a="1"/>
  <c r="Q1101" i="92" a="1"/>
  <c r="P825" i="92" a="1"/>
  <c r="Q903" i="92" a="1"/>
  <c r="Q1114" i="92" a="1"/>
  <c r="P1194" i="92" a="1"/>
  <c r="P747" i="92" a="1"/>
  <c r="Q777" i="92" a="1"/>
  <c r="Q1194" i="92" a="1"/>
  <c r="Q1075" i="92" a="1"/>
  <c r="Q1218" i="92" a="1"/>
  <c r="P1218" i="92" a="1"/>
  <c r="P777" i="92" a="1"/>
  <c r="Q1023" i="92" a="1"/>
  <c r="P998" i="92" a="1"/>
  <c r="Q998" i="92" a="1"/>
  <c r="Q998" i="92" l="1"/>
  <c r="P998" i="92"/>
  <c r="Q1023" i="92"/>
  <c r="P777" i="92"/>
  <c r="P1218" i="92"/>
  <c r="Q1218" i="92"/>
  <c r="Q1075" i="92"/>
  <c r="Q1194" i="92"/>
  <c r="Q777" i="92"/>
  <c r="P747" i="92"/>
  <c r="P1194" i="92"/>
  <c r="Q1114" i="92"/>
  <c r="Q903" i="92"/>
  <c r="P825" i="92"/>
  <c r="Q1101" i="92"/>
  <c r="Q1048" i="92"/>
  <c r="Q792" i="92"/>
  <c r="Q650" i="92"/>
  <c r="P1091" i="92"/>
  <c r="Q807" i="92"/>
  <c r="P1075" i="92"/>
  <c r="P1048" i="92"/>
  <c r="P922" i="92"/>
  <c r="P792" i="92"/>
  <c r="Q1034" i="92"/>
  <c r="Q717" i="92"/>
  <c r="P979" i="92"/>
  <c r="Q1058" i="92"/>
  <c r="Q1012" i="92"/>
  <c r="P699" i="92"/>
  <c r="P1023" i="92"/>
  <c r="Q843" i="92"/>
  <c r="P1058" i="92"/>
  <c r="P681" i="92"/>
  <c r="Q681" i="92"/>
  <c r="P1114" i="92"/>
  <c r="P843" i="92"/>
  <c r="Q825" i="92"/>
  <c r="Q922" i="92"/>
  <c r="P1169" i="92"/>
  <c r="P717" i="92"/>
  <c r="Q960" i="92"/>
  <c r="P807" i="92"/>
  <c r="Q699" i="92"/>
  <c r="Q873" i="92"/>
  <c r="Q1143" i="92"/>
  <c r="P650" i="92"/>
  <c r="P1012" i="92"/>
  <c r="P960" i="92"/>
  <c r="P1101" i="92"/>
  <c r="Q1169" i="92"/>
  <c r="P903" i="92"/>
  <c r="Q1091" i="92"/>
  <c r="P1034" i="92"/>
  <c r="Q747" i="92"/>
  <c r="Q979" i="92"/>
  <c r="P873" i="92"/>
  <c r="P1143" i="92"/>
  <c r="P941" i="92"/>
  <c r="Q941" i="92"/>
  <c r="R33" i="76"/>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2" i="70" l="1"/>
  <c r="S22" i="70"/>
  <c r="U22" i="70"/>
  <c r="T22" i="70"/>
  <c r="J11" i="70"/>
  <c r="U11" i="70"/>
  <c r="S11" i="70"/>
  <c r="T11" i="70"/>
  <c r="J12" i="70"/>
  <c r="T12" i="70"/>
  <c r="S12" i="70"/>
  <c r="U12" i="70"/>
  <c r="J29" i="70"/>
  <c r="T29" i="70"/>
  <c r="U29" i="70"/>
  <c r="S29" i="70"/>
  <c r="J27" i="70"/>
  <c r="U27" i="70"/>
  <c r="T27" i="70"/>
  <c r="S27" i="70"/>
  <c r="J24" i="70"/>
  <c r="U24" i="70"/>
  <c r="T24" i="70"/>
  <c r="S24" i="70"/>
  <c r="J25" i="70"/>
  <c r="U25" i="70"/>
  <c r="T25" i="70"/>
  <c r="S25" i="70"/>
  <c r="J30" i="70"/>
  <c r="U30" i="70"/>
  <c r="T30" i="70"/>
  <c r="S30" i="70"/>
  <c r="J26" i="70"/>
  <c r="T26" i="70"/>
  <c r="U26" i="70"/>
  <c r="S26" i="70"/>
  <c r="J10" i="70"/>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G37" i="70" s="1"/>
  <c r="I39" i="70"/>
  <c r="N17" i="12"/>
  <c r="K33" i="70"/>
  <c r="K36" i="70"/>
  <c r="L33"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I37" i="70" l="1"/>
  <c r="C1646" i="92"/>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<sst xmlns="http://schemas.openxmlformats.org/spreadsheetml/2006/main" count="25621" uniqueCount="2108">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</sst>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3" borderId="1"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181" fontId="1" fillId="6" borderId="10" xfId="0" applyNumberFormat="1" applyFont="1" applyFill="1" applyBorder="1" applyAlignment="1" applyProtection="1">
      <alignment horizontal="center"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66" fillId="31" borderId="6" xfId="0" applyFont="1" applyFill="1" applyBorder="1" applyProtection="1"/>
    <xf numFmtId="0" fontId="66" fillId="31" borderId="9" xfId="0" applyFont="1" applyFill="1" applyBorder="1" applyProtection="1"/>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7" t="s">
        <v>732</v>
      </c>
      <c r="B1" s="1487"/>
      <c r="C1" s="1487"/>
      <c r="D1" s="1487"/>
      <c r="E1" s="1487"/>
    </row>
    <row r="2" spans="1:5" x14ac:dyDescent="0.25">
      <c r="A2" s="1487" t="s">
        <v>733</v>
      </c>
      <c r="B2" s="1487"/>
      <c r="C2" s="1487"/>
      <c r="D2" s="1487"/>
      <c r="E2" s="1487"/>
    </row>
    <row r="3" spans="1:5" x14ac:dyDescent="0.25">
      <c r="A3" s="71"/>
    </row>
    <row r="4" spans="1:5" ht="78" customHeight="1" x14ac:dyDescent="0.25">
      <c r="A4" s="1508" t="s">
        <v>734</v>
      </c>
      <c r="B4" s="1508"/>
      <c r="C4" s="1508"/>
      <c r="D4" s="1508"/>
      <c r="E4" s="1508"/>
    </row>
    <row r="5" spans="1:5" x14ac:dyDescent="0.25">
      <c r="A5" s="71"/>
    </row>
    <row r="6" spans="1:5" ht="31.5" customHeight="1" x14ac:dyDescent="0.25">
      <c r="A6" s="1507" t="s">
        <v>735</v>
      </c>
      <c r="B6" s="1507"/>
      <c r="C6" s="1507"/>
      <c r="D6" s="1507"/>
      <c r="E6" s="1507"/>
    </row>
    <row r="7" spans="1:5" ht="15.75" thickBot="1" x14ac:dyDescent="0.3">
      <c r="A7" s="72"/>
    </row>
    <row r="8" spans="1:5" ht="15" customHeight="1" x14ac:dyDescent="0.25">
      <c r="A8" s="1501" t="s">
        <v>736</v>
      </c>
      <c r="B8" s="1502"/>
      <c r="C8" s="1502"/>
      <c r="D8" s="1502"/>
      <c r="E8" s="1503"/>
    </row>
    <row r="9" spans="1:5" ht="15" customHeight="1" thickBot="1" x14ac:dyDescent="0.3">
      <c r="A9" s="1504" t="s">
        <v>737</v>
      </c>
      <c r="B9" s="1505"/>
      <c r="C9" s="1505"/>
      <c r="D9" s="1505"/>
      <c r="E9" s="1506"/>
    </row>
    <row r="10" spans="1:5" x14ac:dyDescent="0.25">
      <c r="A10" s="73"/>
      <c r="B10" s="1498"/>
      <c r="C10" s="1498"/>
      <c r="D10" s="77"/>
    </row>
    <row r="11" spans="1:5" ht="31.5" customHeight="1" thickBot="1" x14ac:dyDescent="0.3">
      <c r="A11" s="75" t="s">
        <v>738</v>
      </c>
      <c r="B11" s="1499" t="s">
        <v>739</v>
      </c>
      <c r="C11" s="1499"/>
      <c r="D11" s="77">
        <f>Welcome!$D$4</f>
        <v>0</v>
      </c>
    </row>
    <row r="12" spans="1:5" ht="15.75" thickBot="1" x14ac:dyDescent="0.3">
      <c r="A12" s="75" t="s">
        <v>740</v>
      </c>
      <c r="B12" s="1500">
        <f>'MDA Worksheet'!$R$18</f>
        <v>0</v>
      </c>
      <c r="C12" s="1500"/>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497"/>
      <c r="C17" s="1497"/>
      <c r="D17" s="1497"/>
      <c r="E17" s="1497"/>
    </row>
    <row r="18" spans="1:5" x14ac:dyDescent="0.25">
      <c r="A18" s="73"/>
      <c r="B18" s="116"/>
      <c r="C18" s="73"/>
      <c r="D18" s="116"/>
    </row>
    <row r="19" spans="1:5" ht="15.75" thickBot="1" x14ac:dyDescent="0.3">
      <c r="A19" s="75" t="s">
        <v>812</v>
      </c>
      <c r="B19" s="1497" t="str">
        <f>Welcome!$D$8</f>
        <v>Please Select</v>
      </c>
      <c r="C19" s="1497"/>
      <c r="D19" s="1497"/>
      <c r="E19" s="149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09" t="s">
        <v>1153</v>
      </c>
      <c r="B42" s="1510"/>
      <c r="C42" s="1510"/>
      <c r="D42" s="1510"/>
      <c r="E42" s="1511"/>
    </row>
    <row r="43" spans="1:5" s="689" customFormat="1" x14ac:dyDescent="0.25">
      <c r="A43" s="1518"/>
      <c r="B43" s="1519"/>
      <c r="C43" s="1519"/>
      <c r="D43" s="1519"/>
      <c r="E43" s="1520"/>
    </row>
    <row r="44" spans="1:5" s="689" customFormat="1" ht="15.75" thickBot="1" x14ac:dyDescent="0.3">
      <c r="A44" s="1521"/>
      <c r="B44" s="1522"/>
      <c r="C44" s="1522"/>
      <c r="D44" s="1522"/>
      <c r="E44" s="1523"/>
    </row>
    <row r="45" spans="1:5" s="689" customFormat="1" ht="15.75" thickBot="1" x14ac:dyDescent="0.3">
      <c r="A45" s="694"/>
    </row>
    <row r="46" spans="1:5" s="689" customFormat="1" ht="15.75" thickBot="1" x14ac:dyDescent="0.3">
      <c r="A46" s="1509" t="s">
        <v>1142</v>
      </c>
      <c r="B46" s="1510"/>
      <c r="C46" s="1510"/>
      <c r="D46" s="1510"/>
      <c r="E46" s="1511"/>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512"/>
      <c r="B53" s="1513"/>
      <c r="C53" s="1513"/>
      <c r="D53" s="1513"/>
      <c r="E53" s="1514"/>
    </row>
    <row r="54" spans="1:5" s="689" customFormat="1" ht="15.75" thickBot="1" x14ac:dyDescent="0.3">
      <c r="A54" s="1515"/>
      <c r="B54" s="1516"/>
      <c r="C54" s="1516"/>
      <c r="D54" s="1516"/>
      <c r="E54" s="1517"/>
    </row>
    <row r="55" spans="1:5" ht="15.75" thickBot="1" x14ac:dyDescent="0.3">
      <c r="A55" s="694"/>
      <c r="B55" s="689"/>
      <c r="C55" s="689"/>
      <c r="D55" s="689"/>
      <c r="E55" s="689"/>
    </row>
    <row r="56" spans="1:5" ht="30.75" customHeight="1" thickBot="1" x14ac:dyDescent="0.3">
      <c r="A56" s="1488" t="s">
        <v>748</v>
      </c>
      <c r="B56" s="1489"/>
      <c r="C56" s="1489"/>
      <c r="D56" s="1489"/>
      <c r="E56" s="1490"/>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491" t="s">
        <v>760</v>
      </c>
      <c r="B67" s="1492"/>
      <c r="C67" s="1492"/>
      <c r="D67" s="1492"/>
      <c r="E67" s="1493"/>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24" t="s">
        <v>1154</v>
      </c>
      <c r="B74" s="1525"/>
      <c r="C74" s="1525"/>
      <c r="D74" s="1525"/>
      <c r="E74" s="1526"/>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494" t="s">
        <v>763</v>
      </c>
      <c r="B78" s="1495"/>
      <c r="C78" s="1495"/>
      <c r="D78" s="1495"/>
      <c r="E78" s="1496"/>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494" t="s">
        <v>765</v>
      </c>
      <c r="B83" s="1495"/>
      <c r="C83" s="1495"/>
      <c r="D83" s="1495"/>
      <c r="E83" s="1496"/>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0"/>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7" t="s">
        <v>1137</v>
      </c>
      <c r="D3" s="1528"/>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3"/>
      <c r="E26" s="1373"/>
      <c r="F26" s="1374"/>
      <c r="G26" s="1375">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38" t="s">
        <v>1169</v>
      </c>
      <c r="C29" s="1539"/>
      <c r="D29" s="1539"/>
      <c r="E29" s="1539"/>
      <c r="F29" s="1539"/>
      <c r="G29" s="1539"/>
      <c r="H29" s="1539"/>
      <c r="I29" s="154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29"/>
      <c r="C30" s="1530"/>
      <c r="D30" s="1530"/>
      <c r="E30" s="1530"/>
      <c r="F30" s="1530"/>
      <c r="G30" s="1530"/>
      <c r="H30" s="1530"/>
      <c r="I30" s="153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2"/>
      <c r="C31" s="1533"/>
      <c r="D31" s="1533"/>
      <c r="E31" s="1533"/>
      <c r="F31" s="1533"/>
      <c r="G31" s="1533"/>
      <c r="H31" s="1533"/>
      <c r="I31" s="153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2"/>
      <c r="C32" s="1533"/>
      <c r="D32" s="1533"/>
      <c r="E32" s="1533"/>
      <c r="F32" s="1533"/>
      <c r="G32" s="1533"/>
      <c r="H32" s="1533"/>
      <c r="I32" s="153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2"/>
      <c r="C33" s="1533"/>
      <c r="D33" s="1533"/>
      <c r="E33" s="1533"/>
      <c r="F33" s="1533"/>
      <c r="G33" s="1533"/>
      <c r="H33" s="1533"/>
      <c r="I33" s="153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2"/>
      <c r="C34" s="1533"/>
      <c r="D34" s="1533"/>
      <c r="E34" s="1533"/>
      <c r="F34" s="1533"/>
      <c r="G34" s="1533"/>
      <c r="H34" s="1533"/>
      <c r="I34" s="153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5"/>
      <c r="C35" s="1536"/>
      <c r="D35" s="1536"/>
      <c r="E35" s="1536"/>
      <c r="F35" s="1536"/>
      <c r="G35" s="1536"/>
      <c r="H35" s="1536"/>
      <c r="I35" s="153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1" t="s">
        <v>1102</v>
      </c>
      <c r="C37" s="1542"/>
      <c r="D37" s="1542"/>
      <c r="E37" s="1542"/>
      <c r="F37" s="1542"/>
      <c r="G37" s="1542"/>
      <c r="H37" s="1542"/>
      <c r="I37" s="154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29"/>
      <c r="C38" s="1530"/>
      <c r="D38" s="1530"/>
      <c r="E38" s="1530"/>
      <c r="F38" s="1530"/>
      <c r="G38" s="1530"/>
      <c r="H38" s="1530"/>
      <c r="I38" s="153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2"/>
      <c r="C39" s="1533"/>
      <c r="D39" s="1533"/>
      <c r="E39" s="1533"/>
      <c r="F39" s="1533"/>
      <c r="G39" s="1533"/>
      <c r="H39" s="1533"/>
      <c r="I39" s="153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2"/>
      <c r="C40" s="1533"/>
      <c r="D40" s="1533"/>
      <c r="E40" s="1533"/>
      <c r="F40" s="1533"/>
      <c r="G40" s="1533"/>
      <c r="H40" s="1533"/>
      <c r="I40" s="153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2"/>
      <c r="C41" s="1533"/>
      <c r="D41" s="1533"/>
      <c r="E41" s="1533"/>
      <c r="F41" s="1533"/>
      <c r="G41" s="1533"/>
      <c r="H41" s="1533"/>
      <c r="I41" s="153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2"/>
      <c r="C42" s="1533"/>
      <c r="D42" s="1533"/>
      <c r="E42" s="1533"/>
      <c r="F42" s="1533"/>
      <c r="G42" s="1533"/>
      <c r="H42" s="1533"/>
      <c r="I42" s="153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5"/>
      <c r="C43" s="1536"/>
      <c r="D43" s="1536"/>
      <c r="E43" s="1536"/>
      <c r="F43" s="1536"/>
      <c r="G43" s="1536"/>
      <c r="H43" s="1536"/>
      <c r="I43" s="153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kHwZAM4Oh/VBgV+/z7Sent6+GzOzv2dgFBqAg2t6y0PlTQyd7FcciwtrHF2V6p7awYX8m3yxWxHPLjFvFoY4uw==" saltValue="G4KuxR3L0Bc6ltQxx60sjQ=="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0"/>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6"/>
      <c r="F2" s="1547" t="s">
        <v>874</v>
      </c>
      <c r="G2" s="1547"/>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7"/>
      <c r="F3" s="649"/>
      <c r="G3" s="649"/>
      <c r="H3" s="649"/>
      <c r="I3" s="649"/>
      <c r="J3" s="649"/>
      <c r="K3" s="649"/>
      <c r="L3" s="1077"/>
      <c r="M3" s="1077"/>
      <c r="N3" s="1077"/>
      <c r="O3" s="650"/>
      <c r="P3" s="1076" t="str">
        <f>IF(COUNTIFS($P$6:$P$15,"&gt;0")&lt;$C$4,"Must Enter Expected Sales for All Locations","")</f>
        <v/>
      </c>
      <c r="Q3" s="1075"/>
      <c r="R3" s="1075"/>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78"/>
      <c r="F4" s="651"/>
      <c r="G4" s="651"/>
      <c r="H4" s="651"/>
      <c r="I4" s="651"/>
      <c r="J4" s="651"/>
      <c r="K4" s="651"/>
      <c r="L4" s="651"/>
      <c r="M4" s="651"/>
      <c r="N4" s="651"/>
      <c r="O4" s="1073"/>
      <c r="P4" s="1074" t="str">
        <f>IF(COUNTIFS($P$6:$P$15,"&gt;0")&lt;$C$4,"VVVVV","")</f>
        <v/>
      </c>
      <c r="Q4" s="1073"/>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77"/>
      <c r="F5" s="609" t="s">
        <v>997</v>
      </c>
      <c r="G5" s="779" t="s">
        <v>1188</v>
      </c>
      <c r="H5" s="1168" t="s">
        <v>1192</v>
      </c>
      <c r="I5" s="779" t="s">
        <v>1274</v>
      </c>
      <c r="J5" s="569" t="s">
        <v>1275</v>
      </c>
      <c r="K5" s="737" t="s">
        <v>872</v>
      </c>
      <c r="L5" s="570" t="s">
        <v>1193</v>
      </c>
      <c r="M5" s="570" t="s">
        <v>1200</v>
      </c>
      <c r="N5" s="570" t="s">
        <v>870</v>
      </c>
      <c r="O5" s="571" t="s">
        <v>1194</v>
      </c>
      <c r="P5" s="656" t="s">
        <v>1195</v>
      </c>
      <c r="Q5" s="657" t="s">
        <v>1196</v>
      </c>
      <c r="R5" s="1169" t="s">
        <v>1197</v>
      </c>
      <c r="S5" s="1169" t="s">
        <v>204</v>
      </c>
      <c r="T5" s="741" t="s">
        <v>1198</v>
      </c>
      <c r="U5" s="1078"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3" t="s">
        <v>1311</v>
      </c>
      <c r="AT5" s="833" t="s">
        <v>1317</v>
      </c>
      <c r="AU5" s="833" t="s">
        <v>1318</v>
      </c>
      <c r="AV5" s="833" t="s">
        <v>1328</v>
      </c>
      <c r="AW5" s="833" t="s">
        <v>1329</v>
      </c>
      <c r="AX5" s="833" t="s">
        <v>1313</v>
      </c>
      <c r="AY5" s="833" t="s">
        <v>1316</v>
      </c>
      <c r="AZ5" s="833" t="s">
        <v>1319</v>
      </c>
      <c r="BA5" s="834" t="s">
        <v>1320</v>
      </c>
      <c r="BB5" s="834" t="s">
        <v>1321</v>
      </c>
      <c r="BC5" s="1122" t="s">
        <v>1322</v>
      </c>
      <c r="BD5" s="1122" t="s">
        <v>1323</v>
      </c>
    </row>
    <row r="6" spans="1:56" x14ac:dyDescent="0.25">
      <c r="A6" t="str">
        <f t="shared" ref="A6:A15" si="0">IFERROR(RANK($AE6,$AE$6:$AE$15,1),"")</f>
        <v/>
      </c>
      <c r="B6">
        <f t="shared" ref="B6:B15" si="1">IF($G6="New Store",$G6&amp;" "&amp;$AC6,$G6)</f>
        <v>0</v>
      </c>
      <c r="C6" s="141">
        <v>1</v>
      </c>
      <c r="D6" s="141"/>
      <c r="E6" s="1378"/>
      <c r="F6" s="538" t="str">
        <f>IF(Welcome!$D$14="Select # of Locations","",IF($C6&lt;=Welcome!$D$14,$C6,""))</f>
        <v/>
      </c>
      <c r="G6" s="1873"/>
      <c r="H6" s="1368"/>
      <c r="I6" s="828"/>
      <c r="J6" s="818"/>
      <c r="K6" s="738" t="str">
        <f>IF($C$4&gt;=$C6,IF(SUMIF('Existing Customers'!$A:$A,'Customer Inputs'!$G6,'Existing Customers'!$Q:$Q)=0,"Enter Spend&gt;&gt;&gt;",ROUND(SUMIF('Existing Customers'!$A:$A,'Customer Inputs'!$G6,'Existing Customers'!$Q:$Q),0)),"")</f>
        <v/>
      </c>
      <c r="L6" s="906" t="str">
        <f>IF($F6="","",'Multi-Customer'!$BG49)</f>
        <v/>
      </c>
      <c r="M6" s="739" t="str">
        <f>IF($F6="","",IFERROR(VLOOKUP($G6,'Existing Customers'!$A:$AD,30,FALSE),"Enter Menu Type&gt;&gt;"))</f>
        <v/>
      </c>
      <c r="N6" s="648" t="str">
        <f>IFERROR(IF($C$4&gt;=$C6,VLOOKUP($G6,'Existing Customers'!$A:$J,10,FALSE),""),"Enter Zip Code &gt;")</f>
        <v/>
      </c>
      <c r="O6" s="909" t="str">
        <f>IF($F6="","",'Multi-Customer'!$BG50)</f>
        <v/>
      </c>
      <c r="P6" s="1369"/>
      <c r="Q6" s="1370"/>
      <c r="R6" s="1875"/>
      <c r="S6" s="1371"/>
      <c r="T6" s="1372"/>
      <c r="U6" s="1361"/>
      <c r="V6" s="743" t="s">
        <v>649</v>
      </c>
      <c r="W6" s="1081"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78"/>
      <c r="F7" s="538" t="str">
        <f>IF(Welcome!$D$14="Select # of Locations","",IF($C7&lt;=Welcome!$D$14,$C7,""))</f>
        <v/>
      </c>
      <c r="G7" s="1873"/>
      <c r="H7" s="1356"/>
      <c r="I7" s="829"/>
      <c r="J7" s="820"/>
      <c r="K7" s="739" t="str">
        <f>IF($C$4&gt;=$C7,IF(SUMIF('Existing Customers'!$A:$A,'Customer Inputs'!$G7,'Existing Customers'!$Q:$Q)=0,"Enter Spend&gt;&gt;&gt;",ROUND(SUMIF('Existing Customers'!$A:$A,'Customer Inputs'!$G7,'Existing Customers'!$Q:$Q),0)),"")</f>
        <v/>
      </c>
      <c r="L7" s="907" t="str">
        <f>IF($F7="","",'Multi-Customer'!$CD49)</f>
        <v/>
      </c>
      <c r="M7" s="739" t="str">
        <f>IF($F7="","",IFERROR(VLOOKUP($G7,'Existing Customers'!$A:$AD,30,FALSE),"Enter Menu Type&gt;&gt;"))</f>
        <v/>
      </c>
      <c r="N7" s="645" t="str">
        <f>IFERROR(IF($C$4&gt;=$C7,VLOOKUP($G7,'Existing Customers'!$A:$J,10,FALSE),""),"Enter Zip Code &gt;")</f>
        <v/>
      </c>
      <c r="O7" s="910" t="str">
        <f>IF($F7="","",'Multi-Customer'!$CD50)</f>
        <v/>
      </c>
      <c r="P7" s="1358"/>
      <c r="Q7" s="1359"/>
      <c r="R7" s="1876"/>
      <c r="S7" s="1361"/>
      <c r="T7" s="1362"/>
      <c r="U7" s="1361"/>
      <c r="V7" s="540" t="s">
        <v>649</v>
      </c>
      <c r="W7" s="1081"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78"/>
      <c r="F8" s="538" t="str">
        <f>IF(Welcome!$D$14="Select # of Locations","",IF($C8&lt;=Welcome!$D$14,$C8,""))</f>
        <v/>
      </c>
      <c r="G8" s="1873"/>
      <c r="H8" s="1356"/>
      <c r="I8" s="829"/>
      <c r="J8" s="820"/>
      <c r="K8" s="739" t="str">
        <f>IF($C$4&gt;=$C8,IF(SUMIF('Existing Customers'!$A:$A,'Customer Inputs'!$G8,'Existing Customers'!$Q:$Q)=0,"Enter Spend&gt;&gt;&gt;",ROUND(SUMIF('Existing Customers'!$A:$A,'Customer Inputs'!$G8,'Existing Customers'!$Q:$Q),0)),"")</f>
        <v/>
      </c>
      <c r="L8" s="907" t="str">
        <f>IF($F8="","",'Multi-Customer'!$DA49)</f>
        <v/>
      </c>
      <c r="M8" s="739" t="str">
        <f>IF($F8="","",IFERROR(VLOOKUP($G8,'Existing Customers'!$A:$AD,30,FALSE),"Enter Menu Type&gt;&gt;"))</f>
        <v/>
      </c>
      <c r="N8" s="645" t="str">
        <f>IFERROR(IF($C$4&gt;=$C8,VLOOKUP($G8,'Existing Customers'!$A:$J,10,FALSE),""),"Enter Zip Code &gt;")</f>
        <v/>
      </c>
      <c r="O8" s="910" t="str">
        <f>IF($F8="","",'Multi-Customer'!$DA50)</f>
        <v/>
      </c>
      <c r="P8" s="1358"/>
      <c r="Q8" s="1359"/>
      <c r="R8" s="1876"/>
      <c r="S8" s="1361"/>
      <c r="T8" s="1362"/>
      <c r="U8" s="1361"/>
      <c r="V8" s="540" t="s">
        <v>649</v>
      </c>
      <c r="W8" s="1081"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78"/>
      <c r="F9" s="538" t="str">
        <f>IF(Welcome!$D$14="Select # of Locations","",IF($C9&lt;=Welcome!$D$14,$C9,""))</f>
        <v/>
      </c>
      <c r="G9" s="1873"/>
      <c r="H9" s="1356"/>
      <c r="I9" s="829"/>
      <c r="J9" s="820"/>
      <c r="K9" s="739" t="str">
        <f>IF($C$4&gt;=$C9,IF(SUMIF('Existing Customers'!$A:$A,'Customer Inputs'!$G9,'Existing Customers'!$Q:$Q)=0,"Enter Spend&gt;&gt;&gt;",ROUND(SUMIF('Existing Customers'!$A:$A,'Customer Inputs'!$G9,'Existing Customers'!$Q:$Q),0)),"")</f>
        <v/>
      </c>
      <c r="L9" s="907" t="str">
        <f>IF($F9="","",'Multi-Customer'!$DX49)</f>
        <v/>
      </c>
      <c r="M9" s="739" t="str">
        <f>IF($F9="","",IFERROR(VLOOKUP($G9,'Existing Customers'!$A:$AD,30,FALSE),"Enter Menu Type&gt;&gt;"))</f>
        <v/>
      </c>
      <c r="N9" s="645" t="str">
        <f>IFERROR(IF($C$4&gt;=$C9,VLOOKUP($G9,'Existing Customers'!$A:$J,10,FALSE),""),"Enter Zip Code &gt;")</f>
        <v/>
      </c>
      <c r="O9" s="910" t="str">
        <f>IF($F9="","",'Multi-Customer'!$DX50)</f>
        <v/>
      </c>
      <c r="P9" s="1358"/>
      <c r="Q9" s="1359"/>
      <c r="R9" s="1876"/>
      <c r="S9" s="1361"/>
      <c r="T9" s="1362"/>
      <c r="U9" s="1361"/>
      <c r="V9" s="540" t="s">
        <v>649</v>
      </c>
      <c r="W9" s="1081"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78"/>
      <c r="F10" s="538" t="str">
        <f>IF(Welcome!$D$14="Select # of Locations","",IF($C10&lt;=Welcome!$D$14,$C10,""))</f>
        <v/>
      </c>
      <c r="G10" s="1873"/>
      <c r="H10" s="1356"/>
      <c r="I10" s="829"/>
      <c r="J10" s="820"/>
      <c r="K10" s="739" t="str">
        <f>IF($C$4&gt;=$C10,IF(SUMIF('Existing Customers'!$A:$A,'Customer Inputs'!$G10,'Existing Customers'!$Q:$Q)=0,"Enter Spend&gt;&gt;&gt;",ROUND(SUMIF('Existing Customers'!$A:$A,'Customer Inputs'!$G10,'Existing Customers'!$Q:$Q),0)),"")</f>
        <v/>
      </c>
      <c r="L10" s="907" t="str">
        <f>IF($F10="","",'Multi-Customer'!$EU49)</f>
        <v/>
      </c>
      <c r="M10" s="739" t="str">
        <f>IF($F10="","",IFERROR(VLOOKUP($G10,'Existing Customers'!$A:$AD,30,FALSE),"Enter Menu Type&gt;&gt;"))</f>
        <v/>
      </c>
      <c r="N10" s="645" t="str">
        <f>IFERROR(IF($C$4&gt;=$C10,VLOOKUP($G10,'Existing Customers'!$A:$J,10,FALSE),""),"Enter Zip Code &gt;")</f>
        <v/>
      </c>
      <c r="O10" s="910" t="str">
        <f>IF($F10="","",'Multi-Customer'!$EU50)</f>
        <v/>
      </c>
      <c r="P10" s="1358"/>
      <c r="Q10" s="1359"/>
      <c r="R10" s="1876"/>
      <c r="S10" s="1361"/>
      <c r="T10" s="1362"/>
      <c r="U10" s="1361"/>
      <c r="V10" s="540" t="s">
        <v>649</v>
      </c>
      <c r="W10" s="1081"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78"/>
      <c r="F11" s="538" t="str">
        <f>IF(Welcome!$D$14="Select # of Locations","",IF($C11&lt;=Welcome!$D$14,$C11,""))</f>
        <v/>
      </c>
      <c r="G11" s="1873"/>
      <c r="H11" s="1356"/>
      <c r="I11" s="829"/>
      <c r="J11" s="820"/>
      <c r="K11" s="739" t="str">
        <f>IF($C$4&gt;=$C11,IF(SUMIF('Existing Customers'!$A:$A,'Customer Inputs'!$G11,'Existing Customers'!$Q:$Q)=0,"Enter Spend&gt;&gt;&gt;",ROUND(SUMIF('Existing Customers'!$A:$A,'Customer Inputs'!$G11,'Existing Customers'!$Q:$Q),0)),"")</f>
        <v/>
      </c>
      <c r="L11" s="907" t="str">
        <f>IF($F11="","",'Multi-Customer'!$FR49)</f>
        <v/>
      </c>
      <c r="M11" s="739" t="str">
        <f>IF($F11="","",IFERROR(VLOOKUP($G11,'Existing Customers'!$A:$AD,30,FALSE),"Enter Menu Type&gt;&gt;"))</f>
        <v/>
      </c>
      <c r="N11" s="645" t="str">
        <f>IFERROR(IF($C$4&gt;=$C11,VLOOKUP($G11,'Existing Customers'!$A:$J,10,FALSE),""),"Enter Zip Code &gt;")</f>
        <v/>
      </c>
      <c r="O11" s="910" t="str">
        <f>IF($F11="","",'Multi-Customer'!$FR50)</f>
        <v/>
      </c>
      <c r="P11" s="1358"/>
      <c r="Q11" s="1359"/>
      <c r="R11" s="1876"/>
      <c r="S11" s="1361"/>
      <c r="T11" s="1362"/>
      <c r="U11" s="1361"/>
      <c r="V11" s="540" t="s">
        <v>649</v>
      </c>
      <c r="W11" s="1081"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78"/>
      <c r="F12" s="538" t="str">
        <f>IF(Welcome!$D$14="Select # of Locations","",IF($C12&lt;=Welcome!$D$14,$C12,""))</f>
        <v/>
      </c>
      <c r="G12" s="1873"/>
      <c r="H12" s="1356"/>
      <c r="I12" s="829"/>
      <c r="J12" s="820"/>
      <c r="K12" s="739" t="str">
        <f>IF($C$4&gt;=$C12,IF(SUMIF('Existing Customers'!$A:$A,'Customer Inputs'!$G12,'Existing Customers'!$Q:$Q)=0,"Enter Spend&gt;&gt;&gt;",ROUND(SUMIF('Existing Customers'!$A:$A,'Customer Inputs'!$G12,'Existing Customers'!$Q:$Q),0)),"")</f>
        <v/>
      </c>
      <c r="L12" s="907" t="str">
        <f>IF($F12="","",'Multi-Customer'!$GO49)</f>
        <v/>
      </c>
      <c r="M12" s="739" t="str">
        <f>IF($F12="","",IFERROR(VLOOKUP($G12,'Existing Customers'!$A:$AD,30,FALSE),"Enter Menu Type&gt;&gt;"))</f>
        <v/>
      </c>
      <c r="N12" s="645" t="str">
        <f>IFERROR(IF($C$4&gt;=$C12,VLOOKUP($G12,'Existing Customers'!$A:$J,10,FALSE),""),"Enter Zip Code &gt;")</f>
        <v/>
      </c>
      <c r="O12" s="910" t="str">
        <f>IF($F12="","",'Multi-Customer'!$GO50)</f>
        <v/>
      </c>
      <c r="P12" s="1358"/>
      <c r="Q12" s="1359"/>
      <c r="R12" s="1876"/>
      <c r="S12" s="1361"/>
      <c r="T12" s="1362"/>
      <c r="U12" s="1361"/>
      <c r="V12" s="540" t="s">
        <v>649</v>
      </c>
      <c r="W12" s="1081"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78"/>
      <c r="F13" s="538" t="str">
        <f>IF(Welcome!$D$14="Select # of Locations","",IF($C13&lt;=Welcome!$D$14,$C13,""))</f>
        <v/>
      </c>
      <c r="G13" s="1873"/>
      <c r="H13" s="1356"/>
      <c r="I13" s="829"/>
      <c r="J13" s="820"/>
      <c r="K13" s="739" t="str">
        <f>IF($C$4&gt;=$C13,IF(SUMIF('Existing Customers'!$A:$A,'Customer Inputs'!$G13,'Existing Customers'!$Q:$Q)=0,"Enter Spend&gt;&gt;&gt;",ROUND(SUMIF('Existing Customers'!$A:$A,'Customer Inputs'!$G13,'Existing Customers'!$Q:$Q),0)),"")</f>
        <v/>
      </c>
      <c r="L13" s="907" t="str">
        <f>IF($F13="","",'Multi-Customer'!$HL49)</f>
        <v/>
      </c>
      <c r="M13" s="739" t="str">
        <f>IF($F13="","",IFERROR(VLOOKUP($G13,'Existing Customers'!$A:$AD,30,FALSE),"Enter Menu Type&gt;&gt;"))</f>
        <v/>
      </c>
      <c r="N13" s="645" t="str">
        <f>IFERROR(IF($C$4&gt;=$C13,VLOOKUP($G13,'Existing Customers'!$A:$J,10,FALSE),""),"Enter Zip Code &gt;")</f>
        <v/>
      </c>
      <c r="O13" s="910" t="str">
        <f>IF($F13="","",'Multi-Customer'!$HL50)</f>
        <v/>
      </c>
      <c r="P13" s="1358"/>
      <c r="Q13" s="1359"/>
      <c r="R13" s="1876"/>
      <c r="S13" s="1361"/>
      <c r="T13" s="1362"/>
      <c r="U13" s="1361"/>
      <c r="V13" s="540" t="s">
        <v>649</v>
      </c>
      <c r="W13" s="1081"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78"/>
      <c r="F14" s="538" t="str">
        <f>IF(Welcome!$D$14="Select # of Locations","",IF($C14&lt;=Welcome!$D$14,$C14,""))</f>
        <v/>
      </c>
      <c r="G14" s="1873"/>
      <c r="H14" s="1356"/>
      <c r="I14" s="829"/>
      <c r="J14" s="820"/>
      <c r="K14" s="739" t="str">
        <f>IF($C$4&gt;=$C14,IF(SUMIF('Existing Customers'!$A:$A,'Customer Inputs'!$G14,'Existing Customers'!$Q:$Q)=0,"Enter Spend&gt;&gt;&gt;",ROUND(SUMIF('Existing Customers'!$A:$A,'Customer Inputs'!$G14,'Existing Customers'!$Q:$Q),0)),"")</f>
        <v/>
      </c>
      <c r="L14" s="907" t="str">
        <f>IF($F14="","",'Multi-Customer'!$II49)</f>
        <v/>
      </c>
      <c r="M14" s="739" t="str">
        <f>IF($F14="","",IFERROR(VLOOKUP($G14,'Existing Customers'!$A:$AD,30,FALSE),"Enter Menu Type&gt;&gt;"))</f>
        <v/>
      </c>
      <c r="N14" s="645" t="str">
        <f>IFERROR(IF($C$4&gt;=$C14,VLOOKUP($G14,'Existing Customers'!$A:$J,10,FALSE),""),"Enter Zip Code &gt;")</f>
        <v/>
      </c>
      <c r="O14" s="910" t="str">
        <f>IF($F14="","",'Multi-Customer'!$II50)</f>
        <v/>
      </c>
      <c r="P14" s="1358"/>
      <c r="Q14" s="1359"/>
      <c r="R14" s="1360"/>
      <c r="S14" s="1361"/>
      <c r="T14" s="1362"/>
      <c r="U14" s="1361"/>
      <c r="V14" s="540" t="s">
        <v>649</v>
      </c>
      <c r="W14" s="1081"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78"/>
      <c r="F15" s="539" t="str">
        <f>IF(Welcome!$D$14="Select # of Locations","",IF($C15&lt;=Welcome!$D$14,$C15,""))</f>
        <v/>
      </c>
      <c r="G15" s="1874"/>
      <c r="H15" s="1357"/>
      <c r="I15" s="780"/>
      <c r="J15" s="819"/>
      <c r="K15" s="740" t="str">
        <f>IF($C$4&gt;=$C15,IF(SUMIF('Existing Customers'!$A:$A,'Customer Inputs'!$G15,'Existing Customers'!$Q:$Q)=0,"Enter Spend&gt;&gt;&gt;",ROUND(SUMIF('Existing Customers'!$A:$A,'Customer Inputs'!$G15,'Existing Customers'!$Q:$Q),0)),"")</f>
        <v/>
      </c>
      <c r="L15" s="908" t="str">
        <f>IF($F15="","",'Multi-Customer'!$JF49)</f>
        <v/>
      </c>
      <c r="M15" s="841" t="str">
        <f>IF($F15="","",IFERROR(VLOOKUP($G15,'Existing Customers'!$A:$AD,30,FALSE),"Enter Menu Type&gt;&gt;"))</f>
        <v/>
      </c>
      <c r="N15" s="646" t="str">
        <f>IFERROR(IF($C$4&gt;=$C15,VLOOKUP($G15,'Existing Customers'!$A:$J,10,FALSE),""),"Enter Zip Code &gt;")</f>
        <v/>
      </c>
      <c r="O15" s="911" t="str">
        <f>IF($F15="","",'Multi-Customer'!$JF50)</f>
        <v/>
      </c>
      <c r="P15" s="1363"/>
      <c r="Q15" s="1364"/>
      <c r="R15" s="1365"/>
      <c r="S15" s="1366"/>
      <c r="T15" s="1367"/>
      <c r="U15" s="1366"/>
      <c r="V15" s="541" t="s">
        <v>649</v>
      </c>
      <c r="W15" s="1081"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77"/>
      <c r="F16" s="649"/>
      <c r="G16" s="649"/>
      <c r="H16" s="649"/>
      <c r="I16" s="649"/>
      <c r="J16" s="649"/>
      <c r="K16" s="653"/>
      <c r="L16" s="649"/>
      <c r="M16" s="649"/>
      <c r="N16" s="649"/>
      <c r="O16" s="649"/>
      <c r="P16" s="649"/>
      <c r="Q16" s="649"/>
      <c r="R16" s="649"/>
      <c r="S16" s="1080"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77"/>
      <c r="F17" s="649"/>
      <c r="G17" s="814" t="s">
        <v>1100</v>
      </c>
      <c r="H17" s="814"/>
      <c r="I17" s="1548">
        <f>SUM($I$6:$I$15)</f>
        <v>0</v>
      </c>
      <c r="J17" s="1550" t="s">
        <v>1305</v>
      </c>
      <c r="K17" s="1552">
        <f>SUM($K$6:$K$15)</f>
        <v>0</v>
      </c>
      <c r="L17" s="1550" t="s">
        <v>1306</v>
      </c>
      <c r="M17" s="649"/>
      <c r="N17" s="649"/>
      <c r="O17" s="649"/>
      <c r="P17" s="1548">
        <f>SUMIF($F$6:$F$15,"&gt;0",$P$6:$P$15)</f>
        <v>0</v>
      </c>
      <c r="Q17" s="1544" t="s">
        <v>1307</v>
      </c>
      <c r="R17" s="154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77"/>
      <c r="F18" s="649"/>
      <c r="G18" s="814"/>
      <c r="H18" s="814"/>
      <c r="I18" s="1549"/>
      <c r="J18" s="1551"/>
      <c r="K18" s="1553"/>
      <c r="L18" s="1551"/>
      <c r="M18" s="649"/>
      <c r="N18" s="649"/>
      <c r="O18" s="649"/>
      <c r="P18" s="1549"/>
      <c r="Q18" s="1545"/>
      <c r="R18" s="1546"/>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79"/>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GnCtCinvfHn3WYpkO2YMwD8eG8Yx2SWROzjqy5VsFppZEDrsAJYcd4g+G+Sa0MsZQWV2rvfJzPSZ2RKFAS+qQ==" saltValue="9VbrnfrbyNp2TMrNYafd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20">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 type="list" allowBlank="1" showInputMessage="1" showErrorMessage="1" errorTitle="Incentive Error" error="This is not a valid value for this field." sqref="H6" xr:uid="{E0AB137A-8BE8-4F69-B039-D4806BD1D291}">
      <formula1>"HOSPITALITY, INDEPENDENT RESTAURATEURS, RETAIL"</formula1>
    </dataValidation>
    <dataValidation type="list" allowBlank="1" showInputMessage="1" showErrorMessage="1" errorTitle="Incentive Error" error="This is not a valid value for this field." sqref="R6" xr:uid="{9EBDA300-50CF-49E0-887A-A5B4964D9D91}">
      <formula1>IND</formula1>
    </dataValidation>
    <dataValidation type="list" allowBlank="1" showInputMessage="1" showErrorMessage="1" errorTitle="Incentive Error" error="This is not a valid value for this field." sqref="H7" xr:uid="{B1B9A788-4C49-4491-9C53-14576A36D48A}">
      <formula1>"HOSPITALITY, INDEPENDENT RESTAURATEURS, RETAIL"</formula1>
    </dataValidation>
    <dataValidation type="list" allowBlank="1" showInputMessage="1" showErrorMessage="1" errorTitle="Incentive Error" error="This is not a valid value for this field." sqref="R7" xr:uid="{A8F29274-8752-4864-B092-9D2F93A732A2}">
      <formula1>"RETAIL"</formula1>
    </dataValidation>
    <dataValidation type="list" allowBlank="1" showInputMessage="1" showErrorMessage="1" errorTitle="Incentive Error" error="This is not a valid value for this field." sqref="H8" xr:uid="{6C741429-4AF1-4C3B-A58B-6017DC35339A}">
      <formula1>"HOSPITALITY, INDEPENDENT RESTAURATEURS, RETAIL"</formula1>
    </dataValidation>
    <dataValidation type="list" allowBlank="1" showInputMessage="1" showErrorMessage="1" errorTitle="Incentive Error" error="This is not a valid value for this field." sqref="R8" xr:uid="{20D2E7CE-ACB1-475B-B59D-67A06913E16F}">
      <formula1>"RETAIL"</formula1>
    </dataValidation>
    <dataValidation type="list" allowBlank="1" showInputMessage="1" showErrorMessage="1" errorTitle="Incentive Error" error="This is not a valid value for this field." sqref="H9" xr:uid="{6CFC816E-AD6C-4D32-8711-2822AD1C6AAB}">
      <formula1>"HOSPITALITY, INDEPENDENT RESTAURATEURS, RETAIL"</formula1>
    </dataValidation>
    <dataValidation type="list" allowBlank="1" showInputMessage="1" showErrorMessage="1" errorTitle="Incentive Error" error="This is not a valid value for this field." sqref="R9" xr:uid="{DB907F42-66FC-4DFA-AF95-6324048FBDD2}">
      <formula1>IND</formula1>
    </dataValidation>
    <dataValidation type="list" allowBlank="1" showInputMessage="1" showErrorMessage="1" errorTitle="Incentive Error" error="This is not a valid value for this field." sqref="H10" xr:uid="{7427DC66-276F-416A-A492-5C50BD14DB80}">
      <formula1>"HOSPITALITY, INDEPENDENT RESTAURATEURS, RETAIL"</formula1>
    </dataValidation>
    <dataValidation type="list" allowBlank="1" showInputMessage="1" showErrorMessage="1" errorTitle="Incentive Error" error="This is not a valid value for this field." sqref="R10" xr:uid="{AB928F54-188B-44F3-A0A7-268CD3CD09EB}">
      <formula1>HOS</formula1>
    </dataValidation>
    <dataValidation type="list" allowBlank="1" showInputMessage="1" showErrorMessage="1" errorTitle="Incentive Error" error="This is not a valid value for this field." sqref="H11" xr:uid="{F09D6BB2-8CE7-48B4-BBA6-A4A67120D56A}">
      <formula1>"HOSPITALITY, INDEPENDENT RESTAURATEURS, RETAIL"</formula1>
    </dataValidation>
    <dataValidation type="list" allowBlank="1" showInputMessage="1" showErrorMessage="1" errorTitle="Incentive Error" error="This is not a valid value for this field." sqref="R11" xr:uid="{AF84D31A-AFCB-4195-AE42-3DD4D282096B}">
      <formula1>"RETAIL"</formula1>
    </dataValidation>
    <dataValidation type="list" allowBlank="1" showInputMessage="1" showErrorMessage="1" errorTitle="Incentive Error" error="This is not a valid value for this field." sqref="H12" xr:uid="{E1093D99-087D-4E47-9986-CE2208798EA0}">
      <formula1>"HOSPITALITY, INDEPENDENT RESTAURATEURS, RETAIL"</formula1>
    </dataValidation>
    <dataValidation type="list" allowBlank="1" showInputMessage="1" showErrorMessage="1" errorTitle="Incentive Error" error="This is not a valid value for this field." sqref="R12" xr:uid="{1B7FFC73-84EC-4812-BF93-17F41741EEC6}">
      <formula1>HOS</formula1>
    </dataValidation>
    <dataValidation type="list" allowBlank="1" showInputMessage="1" showErrorMessage="1" errorTitle="Incentive Error" error="This is not a valid value for this field." sqref="H13" xr:uid="{FA6F3578-5B5D-4AC7-9553-01E7FA6462E5}">
      <formula1>"HOSPITALITY, INDEPENDENT RESTAURATEURS, RETAIL"</formula1>
    </dataValidation>
    <dataValidation type="list" allowBlank="1" showInputMessage="1" showErrorMessage="1" errorTitle="Incentive Error" error="This is not a valid value for this field." sqref="R13" xr:uid="{2140DA58-B335-4513-A026-D382501C3B00}">
      <formula1>IND</formula1>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65" t="str">
        <f>IFERROR(VLOOKUP($H$4,'Market Geography'!$D:$G,4,FALSE),"Select Market")</f>
        <v>Select Market</v>
      </c>
      <c r="I3" s="1566"/>
      <c r="J3" s="1566"/>
      <c r="K3" s="156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62">
        <f>Welcome!$D$4</f>
        <v>0</v>
      </c>
      <c r="I4" s="1563"/>
      <c r="J4" s="1563"/>
      <c r="K4" s="156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62" t="str">
        <f>'Multi-Customer'!$S$49</f>
        <v>Enter Customer(s)</v>
      </c>
      <c r="I5" s="1563"/>
      <c r="J5" s="1563"/>
      <c r="K5" s="156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62" t="str">
        <f>'Multi-Customer'!$AH$40</f>
        <v>MULTIPLE TYPES</v>
      </c>
      <c r="I6" s="1563"/>
      <c r="J6" s="1563"/>
      <c r="K6" s="156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68" t="s">
        <v>206</v>
      </c>
      <c r="I7" s="1569"/>
      <c r="J7" s="1569"/>
      <c r="K7" s="1570"/>
      <c r="L7" s="139"/>
      <c r="M7" s="139"/>
      <c r="N7" s="139"/>
      <c r="O7" s="139"/>
      <c r="P7" s="139"/>
      <c r="Q7" s="117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0"/>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4"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0"/>
      <c r="S11" s="854">
        <f>IF(G11&gt;0,'Multi-Customer'!$K15*'PIM Ranges'!$AP13,'Multi-Customer'!N15)</f>
        <v>0</v>
      </c>
      <c r="T11" s="854">
        <f>IF(G11&gt;0,'Multi-Customer'!$L15*'PIM Ranges'!$AP13,'Multi-Customer'!O15)</f>
        <v>0</v>
      </c>
      <c r="U11" s="854">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4"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0"/>
      <c r="S12" s="854">
        <f>IF(G12&gt;0,'Multi-Customer'!$K16*'PIM Ranges'!$AP14,'Multi-Customer'!N16)</f>
        <v>0</v>
      </c>
      <c r="T12" s="854">
        <f>IF(G12&gt;0,'Multi-Customer'!$L16*'PIM Ranges'!$AP14,'Multi-Customer'!O16)</f>
        <v>0</v>
      </c>
      <c r="U12" s="854">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0"/>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0"/>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0"/>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0"/>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0"/>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0"/>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0"/>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0"/>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0"/>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0"/>
      <c r="S22" s="854">
        <f>IF(G22&gt;0,'Multi-Customer'!$K26*'PIM Ranges'!$AP24,'Multi-Customer'!N26)</f>
        <v>0</v>
      </c>
      <c r="T22" s="854">
        <f>IF(G22&gt;0,'Multi-Customer'!$L26*'PIM Ranges'!$AP24,'Multi-Customer'!O26)</f>
        <v>0</v>
      </c>
      <c r="U22" s="854">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0"/>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0"/>
      <c r="S24" s="854">
        <f>IF(G24&gt;0,'Multi-Customer'!$K28*'PIM Ranges'!$AP26,'Multi-Customer'!N28)</f>
        <v>0</v>
      </c>
      <c r="T24" s="854">
        <f>IF(G24&gt;0,'Multi-Customer'!$L28*'PIM Ranges'!$AP26,'Multi-Customer'!O28)</f>
        <v>0</v>
      </c>
      <c r="U24" s="854">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0"/>
      <c r="S25" s="854">
        <f>IF(G25&gt;0,'Multi-Customer'!$K29*'PIM Ranges'!$AP27,'Multi-Customer'!N29)</f>
        <v>0</v>
      </c>
      <c r="T25" s="854">
        <f>IF(G25&gt;0,'Multi-Customer'!$L29*'PIM Ranges'!$AP27,'Multi-Customer'!O29)</f>
        <v>0</v>
      </c>
      <c r="U25" s="854">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0"/>
      <c r="S26" s="854">
        <f>IF(G26&gt;0,'Multi-Customer'!$K30*'PIM Ranges'!$AP28,'Multi-Customer'!N30)</f>
        <v>0</v>
      </c>
      <c r="T26" s="854">
        <f>IF(G26&gt;0,'Multi-Customer'!$L30*'PIM Ranges'!$AP28,'Multi-Customer'!O30)</f>
        <v>0</v>
      </c>
      <c r="U26" s="854">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0"/>
      <c r="S27" s="854">
        <f>IF(G27&gt;0,'Multi-Customer'!$K31*'PIM Ranges'!$AO29,'Multi-Customer'!N31)</f>
        <v>0</v>
      </c>
      <c r="T27" s="854">
        <f>IF(G27&gt;0,'Multi-Customer'!$L31*'PIM Ranges'!$AO29,'Multi-Customer'!O31)</f>
        <v>0</v>
      </c>
      <c r="U27" s="854">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0"/>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0"/>
      <c r="S29" s="854">
        <f>IF(G29&gt;0,'Multi-Customer'!$K33*'PIM Ranges'!$AP31,'Multi-Customer'!N33)</f>
        <v>0</v>
      </c>
      <c r="T29" s="854">
        <f>IF(G29&gt;0,'Multi-Customer'!$L33*'PIM Ranges'!$AP31,'Multi-Customer'!O33)</f>
        <v>0</v>
      </c>
      <c r="U29" s="854">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0"/>
      <c r="S30" s="854">
        <f>IF(G30&gt;0,'Multi-Customer'!$K34*'PIM Ranges'!$AP32,'Multi-Customer'!N34)</f>
        <v>0</v>
      </c>
      <c r="T30" s="854">
        <f>IF(G30&gt;0,'Multi-Customer'!$L34*'PIM Ranges'!$AP32,'Multi-Customer'!O34)</f>
        <v>0</v>
      </c>
      <c r="U30" s="854">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9" t="s">
        <v>119</v>
      </c>
      <c r="H33" s="1560"/>
      <c r="I33" s="404">
        <f>IF($E$3="MDA",'PIM Ranges'!$AX$7,'PIM Ranges'!$BJ$7)</f>
        <v>8.8999999999999996E-2</v>
      </c>
      <c r="J33" s="134"/>
      <c r="K33" s="1561" t="str">
        <f>IF(COUNTIF($AB$10:$AB$30,"ERROR")&lt;1,"",IF(COUNTIF($AB$10:$AB$30,"ERROR")&lt;2,(COUNTIF($AB$10:$AB$30,"ERROR")&amp;" Margin Missing Above"),(COUNTIF($AB$10:$AB$30,"ERROR")&amp;" Margins Missing Above")))</f>
        <v/>
      </c>
      <c r="L33" s="156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4" t="s">
        <v>488</v>
      </c>
      <c r="H34" s="1555"/>
      <c r="I34" s="400">
        <f>J31</f>
        <v>0</v>
      </c>
      <c r="J34" s="134"/>
      <c r="K34" s="1561" t="str">
        <f>IF(COUNTIFS($L$10:$L$30,"X",$AF$10:$AF$30,"BELOW")&lt;1,"",IF(COUNTIFS($L$10:$L$30,"X",$AF$10:$AF$30,"BELOW")&lt;2,(COUNTIFS($L$10:$L$30,"X",$AF$10:$AF$30,"BELOW")&amp;" Margin Below Minimum"),(COUNTIFS($L$10:$L$30,"X",$AF$10:$AF$30,"BELOW")&amp;" Margins Below Minimum")))</f>
        <v/>
      </c>
      <c r="L34" s="156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4" t="s">
        <v>1260</v>
      </c>
      <c r="H35" s="1555"/>
      <c r="I35" s="401" t="str">
        <f>IFERROR(I34/G31,"")</f>
        <v/>
      </c>
      <c r="K35" s="1561" t="str">
        <f>IF(COUNTIFS($L$10:$L$30,"X",$AF$10:$AF$30,"ABOVE")&lt;1,"",IF(COUNTIFS($L$10:$L$30,"X",$AF$10:$AF$30,"ABOVE")&lt;2,(COUNTIFS($L$10:$L$30,"X",$AF$10:$AF$30,"ABOVE")&amp;" Margin Above Maximum"),(COUNTIFS($L$10:$L$30,"X",$AF$10:$AF$30,"ABOVE")&amp;" Margins Above Maximum")))</f>
        <v/>
      </c>
      <c r="L35" s="156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4"/>
      <c r="H36" s="1555"/>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4" t="str">
        <f>IFERROR(IF(I35&gt;I33,"","Below Recommended TAGP: "),"")</f>
        <v/>
      </c>
      <c r="H37" s="1555"/>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4"/>
      <c r="H38" s="1555"/>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4" t="s">
        <v>1261</v>
      </c>
      <c r="H39" s="1555"/>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6" t="s">
        <v>489</v>
      </c>
      <c r="H40" s="1557"/>
      <c r="I40" s="403">
        <f>IFERROR($I$34/(52*$E$6*$K$40),0)</f>
        <v>0</v>
      </c>
      <c r="J40" s="134"/>
      <c r="K40" s="498" t="str">
        <f>Welcome!$D$14</f>
        <v>Select # of Locations</v>
      </c>
      <c r="L40" s="139"/>
      <c r="M40" s="139"/>
      <c r="N40" s="139"/>
      <c r="O40" s="139"/>
      <c r="P40" s="139"/>
      <c r="Q40" s="117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58"/>
      <c r="G52" s="155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58"/>
      <c r="G53" s="155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58"/>
      <c r="G54" s="155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oOFjuqNwXVNgHjrUw64xf4Sfct0nO7OAZtB/iUg4OeQRSpJWCIHvFqe9L1YqtLdmzb7hcw/IxX90B2evJz4zw==" saltValue="OnXa70KnowWzg3tY8W49x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3" customWidth="1"/>
    <col min="2" max="2" width="3.7109375" style="863" customWidth="1"/>
    <col min="3" max="3" width="27.7109375" style="863" hidden="1" customWidth="1"/>
    <col min="4" max="4" width="26.28515625" style="958" customWidth="1"/>
    <col min="5" max="5" width="31.7109375" style="863" customWidth="1"/>
    <col min="6" max="6" width="9.85546875" style="863" customWidth="1"/>
    <col min="7" max="7" width="36.5703125" style="863" customWidth="1"/>
    <col min="8" max="8" width="4.85546875" style="863" customWidth="1"/>
    <col min="9" max="9" width="27.7109375" style="863" customWidth="1"/>
    <col min="10" max="10" width="4.85546875" style="863" customWidth="1"/>
    <col min="11" max="11" width="27.140625" style="863" customWidth="1"/>
    <col min="12" max="12" width="4.7109375" style="863" customWidth="1"/>
    <col min="13" max="13" width="28.7109375" style="863" customWidth="1"/>
    <col min="14" max="14" width="4.85546875" style="863" customWidth="1"/>
    <col min="15" max="15" width="22.7109375" style="863" customWidth="1"/>
    <col min="16" max="16" width="7" style="863" customWidth="1"/>
    <col min="17" max="17" width="2.85546875" style="863" customWidth="1"/>
    <col min="18" max="18" width="8" style="864" hidden="1" customWidth="1"/>
    <col min="19" max="19" width="31.85546875" style="863" hidden="1" customWidth="1"/>
    <col min="20" max="20" width="31.140625" style="863" hidden="1" customWidth="1"/>
    <col min="21" max="21" width="12.7109375" style="863" hidden="1" customWidth="1"/>
    <col min="22" max="22" width="8.42578125" style="863" hidden="1" customWidth="1"/>
    <col min="23" max="23" width="8.85546875" style="863" hidden="1" customWidth="1"/>
    <col min="24" max="16384" width="8.85546875" style="863"/>
  </cols>
  <sheetData>
    <row r="1" spans="1:31" ht="5.45" customHeight="1" thickBot="1" x14ac:dyDescent="0.3">
      <c r="I1" s="1167"/>
      <c r="R1" s="1029">
        <v>1</v>
      </c>
    </row>
    <row r="2" spans="1:31" s="864" customFormat="1" ht="22.5" customHeight="1" thickBot="1" x14ac:dyDescent="0.4">
      <c r="A2" s="866"/>
      <c r="B2" s="1384"/>
      <c r="C2" s="866"/>
      <c r="D2" s="990" t="s">
        <v>1396</v>
      </c>
      <c r="E2" s="866"/>
      <c r="F2" s="173"/>
      <c r="G2" s="174"/>
      <c r="H2" s="866"/>
      <c r="I2" s="1384"/>
      <c r="J2" s="866"/>
      <c r="K2" s="866"/>
      <c r="L2" s="866"/>
      <c r="M2" s="866"/>
      <c r="N2" s="866"/>
      <c r="O2" s="866"/>
      <c r="P2" s="866"/>
      <c r="Q2" s="1172"/>
      <c r="R2" s="1029">
        <v>1</v>
      </c>
      <c r="S2" s="176"/>
      <c r="T2" s="177"/>
      <c r="U2" s="177" t="s">
        <v>1703</v>
      </c>
      <c r="V2" s="177">
        <v>12</v>
      </c>
      <c r="W2" s="177"/>
      <c r="X2" s="177"/>
      <c r="Y2" s="177"/>
      <c r="Z2" s="177"/>
      <c r="AA2" s="177"/>
      <c r="AB2" s="177"/>
      <c r="AC2" s="177"/>
      <c r="AD2" s="177"/>
      <c r="AE2" s="177"/>
    </row>
    <row r="3" spans="1:31" s="864" customFormat="1" ht="18" customHeight="1" thickBot="1" x14ac:dyDescent="0.3">
      <c r="D3" s="469"/>
      <c r="G3" s="961" t="s">
        <v>1164</v>
      </c>
      <c r="H3" s="1601" t="str">
        <f>Welcome!$D$8</f>
        <v>Please Select</v>
      </c>
      <c r="I3" s="1602"/>
      <c r="J3" s="863"/>
      <c r="K3" s="961" t="s">
        <v>110</v>
      </c>
      <c r="L3" s="1603" t="str">
        <f>IFERROR(VLOOKUP($L$4,'Market Geography'!$D:$G,4,FALSE),"Select Market")</f>
        <v>Select Market</v>
      </c>
      <c r="M3" s="1604"/>
      <c r="N3" s="642"/>
      <c r="O3" s="642"/>
      <c r="P3" s="642"/>
      <c r="Q3" s="179"/>
      <c r="R3" s="1028">
        <v>1</v>
      </c>
      <c r="S3" s="180"/>
      <c r="T3" s="177"/>
      <c r="U3" s="177" t="s">
        <v>1704</v>
      </c>
      <c r="V3" s="177">
        <v>26</v>
      </c>
      <c r="W3" s="177"/>
      <c r="X3" s="177"/>
      <c r="Y3" s="177"/>
      <c r="Z3" s="177"/>
      <c r="AA3" s="177"/>
      <c r="AB3" s="177"/>
      <c r="AC3" s="177"/>
      <c r="AD3" s="177"/>
      <c r="AE3" s="177"/>
    </row>
    <row r="4" spans="1:31" s="864" customFormat="1" ht="18" customHeight="1" thickBot="1" x14ac:dyDescent="0.3">
      <c r="D4" s="868" t="s">
        <v>1491</v>
      </c>
      <c r="E4" s="1125" t="s">
        <v>647</v>
      </c>
      <c r="G4" s="962" t="s">
        <v>1165</v>
      </c>
      <c r="H4" s="1605" t="str">
        <f>Welcome!$D$12</f>
        <v>Select Term</v>
      </c>
      <c r="I4" s="1606"/>
      <c r="J4" s="181"/>
      <c r="K4" s="962" t="s">
        <v>844</v>
      </c>
      <c r="L4" s="1607">
        <f>Welcome!$D$4</f>
        <v>0</v>
      </c>
      <c r="M4" s="1608"/>
      <c r="N4" s="642"/>
      <c r="O4" s="642"/>
      <c r="P4" s="642"/>
      <c r="Q4" s="179"/>
      <c r="R4" s="1028">
        <v>1</v>
      </c>
      <c r="S4" s="180"/>
      <c r="T4" s="177"/>
      <c r="U4" s="177" t="s">
        <v>1705</v>
      </c>
      <c r="V4" s="177">
        <v>40</v>
      </c>
      <c r="W4" s="177"/>
      <c r="X4" s="177"/>
      <c r="Y4" s="177"/>
      <c r="Z4" s="177"/>
      <c r="AA4" s="177"/>
      <c r="AB4" s="177"/>
      <c r="AC4" s="177"/>
      <c r="AD4" s="177"/>
      <c r="AE4" s="177"/>
    </row>
    <row r="5" spans="1:31" s="864" customFormat="1" ht="18" customHeight="1" thickBot="1" x14ac:dyDescent="0.3">
      <c r="D5" s="981"/>
      <c r="E5" s="1126"/>
      <c r="G5" s="962" t="s">
        <v>1170</v>
      </c>
      <c r="H5" s="1609">
        <f>'PIM Model'!$G$31</f>
        <v>0</v>
      </c>
      <c r="I5" s="1610"/>
      <c r="J5" s="863"/>
      <c r="K5" s="962" t="s">
        <v>107</v>
      </c>
      <c r="L5" s="1607" t="str">
        <f>'Multi-Customer'!$S$49</f>
        <v>Enter Customer(s)</v>
      </c>
      <c r="M5" s="1608"/>
      <c r="N5" s="642"/>
      <c r="O5" s="642"/>
      <c r="P5" s="642"/>
      <c r="Q5" s="179"/>
      <c r="R5" s="1028">
        <v>1</v>
      </c>
      <c r="S5" s="180"/>
      <c r="T5" s="177"/>
      <c r="U5" s="177" t="s">
        <v>1706</v>
      </c>
      <c r="V5" s="177">
        <v>54</v>
      </c>
      <c r="W5" s="177"/>
      <c r="X5" s="177"/>
      <c r="Y5" s="177"/>
      <c r="Z5" s="177"/>
      <c r="AA5" s="177"/>
      <c r="AB5" s="177"/>
      <c r="AC5" s="177"/>
      <c r="AD5" s="177"/>
      <c r="AE5" s="177"/>
    </row>
    <row r="6" spans="1:31" s="864" customFormat="1" ht="18" customHeight="1" thickBot="1" x14ac:dyDescent="0.3">
      <c r="D6" s="869" t="s">
        <v>1902</v>
      </c>
      <c r="E6" s="892" t="s">
        <v>649</v>
      </c>
      <c r="G6" s="962" t="s">
        <v>1171</v>
      </c>
      <c r="H6" s="1613">
        <f>'Variable Costs (Back)'!$K$26</f>
        <v>0</v>
      </c>
      <c r="I6" s="1614"/>
      <c r="J6" s="863"/>
      <c r="K6" s="962" t="s">
        <v>1180</v>
      </c>
      <c r="L6" s="1607" t="str">
        <f>'Multi-Customer'!$AH$40</f>
        <v>MULTIPLE TYPES</v>
      </c>
      <c r="M6" s="1608"/>
      <c r="N6" s="642"/>
      <c r="O6" s="642"/>
      <c r="P6" s="642"/>
      <c r="Q6" s="179"/>
      <c r="R6" s="1028">
        <v>1</v>
      </c>
      <c r="S6" s="180"/>
      <c r="T6" s="177"/>
      <c r="U6" s="177" t="s">
        <v>1707</v>
      </c>
      <c r="V6" s="177">
        <v>68</v>
      </c>
      <c r="W6" s="177"/>
      <c r="X6" s="177"/>
      <c r="Y6" s="177"/>
      <c r="Z6" s="177"/>
      <c r="AA6" s="177"/>
      <c r="AB6" s="177"/>
      <c r="AC6" s="177"/>
      <c r="AD6" s="177"/>
      <c r="AE6" s="177"/>
    </row>
    <row r="7" spans="1:31" s="864" customFormat="1" ht="15.75" thickBot="1" x14ac:dyDescent="0.3">
      <c r="D7" s="469"/>
      <c r="E7" s="1127"/>
      <c r="G7" s="963" t="s">
        <v>1172</v>
      </c>
      <c r="H7" s="1615">
        <f>IFERROR('PIM Ranges'!$AU$3,0)</f>
        <v>0</v>
      </c>
      <c r="I7" s="1616"/>
      <c r="J7" s="863"/>
      <c r="K7" s="963" t="s">
        <v>1173</v>
      </c>
      <c r="L7" s="1617" t="s">
        <v>206</v>
      </c>
      <c r="M7" s="1618"/>
      <c r="N7" s="870"/>
      <c r="O7" s="870"/>
      <c r="P7" s="870"/>
      <c r="Q7" s="179"/>
      <c r="R7" s="1028">
        <v>1</v>
      </c>
      <c r="S7" s="180"/>
      <c r="T7" s="177"/>
      <c r="U7" s="177" t="s">
        <v>1708</v>
      </c>
      <c r="V7" s="177">
        <v>82</v>
      </c>
      <c r="W7" s="177"/>
      <c r="X7" s="177"/>
      <c r="Y7" s="177"/>
      <c r="Z7" s="177"/>
      <c r="AA7" s="177"/>
      <c r="AB7" s="177"/>
      <c r="AC7" s="177"/>
      <c r="AD7" s="177"/>
      <c r="AE7" s="177"/>
    </row>
    <row r="8" spans="1:31" s="864" customFormat="1" ht="18" customHeight="1" thickBot="1" x14ac:dyDescent="0.3">
      <c r="D8" s="1611"/>
      <c r="E8" s="1612"/>
      <c r="F8" s="136"/>
      <c r="I8" s="177"/>
      <c r="J8" s="177"/>
      <c r="K8" s="177"/>
      <c r="L8" s="177"/>
      <c r="M8" s="177"/>
      <c r="N8" s="177"/>
      <c r="O8" s="177"/>
      <c r="P8" s="177"/>
      <c r="Q8" s="182"/>
      <c r="R8" s="1028">
        <v>1</v>
      </c>
      <c r="S8" s="180"/>
      <c r="T8" s="177"/>
      <c r="U8" s="177" t="s">
        <v>1709</v>
      </c>
      <c r="V8" s="177">
        <v>96</v>
      </c>
      <c r="W8" s="177"/>
      <c r="X8" s="177"/>
      <c r="Y8" s="177"/>
      <c r="Z8" s="177"/>
      <c r="AA8" s="177"/>
      <c r="AB8" s="177"/>
      <c r="AC8" s="177"/>
      <c r="AD8" s="177"/>
      <c r="AE8" s="177"/>
    </row>
    <row r="9" spans="1:31" s="864" customFormat="1" ht="16.5" customHeight="1" x14ac:dyDescent="0.25">
      <c r="D9" s="1611"/>
      <c r="E9" s="1612"/>
      <c r="F9" s="136"/>
      <c r="G9" s="964" t="s">
        <v>853</v>
      </c>
      <c r="H9" s="1619">
        <f>IFERROR('PIM Model'!$G$31,0)</f>
        <v>0</v>
      </c>
      <c r="I9" s="1620"/>
      <c r="L9" s="177"/>
      <c r="M9" s="177"/>
      <c r="N9" s="177"/>
      <c r="O9" s="177"/>
      <c r="P9" s="177"/>
      <c r="Q9" s="182"/>
      <c r="R9" s="1028">
        <v>1</v>
      </c>
      <c r="S9" s="180"/>
      <c r="T9" s="177"/>
      <c r="U9" s="177" t="s">
        <v>1710</v>
      </c>
      <c r="V9" s="177">
        <v>110</v>
      </c>
      <c r="W9" s="177"/>
      <c r="X9" s="177"/>
      <c r="Y9" s="177"/>
      <c r="Z9" s="177"/>
      <c r="AA9" s="177"/>
      <c r="AB9" s="177"/>
      <c r="AC9" s="177"/>
      <c r="AD9" s="177"/>
      <c r="AE9" s="177"/>
    </row>
    <row r="10" spans="1:31" s="864" customFormat="1" ht="18" customHeight="1" thickBot="1" x14ac:dyDescent="0.3">
      <c r="D10" s="469"/>
      <c r="F10" s="136"/>
      <c r="G10" s="965" t="s">
        <v>854</v>
      </c>
      <c r="H10" s="1596">
        <f>IFERROR('PIM Model'!$G$32,0)</f>
        <v>0</v>
      </c>
      <c r="I10" s="1597"/>
      <c r="L10" s="177"/>
      <c r="M10" s="177"/>
      <c r="N10" s="177"/>
      <c r="O10" s="177"/>
      <c r="P10" s="177"/>
      <c r="Q10" s="182"/>
      <c r="R10" s="1028">
        <v>1</v>
      </c>
      <c r="S10" s="1594" t="s">
        <v>1539</v>
      </c>
      <c r="T10" s="1594" t="s">
        <v>1540</v>
      </c>
      <c r="U10" s="177" t="s">
        <v>1711</v>
      </c>
      <c r="V10" s="177">
        <v>118</v>
      </c>
      <c r="W10" s="177"/>
      <c r="X10" s="177"/>
      <c r="Y10" s="177"/>
      <c r="Z10" s="177"/>
      <c r="AA10" s="177"/>
      <c r="AB10" s="177"/>
      <c r="AC10" s="177"/>
      <c r="AD10" s="177"/>
      <c r="AE10" s="177"/>
    </row>
    <row r="11" spans="1:31" s="864" customFormat="1" ht="18" customHeight="1" x14ac:dyDescent="0.25">
      <c r="D11" s="469"/>
      <c r="F11" s="136"/>
      <c r="I11" s="177"/>
      <c r="J11" s="177"/>
      <c r="K11" s="177"/>
      <c r="L11" s="177"/>
      <c r="M11" s="177"/>
      <c r="N11" s="177"/>
      <c r="O11" s="177"/>
      <c r="P11" s="177"/>
      <c r="Q11" s="182"/>
      <c r="R11" s="1028"/>
      <c r="S11" s="1594"/>
      <c r="T11" s="1594"/>
      <c r="U11" s="177" t="s">
        <v>1712</v>
      </c>
      <c r="V11" s="177">
        <v>126</v>
      </c>
      <c r="W11" s="177"/>
      <c r="X11" s="177"/>
      <c r="Y11" s="177"/>
      <c r="Z11" s="177"/>
      <c r="AA11" s="177"/>
      <c r="AB11" s="177"/>
      <c r="AC11" s="177"/>
      <c r="AD11" s="177"/>
      <c r="AE11" s="177"/>
    </row>
    <row r="12" spans="1:31" s="864" customFormat="1" ht="21.75" customHeight="1" thickBot="1" x14ac:dyDescent="0.3">
      <c r="A12" s="871"/>
      <c r="B12" s="248"/>
      <c r="C12" s="184"/>
      <c r="D12" s="1600" t="s">
        <v>855</v>
      </c>
      <c r="E12" s="1600"/>
      <c r="F12" s="185"/>
      <c r="G12" s="1598"/>
      <c r="H12" s="1599"/>
      <c r="I12" s="186"/>
      <c r="J12" s="1595"/>
      <c r="K12" s="1595"/>
      <c r="L12" s="184"/>
      <c r="M12" s="184"/>
      <c r="N12" s="184"/>
      <c r="O12" s="1571" t="str">
        <f>IF(COUNTIF($K$19:$K$23,"&gt;.03")&gt;0,"***Warning:You have entered an Rate % of Sales above the recommended 3%***","")</f>
        <v/>
      </c>
      <c r="P12" s="1572"/>
      <c r="Q12" s="179"/>
      <c r="R12" s="1028"/>
      <c r="S12" s="957" t="s">
        <v>1504</v>
      </c>
      <c r="T12" s="957" t="str">
        <f>IF(AND(AND(E$13="Yes",E$14=S12),AND(E$27="Yes",E$28=S12)),IF(AND(E$41="Yes",E$42=S12),"Yes","No"),"No")</f>
        <v>No</v>
      </c>
      <c r="U12" s="177" t="s">
        <v>1713</v>
      </c>
      <c r="V12" s="177">
        <v>134</v>
      </c>
      <c r="W12" s="177"/>
      <c r="X12" s="177"/>
      <c r="Y12" s="177"/>
      <c r="Z12" s="177"/>
      <c r="AA12" s="177"/>
      <c r="AB12" s="177"/>
      <c r="AC12" s="177"/>
    </row>
    <row r="13" spans="1:31" s="864" customFormat="1" ht="18" customHeight="1" thickBot="1" x14ac:dyDescent="0.3">
      <c r="A13" s="871"/>
      <c r="B13" s="243"/>
      <c r="C13" s="145"/>
      <c r="D13" s="979" t="s">
        <v>524</v>
      </c>
      <c r="E13" s="892" t="s">
        <v>649</v>
      </c>
      <c r="F13" s="279"/>
      <c r="G13" s="228" t="s">
        <v>1397</v>
      </c>
      <c r="H13" s="573"/>
      <c r="I13" s="228" t="s">
        <v>1398</v>
      </c>
      <c r="J13" s="41"/>
      <c r="K13" s="228" t="s">
        <v>837</v>
      </c>
      <c r="L13" s="145"/>
      <c r="M13" s="194" t="s">
        <v>1399</v>
      </c>
      <c r="N13" s="145"/>
      <c r="O13" s="1573"/>
      <c r="P13" s="1574"/>
      <c r="Q13" s="179"/>
      <c r="R13" s="1028"/>
      <c r="S13" s="956" t="s">
        <v>1519</v>
      </c>
      <c r="T13" s="957" t="str">
        <f t="shared" ref="T13:T14" si="0">IF(AND(AND(E$13="Yes",E$14=S13),AND(E$27="Yes",E$28=S13)),IF(AND(E$41="Yes",E$42=S13),"Yes","No"),"No")</f>
        <v>No</v>
      </c>
      <c r="U13" s="177" t="s">
        <v>1714</v>
      </c>
      <c r="V13" s="177">
        <v>142</v>
      </c>
      <c r="W13" s="177"/>
      <c r="X13" s="177"/>
      <c r="Y13" s="177"/>
      <c r="Z13" s="177"/>
      <c r="AA13" s="177"/>
      <c r="AB13" s="177"/>
      <c r="AC13" s="177"/>
    </row>
    <row r="14" spans="1:31" s="864" customFormat="1" ht="18" customHeight="1" thickBot="1" x14ac:dyDescent="0.3">
      <c r="A14" s="871"/>
      <c r="B14" s="243"/>
      <c r="C14" s="145"/>
      <c r="D14" s="872" t="s">
        <v>1400</v>
      </c>
      <c r="E14" s="1345" t="s">
        <v>1401</v>
      </c>
      <c r="F14" s="189"/>
      <c r="G14" s="1038"/>
      <c r="H14" s="644"/>
      <c r="I14" s="1038"/>
      <c r="J14" s="145"/>
      <c r="K14" s="1038"/>
      <c r="L14" s="145"/>
      <c r="M14" s="1447"/>
      <c r="N14" s="145"/>
      <c r="O14" s="1573"/>
      <c r="P14" s="1574"/>
      <c r="Q14" s="179"/>
      <c r="R14" s="1028"/>
      <c r="S14" s="956" t="s">
        <v>1532</v>
      </c>
      <c r="T14" s="957" t="str">
        <f t="shared" si="0"/>
        <v>No</v>
      </c>
      <c r="U14" s="177" t="s">
        <v>1715</v>
      </c>
      <c r="V14" s="177">
        <v>150</v>
      </c>
      <c r="W14" s="177"/>
      <c r="X14" s="177"/>
      <c r="Y14" s="177"/>
      <c r="Z14" s="177"/>
      <c r="AA14" s="177"/>
      <c r="AB14" s="177"/>
      <c r="AC14" s="177"/>
    </row>
    <row r="15" spans="1:31" s="864" customFormat="1" ht="15.75" thickBot="1" x14ac:dyDescent="0.3">
      <c r="A15" s="871"/>
      <c r="B15" s="243"/>
      <c r="C15" s="145"/>
      <c r="D15" s="980"/>
      <c r="E15" s="191"/>
      <c r="F15" s="191"/>
      <c r="G15" s="574"/>
      <c r="H15" s="573"/>
      <c r="I15" s="145"/>
      <c r="J15" s="145"/>
      <c r="K15" s="145"/>
      <c r="L15" s="145"/>
      <c r="M15" s="145"/>
      <c r="N15" s="145"/>
      <c r="O15" s="1573"/>
      <c r="P15" s="1574"/>
      <c r="Q15" s="179"/>
      <c r="R15" s="1028"/>
      <c r="S15" s="1061" t="s">
        <v>1649</v>
      </c>
      <c r="T15" s="1060" t="str">
        <f>IF(AND(E$159="Yes",E$160=S15),IF(AND(E$167="Yes",E$168=S15),"Yes","No"),"No")</f>
        <v>No</v>
      </c>
      <c r="U15" s="177" t="s">
        <v>1716</v>
      </c>
      <c r="V15" s="177">
        <v>158</v>
      </c>
      <c r="W15" s="177"/>
      <c r="X15" s="177"/>
      <c r="Y15" s="177"/>
      <c r="Z15" s="177"/>
      <c r="AA15" s="177"/>
      <c r="AB15" s="177"/>
      <c r="AC15" s="177"/>
    </row>
    <row r="16" spans="1:31" s="864" customFormat="1" ht="18" customHeight="1" thickBot="1" x14ac:dyDescent="0.3">
      <c r="A16" s="871"/>
      <c r="B16" s="243"/>
      <c r="C16" s="145"/>
      <c r="D16" s="873" t="s">
        <v>1402</v>
      </c>
      <c r="E16" s="1390" t="str">
        <f>IF(E13="Yes",IF(Welcome!$D$6="New",IF('Required Info to Submit'!F$14="","",'Required Info to Submit'!F$14),""),"")</f>
        <v/>
      </c>
      <c r="F16" s="191"/>
      <c r="G16" s="193" t="s">
        <v>517</v>
      </c>
      <c r="H16" s="573"/>
      <c r="I16" s="145"/>
      <c r="J16" s="145"/>
      <c r="K16" s="145"/>
      <c r="L16" s="145"/>
      <c r="M16" s="145"/>
      <c r="N16" s="145"/>
      <c r="O16" s="1573"/>
      <c r="P16" s="1574"/>
      <c r="Q16" s="179"/>
      <c r="R16" s="177"/>
      <c r="S16" s="613"/>
      <c r="T16" s="177"/>
      <c r="U16" s="177" t="s">
        <v>1717</v>
      </c>
      <c r="V16" s="177">
        <v>166</v>
      </c>
      <c r="W16" s="177"/>
      <c r="X16" s="177"/>
      <c r="Y16" s="177"/>
      <c r="Z16" s="177"/>
      <c r="AA16" s="177"/>
      <c r="AB16" s="177"/>
      <c r="AC16" s="177"/>
    </row>
    <row r="17" spans="1:29" s="864" customFormat="1" ht="18" customHeight="1" thickBot="1" x14ac:dyDescent="0.3">
      <c r="A17" s="871"/>
      <c r="B17" s="243"/>
      <c r="C17" s="145"/>
      <c r="D17" s="873" t="s">
        <v>1403</v>
      </c>
      <c r="E17" s="1390" t="str">
        <f>IF(E13="Yes",IF(Welcome!$D$6="New",IF('Required Info to Submit'!F$17="","",'Required Info to Submit'!F$17),""),"")</f>
        <v/>
      </c>
      <c r="F17" s="191"/>
      <c r="G17" s="966">
        <f>$H$9/52</f>
        <v>0</v>
      </c>
      <c r="H17" s="573"/>
      <c r="I17" s="993"/>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4" customFormat="1" ht="15.75" customHeight="1" thickBot="1" x14ac:dyDescent="0.3">
      <c r="A18" s="871"/>
      <c r="B18" s="243"/>
      <c r="C18" s="145"/>
      <c r="D18" s="980"/>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4" customFormat="1" ht="21" customHeight="1" thickBot="1" x14ac:dyDescent="0.3">
      <c r="A19" s="871"/>
      <c r="B19" s="243"/>
      <c r="C19" s="145"/>
      <c r="D19" s="977" t="s">
        <v>521</v>
      </c>
      <c r="E19" s="978">
        <f>IFERROR(IF(G19="",0,(G19-$G$17)/$G$17),"")</f>
        <v>0</v>
      </c>
      <c r="F19" s="874" t="s">
        <v>1003</v>
      </c>
      <c r="G19" s="1039"/>
      <c r="H19" s="1047"/>
      <c r="I19" s="1042" t="str">
        <f>IF(E13="Yes",IF(AND(G19&lt;&gt;"",G20="",G21="",G22="",G23=""),999999999.99,IF(G20&lt;&gt;"",G20-0.01,"")),"")</f>
        <v/>
      </c>
      <c r="J19" s="1037"/>
      <c r="K19" s="1040"/>
      <c r="L19" s="145"/>
      <c r="M19" s="1382"/>
      <c r="N19" s="713"/>
      <c r="O19" s="969">
        <f>IF(E13="Yes",IF(G20=0,K19*H$10,IF(OR(G20&lt;G17,G20=G17),K20*H$10,K19*H$10)),0)</f>
        <v>0</v>
      </c>
      <c r="P19" s="190"/>
      <c r="Q19" s="179"/>
      <c r="R19" s="177"/>
      <c r="S19" s="613"/>
      <c r="T19" s="177"/>
      <c r="U19" s="177" t="s">
        <v>1720</v>
      </c>
      <c r="V19" s="177">
        <v>193</v>
      </c>
      <c r="W19" s="177"/>
      <c r="X19" s="177"/>
      <c r="Y19" s="177"/>
      <c r="Z19" s="177"/>
      <c r="AA19" s="177"/>
      <c r="AB19" s="177"/>
      <c r="AC19" s="177"/>
    </row>
    <row r="20" spans="1:29" s="864" customFormat="1" ht="21" customHeight="1" thickBot="1" x14ac:dyDescent="0.3">
      <c r="A20" s="871"/>
      <c r="B20" s="243"/>
      <c r="C20" s="145"/>
      <c r="D20" s="977" t="s">
        <v>522</v>
      </c>
      <c r="E20" s="978">
        <f>IFERROR(IF(G20="",0,(G20-$G$17)/$G$17),"")</f>
        <v>0</v>
      </c>
      <c r="F20" s="874" t="s">
        <v>1407</v>
      </c>
      <c r="G20" s="1039"/>
      <c r="H20" s="1047"/>
      <c r="I20" s="1042" t="str">
        <f>IF(E13="Yes",IF(AND(G20&lt;&gt;"",G21="",G22="",G23="",I19&lt;&gt;999999999.99),999999999.99,IF(G21&lt;&gt;"",G21-0.01,"")),"")</f>
        <v/>
      </c>
      <c r="J20" s="1048"/>
      <c r="K20" s="1040"/>
      <c r="L20" s="876"/>
      <c r="M20" s="1382"/>
      <c r="N20" s="713"/>
      <c r="O20" s="713"/>
      <c r="P20" s="190"/>
      <c r="Q20" s="179"/>
      <c r="R20" s="177"/>
      <c r="S20" s="613"/>
      <c r="T20" s="177"/>
      <c r="U20" s="177" t="s">
        <v>1721</v>
      </c>
      <c r="V20" s="177">
        <v>205</v>
      </c>
      <c r="W20" s="177"/>
      <c r="X20" s="177"/>
      <c r="Y20" s="177"/>
      <c r="Z20" s="177"/>
      <c r="AA20" s="177"/>
      <c r="AB20" s="177"/>
      <c r="AC20" s="177"/>
    </row>
    <row r="21" spans="1:29" s="864" customFormat="1" ht="21" customHeight="1" thickBot="1" x14ac:dyDescent="0.3">
      <c r="A21" s="871"/>
      <c r="B21" s="243"/>
      <c r="C21" s="145"/>
      <c r="D21" s="977" t="s">
        <v>523</v>
      </c>
      <c r="E21" s="978">
        <f>IFERROR(IF(G21="",0,(G21-$G$17)/$G$17),"")</f>
        <v>0</v>
      </c>
      <c r="F21" s="874" t="s">
        <v>1408</v>
      </c>
      <c r="G21" s="1039"/>
      <c r="H21" s="1047"/>
      <c r="I21" s="1042" t="str">
        <f>IF(E13="Yes",IF(AND(G21&lt;&gt;"",G22="",G23="",I20&lt;&gt;999999999.99),999999999.99,IF(G22&lt;&gt;"",G22-0.01,"")),"")</f>
        <v/>
      </c>
      <c r="J21" s="1037"/>
      <c r="K21" s="1040"/>
      <c r="L21" s="145"/>
      <c r="M21" s="1382"/>
      <c r="N21" s="713"/>
      <c r="O21" s="713"/>
      <c r="P21" s="190"/>
      <c r="Q21" s="179"/>
      <c r="R21" s="177"/>
      <c r="S21" s="613"/>
      <c r="T21" s="177"/>
      <c r="U21" s="177" t="s">
        <v>1502</v>
      </c>
      <c r="V21" s="177">
        <v>217</v>
      </c>
      <c r="W21" s="177"/>
      <c r="X21" s="177"/>
      <c r="Y21" s="177"/>
      <c r="Z21" s="177"/>
      <c r="AA21" s="177"/>
      <c r="AB21" s="177"/>
      <c r="AC21" s="177"/>
    </row>
    <row r="22" spans="1:29" s="864" customFormat="1" ht="21" hidden="1" customHeight="1" thickBot="1" x14ac:dyDescent="0.3">
      <c r="A22" s="871"/>
      <c r="B22" s="243"/>
      <c r="C22" s="145"/>
      <c r="D22" s="977" t="s">
        <v>1409</v>
      </c>
      <c r="E22" s="978">
        <f>IFERROR(IF(G22="",0,(G22-$G$17)/$G$17),"")</f>
        <v>0</v>
      </c>
      <c r="F22" s="874" t="s">
        <v>1410</v>
      </c>
      <c r="G22" s="1039"/>
      <c r="H22" s="1047"/>
      <c r="I22" s="1042" t="str">
        <f>IF(E13="Yes",IF(AND(G22&lt;&gt;"",G23="",I21&lt;&gt;999999999.99),999999999.99,IF(G23&lt;&gt;"",G23-0.01,"")),"")</f>
        <v/>
      </c>
      <c r="J22" s="1037"/>
      <c r="K22" s="1040"/>
      <c r="L22" s="145"/>
      <c r="M22" s="713"/>
      <c r="N22" s="713"/>
      <c r="O22" s="713"/>
      <c r="P22" s="190"/>
      <c r="Q22" s="179"/>
      <c r="R22" s="177"/>
      <c r="S22" s="613"/>
      <c r="T22" s="177"/>
      <c r="U22" s="177"/>
      <c r="V22" s="177"/>
      <c r="W22" s="177"/>
      <c r="X22" s="177"/>
      <c r="Y22" s="177"/>
      <c r="Z22" s="177"/>
      <c r="AA22" s="177"/>
      <c r="AB22" s="177"/>
      <c r="AC22" s="177"/>
    </row>
    <row r="23" spans="1:29" s="864" customFormat="1" ht="21" hidden="1" customHeight="1" thickBot="1" x14ac:dyDescent="0.3">
      <c r="A23" s="871"/>
      <c r="B23" s="243"/>
      <c r="C23" s="145"/>
      <c r="D23" s="977" t="s">
        <v>1411</v>
      </c>
      <c r="E23" s="978">
        <f>IFERROR(IF(G23="",0,(G23-$G$17)/$G$17),"")</f>
        <v>0</v>
      </c>
      <c r="F23" s="874" t="s">
        <v>1412</v>
      </c>
      <c r="G23" s="1039"/>
      <c r="H23" s="1047"/>
      <c r="I23" s="1042" t="str">
        <f>IF(E13="Yes",IF(AND(G23&lt;&gt;"",I22&lt;&gt;999999999.99),999999999.99,""),"")</f>
        <v/>
      </c>
      <c r="J23" s="1037"/>
      <c r="K23" s="1040"/>
      <c r="L23" s="145"/>
      <c r="M23" s="713"/>
      <c r="N23" s="713"/>
      <c r="O23" s="713"/>
      <c r="P23" s="190"/>
      <c r="Q23" s="179"/>
      <c r="R23" s="177"/>
      <c r="S23" s="613"/>
      <c r="T23" s="177"/>
      <c r="U23" s="177"/>
      <c r="V23" s="177"/>
      <c r="W23" s="177"/>
      <c r="X23" s="177"/>
      <c r="Y23" s="177"/>
      <c r="Z23" s="177"/>
      <c r="AA23" s="177"/>
      <c r="AB23" s="177"/>
      <c r="AC23" s="177"/>
    </row>
    <row r="24" spans="1:29" s="864" customFormat="1" ht="21" customHeight="1" x14ac:dyDescent="0.25">
      <c r="A24" s="871"/>
      <c r="B24" s="245"/>
      <c r="C24" s="202"/>
      <c r="D24" s="982"/>
      <c r="E24" s="198"/>
      <c r="F24" s="199"/>
      <c r="G24" s="200"/>
      <c r="H24" s="201"/>
      <c r="I24" s="632">
        <f>COUNTIF($I$20:$I$23,"&gt;.03")</f>
        <v>0</v>
      </c>
      <c r="J24" s="202"/>
      <c r="K24" s="1173"/>
      <c r="L24" s="202"/>
      <c r="M24" s="204"/>
      <c r="N24" s="204"/>
      <c r="O24" s="204"/>
      <c r="P24" s="205"/>
      <c r="Q24" s="179"/>
      <c r="R24" s="177"/>
      <c r="S24" s="613"/>
      <c r="T24" s="177"/>
      <c r="U24" s="177"/>
      <c r="V24" s="177"/>
      <c r="W24" s="177"/>
      <c r="X24" s="177"/>
      <c r="Y24" s="177"/>
      <c r="Z24" s="177"/>
      <c r="AA24" s="177"/>
      <c r="AB24" s="177"/>
      <c r="AC24" s="177"/>
    </row>
    <row r="25" spans="1:29" s="864" customFormat="1" ht="10.15" customHeight="1" x14ac:dyDescent="0.25">
      <c r="C25" s="180"/>
      <c r="D25" s="983"/>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4" customFormat="1" ht="21.75" hidden="1" customHeight="1" thickBot="1" x14ac:dyDescent="0.3">
      <c r="A26" s="871"/>
      <c r="B26" s="248"/>
      <c r="C26" s="184"/>
      <c r="D26" s="1600" t="s">
        <v>855</v>
      </c>
      <c r="E26" s="1600"/>
      <c r="F26" s="185"/>
      <c r="G26" s="1598"/>
      <c r="H26" s="1599"/>
      <c r="I26" s="186"/>
      <c r="J26" s="1595"/>
      <c r="K26" s="1595"/>
      <c r="L26" s="184"/>
      <c r="M26" s="184"/>
      <c r="N26" s="184"/>
      <c r="O26" s="1571" t="str">
        <f>IF(COUNTIF($K$33:$K$37,"&gt;.03")&gt;0,"***Warning:You have entered an Rate % of Sales above the recommended 3%***","")</f>
        <v/>
      </c>
      <c r="P26" s="1572"/>
      <c r="Q26" s="179"/>
      <c r="R26" s="177"/>
      <c r="S26" s="177"/>
      <c r="T26" s="177"/>
      <c r="U26" s="177"/>
      <c r="V26" s="177"/>
      <c r="W26" s="177"/>
      <c r="X26" s="177"/>
      <c r="Y26" s="177"/>
      <c r="Z26" s="177"/>
      <c r="AA26" s="177"/>
      <c r="AB26" s="177"/>
      <c r="AC26" s="177"/>
    </row>
    <row r="27" spans="1:29" s="864" customFormat="1" ht="18" hidden="1" customHeight="1" thickBot="1" x14ac:dyDescent="0.3">
      <c r="A27" s="871"/>
      <c r="B27" s="243"/>
      <c r="C27" s="145"/>
      <c r="D27" s="979" t="s">
        <v>524</v>
      </c>
      <c r="E27" s="877" t="s">
        <v>649</v>
      </c>
      <c r="F27" s="279"/>
      <c r="G27" s="228" t="s">
        <v>1397</v>
      </c>
      <c r="H27" s="573"/>
      <c r="I27" s="228" t="s">
        <v>1398</v>
      </c>
      <c r="J27" s="41"/>
      <c r="K27" s="228" t="s">
        <v>837</v>
      </c>
      <c r="L27" s="145"/>
      <c r="M27" s="194" t="s">
        <v>1399</v>
      </c>
      <c r="N27" s="145"/>
      <c r="O27" s="1573"/>
      <c r="P27" s="1574"/>
      <c r="Q27" s="179"/>
      <c r="R27" s="177"/>
      <c r="S27" s="177"/>
      <c r="T27" s="177"/>
      <c r="U27" s="177"/>
      <c r="V27" s="177"/>
      <c r="W27" s="177"/>
      <c r="X27" s="177"/>
      <c r="Y27" s="177"/>
      <c r="Z27" s="177"/>
      <c r="AA27" s="177"/>
      <c r="AB27" s="177"/>
      <c r="AC27" s="177"/>
    </row>
    <row r="28" spans="1:29" s="864" customFormat="1" ht="18" hidden="1" customHeight="1" thickBot="1" x14ac:dyDescent="0.3">
      <c r="A28" s="871"/>
      <c r="B28" s="243"/>
      <c r="C28" s="145"/>
      <c r="D28" s="872" t="s">
        <v>1400</v>
      </c>
      <c r="E28" s="949" t="s">
        <v>1401</v>
      </c>
      <c r="F28" s="189"/>
      <c r="G28" s="1038"/>
      <c r="H28" s="644"/>
      <c r="I28" s="1038"/>
      <c r="J28" s="145"/>
      <c r="K28" s="1038"/>
      <c r="L28" s="145"/>
      <c r="M28" s="1448"/>
      <c r="N28" s="145"/>
      <c r="O28" s="1573"/>
      <c r="P28" s="1574"/>
      <c r="Q28" s="179"/>
      <c r="R28" s="177"/>
      <c r="S28" s="613"/>
      <c r="T28" s="177"/>
      <c r="U28" s="177"/>
      <c r="V28" s="177"/>
      <c r="W28" s="177"/>
      <c r="X28" s="177"/>
      <c r="Y28" s="177"/>
      <c r="Z28" s="177"/>
      <c r="AA28" s="177"/>
      <c r="AB28" s="177"/>
      <c r="AC28" s="177"/>
    </row>
    <row r="29" spans="1:29" s="864" customFormat="1" ht="15.75" hidden="1" thickBot="1" x14ac:dyDescent="0.3">
      <c r="A29" s="871"/>
      <c r="B29" s="243"/>
      <c r="C29" s="145"/>
      <c r="D29" s="980"/>
      <c r="E29" s="191"/>
      <c r="F29" s="191"/>
      <c r="G29" s="574"/>
      <c r="H29" s="573"/>
      <c r="I29" s="145"/>
      <c r="J29" s="145"/>
      <c r="K29" s="145"/>
      <c r="L29" s="145"/>
      <c r="M29" s="145"/>
      <c r="N29" s="145"/>
      <c r="O29" s="1573"/>
      <c r="P29" s="1574"/>
      <c r="Q29" s="179"/>
      <c r="R29" s="177"/>
      <c r="S29" s="613" t="str">
        <f>IF($E29="NO","",IF($I28="Select Payment Method","X",""))</f>
        <v/>
      </c>
      <c r="T29" s="177"/>
      <c r="U29" s="177"/>
      <c r="V29" s="177"/>
      <c r="W29" s="177"/>
      <c r="X29" s="177"/>
      <c r="Y29" s="177"/>
      <c r="Z29" s="177"/>
      <c r="AA29" s="177"/>
      <c r="AB29" s="177"/>
      <c r="AC29" s="177"/>
    </row>
    <row r="30" spans="1:29" s="864" customFormat="1" ht="18" hidden="1" customHeight="1" thickBot="1" x14ac:dyDescent="0.3">
      <c r="A30" s="871"/>
      <c r="B30" s="243"/>
      <c r="C30" s="145"/>
      <c r="D30" s="873" t="s">
        <v>1402</v>
      </c>
      <c r="E30" s="1390" t="str">
        <f>IF(E27="Yes",IF(Welcome!$D$6="New",IF('Required Info to Submit'!F$14="","",'Required Info to Submit'!F$14),""),"")</f>
        <v/>
      </c>
      <c r="F30" s="191"/>
      <c r="G30" s="193" t="s">
        <v>517</v>
      </c>
      <c r="H30" s="573"/>
      <c r="I30" s="145"/>
      <c r="J30" s="145"/>
      <c r="K30" s="145"/>
      <c r="L30" s="145"/>
      <c r="M30" s="145"/>
      <c r="N30" s="145"/>
      <c r="O30" s="1573"/>
      <c r="P30" s="1574"/>
      <c r="Q30" s="179"/>
      <c r="R30" s="177"/>
      <c r="S30" s="613"/>
      <c r="T30" s="177"/>
      <c r="U30" s="177"/>
      <c r="V30" s="177"/>
      <c r="W30" s="177"/>
      <c r="X30" s="177"/>
      <c r="Y30" s="177"/>
      <c r="Z30" s="177"/>
      <c r="AA30" s="177"/>
      <c r="AB30" s="177"/>
      <c r="AC30" s="177"/>
    </row>
    <row r="31" spans="1:29" s="864" customFormat="1" ht="18" hidden="1" customHeight="1" thickBot="1" x14ac:dyDescent="0.3">
      <c r="A31" s="871"/>
      <c r="B31" s="243"/>
      <c r="C31" s="145"/>
      <c r="D31" s="873" t="s">
        <v>1403</v>
      </c>
      <c r="E31" s="1390" t="str">
        <f>IF(E27="Yes",IF(Welcome!$D$6="New",IF('Required Info to Submit'!F$17="","",'Required Info to Submit'!F$17),""),"")</f>
        <v/>
      </c>
      <c r="F31" s="191"/>
      <c r="G31" s="966">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4" customFormat="1" ht="15.75" hidden="1" customHeight="1" thickBot="1" x14ac:dyDescent="0.3">
      <c r="A32" s="871"/>
      <c r="B32" s="243"/>
      <c r="C32" s="145"/>
      <c r="D32" s="980"/>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4" customFormat="1" ht="18" hidden="1" customHeight="1" thickBot="1" x14ac:dyDescent="0.3">
      <c r="A33" s="871"/>
      <c r="B33" s="243"/>
      <c r="C33" s="145"/>
      <c r="D33" s="977" t="s">
        <v>521</v>
      </c>
      <c r="E33" s="978">
        <f>IFERROR(IF(G33="",0,(G33-$G$31)/$G$31),"")</f>
        <v>0</v>
      </c>
      <c r="F33" s="874" t="s">
        <v>1003</v>
      </c>
      <c r="G33" s="1039"/>
      <c r="H33" s="573"/>
      <c r="I33" s="967" t="str">
        <f>IF(E27="Yes",IF(AND(G33&lt;&gt;"",G34="",G35="",G36="",G37=""),999999999.99,IF(G34&lt;&gt;"",G34-0.01,"")),"")</f>
        <v/>
      </c>
      <c r="J33" s="145"/>
      <c r="K33" s="1040"/>
      <c r="L33" s="145"/>
      <c r="M33" s="713"/>
      <c r="N33" s="713"/>
      <c r="O33" s="969">
        <f>IF(E27="Yes",IF(G34=0,K33*H$10,IF(OR(G34&lt;G31,G34=G31),K34*H$10,K33*H$10)),0)</f>
        <v>0</v>
      </c>
      <c r="P33" s="190"/>
      <c r="Q33" s="179"/>
      <c r="R33" s="177"/>
      <c r="S33" s="613"/>
      <c r="T33" s="177"/>
      <c r="U33" s="177"/>
      <c r="V33" s="177"/>
      <c r="W33" s="177"/>
      <c r="X33" s="177"/>
      <c r="Y33" s="177"/>
      <c r="Z33" s="177"/>
      <c r="AA33" s="177"/>
      <c r="AB33" s="177"/>
      <c r="AC33" s="177"/>
    </row>
    <row r="34" spans="1:29" s="864" customFormat="1" ht="18" hidden="1" customHeight="1" thickBot="1" x14ac:dyDescent="0.3">
      <c r="A34" s="871"/>
      <c r="B34" s="243"/>
      <c r="C34" s="145"/>
      <c r="D34" s="977" t="s">
        <v>522</v>
      </c>
      <c r="E34" s="978">
        <f>IFERROR(IF(G34="",0,(G34-$G$31)/$G$31),"")</f>
        <v>0</v>
      </c>
      <c r="F34" s="874" t="s">
        <v>1407</v>
      </c>
      <c r="G34" s="1039"/>
      <c r="H34" s="573"/>
      <c r="I34" s="967" t="str">
        <f>IF(E27="Yes",IF(AND(G34&lt;&gt;"",G35="",G36="",G37="",I33&lt;&gt;999999999.99),999999999.99,IF(G35&lt;&gt;"",G35-0.01,"")),"")</f>
        <v/>
      </c>
      <c r="J34" s="875" t="str">
        <f>IF($E$15="YES","**Tier 1 used for modeling purposes**","")</f>
        <v/>
      </c>
      <c r="K34" s="1040"/>
      <c r="L34" s="876"/>
      <c r="M34" s="713"/>
      <c r="N34" s="713"/>
      <c r="O34" s="713"/>
      <c r="P34" s="190"/>
      <c r="Q34" s="179"/>
      <c r="R34" s="177"/>
      <c r="S34" s="613"/>
      <c r="T34" s="177"/>
      <c r="U34" s="177"/>
      <c r="V34" s="177"/>
      <c r="W34" s="177"/>
      <c r="X34" s="177"/>
      <c r="Y34" s="177"/>
      <c r="Z34" s="177"/>
      <c r="AA34" s="177"/>
      <c r="AB34" s="177"/>
      <c r="AC34" s="177"/>
    </row>
    <row r="35" spans="1:29" s="864" customFormat="1" ht="18" hidden="1" customHeight="1" thickBot="1" x14ac:dyDescent="0.3">
      <c r="A35" s="871"/>
      <c r="B35" s="243"/>
      <c r="C35" s="145"/>
      <c r="D35" s="977" t="s">
        <v>523</v>
      </c>
      <c r="E35" s="978">
        <f>IFERROR(IF(G35="",0,(G35-$G$31)/$G$31),"")</f>
        <v>0</v>
      </c>
      <c r="F35" s="874" t="s">
        <v>1408</v>
      </c>
      <c r="G35" s="1039"/>
      <c r="H35" s="573"/>
      <c r="I35" s="967" t="str">
        <f>IF(E27="Yes",IF(AND(G35&lt;&gt;"",G36="",G37="",I34&lt;&gt;999999999.99),999999999.99,IF(G36&lt;&gt;"",G36-0.01,"")),"")</f>
        <v/>
      </c>
      <c r="J35" s="145"/>
      <c r="K35" s="1040"/>
      <c r="L35" s="145"/>
      <c r="M35" s="713"/>
      <c r="N35" s="713"/>
      <c r="O35" s="713"/>
      <c r="P35" s="190"/>
      <c r="Q35" s="179"/>
      <c r="R35" s="177"/>
      <c r="S35" s="613"/>
      <c r="T35" s="177"/>
      <c r="U35" s="177"/>
      <c r="V35" s="177"/>
      <c r="W35" s="177"/>
      <c r="X35" s="177"/>
      <c r="Y35" s="177"/>
      <c r="Z35" s="177"/>
      <c r="AA35" s="177"/>
      <c r="AB35" s="177"/>
      <c r="AC35" s="177"/>
    </row>
    <row r="36" spans="1:29" s="864" customFormat="1" ht="18" hidden="1" customHeight="1" thickBot="1" x14ac:dyDescent="0.3">
      <c r="A36" s="871"/>
      <c r="B36" s="243"/>
      <c r="C36" s="145"/>
      <c r="D36" s="977" t="s">
        <v>1409</v>
      </c>
      <c r="E36" s="978">
        <f>IFERROR(IF(G36="",0,(G36-$G$31)/$G$31),"")</f>
        <v>0</v>
      </c>
      <c r="F36" s="874" t="s">
        <v>1410</v>
      </c>
      <c r="G36" s="1039"/>
      <c r="H36" s="573"/>
      <c r="I36" s="967" t="str">
        <f>IF(E27="Yes",IF(AND(G36&lt;&gt;"",G37="",I35&lt;&gt;999999999.99),999999999.99,IF(G37&lt;&gt;"",G37-0.01,"")),"")</f>
        <v/>
      </c>
      <c r="J36" s="145"/>
      <c r="K36" s="1040"/>
      <c r="L36" s="145"/>
      <c r="M36" s="713"/>
      <c r="N36" s="713"/>
      <c r="O36" s="713"/>
      <c r="P36" s="190"/>
      <c r="Q36" s="179"/>
      <c r="R36" s="177"/>
      <c r="S36" s="613"/>
      <c r="T36" s="177"/>
      <c r="U36" s="177"/>
      <c r="V36" s="177"/>
      <c r="W36" s="177"/>
      <c r="X36" s="177"/>
      <c r="Y36" s="177"/>
      <c r="Z36" s="177"/>
      <c r="AA36" s="177"/>
      <c r="AB36" s="177"/>
      <c r="AC36" s="177"/>
    </row>
    <row r="37" spans="1:29" s="864" customFormat="1" ht="18" hidden="1" customHeight="1" thickBot="1" x14ac:dyDescent="0.3">
      <c r="A37" s="871"/>
      <c r="B37" s="243"/>
      <c r="C37" s="145"/>
      <c r="D37" s="977" t="s">
        <v>1411</v>
      </c>
      <c r="E37" s="978">
        <f t="shared" ref="E37" si="1">IF(G37="",0,(G37-$G$31)/$G$31)</f>
        <v>0</v>
      </c>
      <c r="F37" s="874" t="s">
        <v>1412</v>
      </c>
      <c r="G37" s="1039"/>
      <c r="H37" s="573"/>
      <c r="I37" s="967" t="str">
        <f>IF(E27="Yes",IF(AND(G37&lt;&gt;"",I36&lt;&gt;999999999.99),999999999.99,""),"")</f>
        <v/>
      </c>
      <c r="J37" s="145"/>
      <c r="K37" s="1040"/>
      <c r="L37" s="145"/>
      <c r="M37" s="713"/>
      <c r="N37" s="713"/>
      <c r="O37" s="713"/>
      <c r="P37" s="190"/>
      <c r="Q37" s="179"/>
      <c r="R37" s="177"/>
      <c r="S37" s="613"/>
      <c r="T37" s="177"/>
      <c r="U37" s="177"/>
      <c r="V37" s="177"/>
      <c r="W37" s="177"/>
      <c r="X37" s="177"/>
      <c r="Y37" s="177"/>
      <c r="Z37" s="177"/>
      <c r="AA37" s="177"/>
      <c r="AB37" s="177"/>
      <c r="AC37" s="177"/>
    </row>
    <row r="38" spans="1:29" s="864" customFormat="1" ht="20.25" hidden="1" customHeight="1" x14ac:dyDescent="0.25">
      <c r="A38" s="871"/>
      <c r="B38" s="245"/>
      <c r="C38" s="202"/>
      <c r="D38" s="982"/>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4" customFormat="1" ht="10.15" hidden="1" customHeight="1" x14ac:dyDescent="0.25">
      <c r="C39" s="180"/>
      <c r="D39" s="983"/>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4" customFormat="1" ht="21.75" hidden="1" customHeight="1" thickBot="1" x14ac:dyDescent="0.3">
      <c r="A40" s="871"/>
      <c r="B40" s="248"/>
      <c r="C40" s="184"/>
      <c r="D40" s="1600" t="s">
        <v>855</v>
      </c>
      <c r="E40" s="1600"/>
      <c r="F40" s="185"/>
      <c r="G40" s="1598"/>
      <c r="H40" s="1599"/>
      <c r="I40" s="186"/>
      <c r="J40" s="1595"/>
      <c r="K40" s="1595"/>
      <c r="L40" s="184"/>
      <c r="M40" s="184"/>
      <c r="N40" s="184"/>
      <c r="O40" s="1571" t="str">
        <f>IF(COUNTIF($K$47:$K$51,"&gt;.03")&gt;0,"***Warning:You have entered an Rate % of Sales above the recommended 3%***","")</f>
        <v/>
      </c>
      <c r="P40" s="1572"/>
      <c r="Q40" s="179"/>
      <c r="R40" s="177"/>
      <c r="S40" s="177"/>
      <c r="T40" s="177"/>
      <c r="U40" s="177"/>
      <c r="V40" s="177"/>
      <c r="W40" s="177"/>
      <c r="X40" s="177"/>
      <c r="Y40" s="177"/>
      <c r="Z40" s="177"/>
      <c r="AA40" s="177"/>
      <c r="AB40" s="177"/>
      <c r="AC40" s="177"/>
    </row>
    <row r="41" spans="1:29" s="864" customFormat="1" ht="18" hidden="1" customHeight="1" thickBot="1" x14ac:dyDescent="0.3">
      <c r="A41" s="871"/>
      <c r="B41" s="243"/>
      <c r="C41" s="145"/>
      <c r="D41" s="979" t="s">
        <v>524</v>
      </c>
      <c r="E41" s="877" t="s">
        <v>649</v>
      </c>
      <c r="F41" s="279"/>
      <c r="G41" s="228" t="s">
        <v>1397</v>
      </c>
      <c r="H41" s="573"/>
      <c r="I41" s="228" t="s">
        <v>1398</v>
      </c>
      <c r="J41" s="41"/>
      <c r="K41" s="228" t="s">
        <v>837</v>
      </c>
      <c r="L41" s="145"/>
      <c r="M41" s="194" t="s">
        <v>1399</v>
      </c>
      <c r="N41" s="145"/>
      <c r="O41" s="1573"/>
      <c r="P41" s="1574"/>
      <c r="Q41" s="179"/>
      <c r="R41" s="177"/>
      <c r="S41" s="177"/>
      <c r="T41" s="177"/>
      <c r="U41" s="177"/>
      <c r="V41" s="177"/>
      <c r="W41" s="177"/>
      <c r="X41" s="177"/>
      <c r="Y41" s="177"/>
      <c r="Z41" s="177"/>
      <c r="AA41" s="177"/>
      <c r="AB41" s="177"/>
      <c r="AC41" s="177"/>
    </row>
    <row r="42" spans="1:29" s="864" customFormat="1" ht="18" hidden="1" customHeight="1" thickBot="1" x14ac:dyDescent="0.3">
      <c r="A42" s="871"/>
      <c r="B42" s="243"/>
      <c r="C42" s="145"/>
      <c r="D42" s="872" t="s">
        <v>1400</v>
      </c>
      <c r="E42" s="1299" t="s">
        <v>1401</v>
      </c>
      <c r="F42" s="189"/>
      <c r="G42" s="1038"/>
      <c r="H42" s="644"/>
      <c r="I42" s="1038"/>
      <c r="J42" s="145"/>
      <c r="K42" s="1038"/>
      <c r="L42" s="145"/>
      <c r="M42" s="1448"/>
      <c r="N42" s="145"/>
      <c r="O42" s="1573"/>
      <c r="P42" s="1574"/>
      <c r="Q42" s="179"/>
      <c r="R42" s="177"/>
      <c r="S42" s="613"/>
      <c r="T42" s="177"/>
      <c r="U42" s="177"/>
      <c r="V42" s="177"/>
      <c r="W42" s="177"/>
      <c r="X42" s="177"/>
      <c r="Y42" s="177"/>
      <c r="Z42" s="177"/>
      <c r="AA42" s="177"/>
      <c r="AB42" s="177"/>
      <c r="AC42" s="177"/>
    </row>
    <row r="43" spans="1:29" s="864" customFormat="1" ht="15.75" hidden="1" thickBot="1" x14ac:dyDescent="0.3">
      <c r="A43" s="871"/>
      <c r="B43" s="243"/>
      <c r="C43" s="145"/>
      <c r="D43" s="980"/>
      <c r="E43" s="191"/>
      <c r="F43" s="191"/>
      <c r="G43" s="574"/>
      <c r="H43" s="573"/>
      <c r="I43" s="145"/>
      <c r="J43" s="145"/>
      <c r="K43" s="145"/>
      <c r="L43" s="145"/>
      <c r="M43" s="145"/>
      <c r="N43" s="145"/>
      <c r="O43" s="1573"/>
      <c r="P43" s="1574"/>
      <c r="Q43" s="179"/>
      <c r="R43" s="177"/>
      <c r="S43" s="613" t="str">
        <f>IF($E43="NO","",IF($I42="Select Payment Method","X",""))</f>
        <v/>
      </c>
      <c r="T43" s="177"/>
      <c r="U43" s="177"/>
      <c r="V43" s="177"/>
      <c r="W43" s="177"/>
      <c r="X43" s="177"/>
      <c r="Y43" s="177"/>
      <c r="Z43" s="177"/>
      <c r="AA43" s="177"/>
      <c r="AB43" s="177"/>
      <c r="AC43" s="177"/>
    </row>
    <row r="44" spans="1:29" s="864" customFormat="1" ht="18" hidden="1" customHeight="1" thickBot="1" x14ac:dyDescent="0.3">
      <c r="A44" s="871"/>
      <c r="B44" s="243"/>
      <c r="C44" s="145"/>
      <c r="D44" s="873" t="s">
        <v>1402</v>
      </c>
      <c r="E44" s="1390" t="str">
        <f>IF(E41="Yes",IF(Welcome!$D$6="New",IF('Required Info to Submit'!F$14="","",'Required Info to Submit'!F$14),""),"")</f>
        <v/>
      </c>
      <c r="F44" s="191"/>
      <c r="G44" s="193" t="s">
        <v>517</v>
      </c>
      <c r="H44" s="573"/>
      <c r="I44" s="145"/>
      <c r="J44" s="145"/>
      <c r="K44" s="145"/>
      <c r="L44" s="145"/>
      <c r="M44" s="145"/>
      <c r="N44" s="145"/>
      <c r="O44" s="1573"/>
      <c r="P44" s="1574"/>
      <c r="Q44" s="179"/>
      <c r="R44" s="177"/>
      <c r="S44" s="613"/>
      <c r="T44" s="177"/>
      <c r="U44" s="177"/>
      <c r="V44" s="177"/>
      <c r="W44" s="177"/>
      <c r="X44" s="177"/>
      <c r="Y44" s="177"/>
      <c r="Z44" s="177"/>
      <c r="AA44" s="177"/>
      <c r="AB44" s="177"/>
      <c r="AC44" s="177"/>
    </row>
    <row r="45" spans="1:29" s="864" customFormat="1" ht="18" hidden="1" customHeight="1" thickBot="1" x14ac:dyDescent="0.3">
      <c r="A45" s="871"/>
      <c r="B45" s="243"/>
      <c r="C45" s="145"/>
      <c r="D45" s="873" t="s">
        <v>1403</v>
      </c>
      <c r="E45" s="1390" t="str">
        <f>IF(E41="Yes",IF(Welcome!$D$6="New",IF('Required Info to Submit'!F$17="","",'Required Info to Submit'!F$17),""),"")</f>
        <v/>
      </c>
      <c r="F45" s="191"/>
      <c r="G45" s="966">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4" customFormat="1" ht="18" hidden="1" customHeight="1" thickBot="1" x14ac:dyDescent="0.3">
      <c r="A46" s="871"/>
      <c r="B46" s="243"/>
      <c r="C46" s="145"/>
      <c r="D46" s="980"/>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4" customFormat="1" ht="18" hidden="1" customHeight="1" thickBot="1" x14ac:dyDescent="0.3">
      <c r="A47" s="871"/>
      <c r="B47" s="243"/>
      <c r="C47" s="145"/>
      <c r="D47" s="977" t="s">
        <v>521</v>
      </c>
      <c r="E47" s="978">
        <f>IFERROR(IF(G47="",0,(G47-$G$45)/$G$45),"")</f>
        <v>0</v>
      </c>
      <c r="F47" s="874" t="s">
        <v>1003</v>
      </c>
      <c r="G47" s="1039"/>
      <c r="H47" s="573"/>
      <c r="I47" s="967" t="str">
        <f>IF(E41="Yes",IF(AND(G47&lt;&gt;"",G48="",G49="",G50="",G51=""),999999999.99,IF(G48&lt;&gt;"",G48-0.01,"")),"")</f>
        <v/>
      </c>
      <c r="J47" s="145"/>
      <c r="K47" s="1040"/>
      <c r="L47" s="145"/>
      <c r="M47" s="713"/>
      <c r="N47" s="713"/>
      <c r="O47" s="969">
        <f>IF(E41="Yes",IF(G48=0,K47*H$10,IF(OR(G48&lt;G45,G48=G45),K48*H$10,K47*H$10)),0)</f>
        <v>0</v>
      </c>
      <c r="P47" s="190"/>
      <c r="Q47" s="179"/>
      <c r="R47" s="177"/>
      <c r="S47" s="613"/>
      <c r="T47" s="177"/>
      <c r="U47" s="177"/>
      <c r="V47" s="177"/>
      <c r="W47" s="177"/>
      <c r="X47" s="177"/>
      <c r="Y47" s="177"/>
      <c r="Z47" s="177"/>
      <c r="AA47" s="177"/>
      <c r="AB47" s="177"/>
      <c r="AC47" s="177"/>
    </row>
    <row r="48" spans="1:29" s="864" customFormat="1" ht="18" hidden="1" customHeight="1" thickBot="1" x14ac:dyDescent="0.3">
      <c r="A48" s="871"/>
      <c r="B48" s="243"/>
      <c r="C48" s="145"/>
      <c r="D48" s="977" t="s">
        <v>522</v>
      </c>
      <c r="E48" s="978">
        <f>IFERROR(IF(G48="",0,(G48-$G$45)/$G$45),"")</f>
        <v>0</v>
      </c>
      <c r="F48" s="874" t="s">
        <v>1407</v>
      </c>
      <c r="G48" s="1039"/>
      <c r="H48" s="573"/>
      <c r="I48" s="967" t="str">
        <f>IF(E41="Yes",IF(AND(G48&lt;&gt;"",G49="",G50="",G51="",I47&lt;&gt;999999999.99),999999999.99,IF(G49&lt;&gt;"",G49-0.01,"")),"")</f>
        <v/>
      </c>
      <c r="J48" s="875" t="str">
        <f>IF($E$15="YES","**Tier 1 used for modeling purposes**","")</f>
        <v/>
      </c>
      <c r="K48" s="1040"/>
      <c r="L48" s="876"/>
      <c r="M48" s="713"/>
      <c r="N48" s="713"/>
      <c r="O48" s="713"/>
      <c r="P48" s="190"/>
      <c r="Q48" s="179"/>
      <c r="R48" s="177"/>
      <c r="S48" s="613"/>
      <c r="T48" s="177"/>
      <c r="U48" s="177"/>
      <c r="V48" s="177"/>
      <c r="W48" s="177"/>
      <c r="X48" s="177"/>
      <c r="Y48" s="177"/>
      <c r="Z48" s="177"/>
      <c r="AA48" s="177"/>
      <c r="AB48" s="177"/>
      <c r="AC48" s="177"/>
    </row>
    <row r="49" spans="1:29" s="864" customFormat="1" ht="18" hidden="1" customHeight="1" thickBot="1" x14ac:dyDescent="0.3">
      <c r="A49" s="871"/>
      <c r="B49" s="243"/>
      <c r="C49" s="145"/>
      <c r="D49" s="977" t="s">
        <v>523</v>
      </c>
      <c r="E49" s="978">
        <f>IFERROR(IF(G49="",0,(G49-$G$45)/$G$45),"")</f>
        <v>0</v>
      </c>
      <c r="F49" s="874" t="s">
        <v>1408</v>
      </c>
      <c r="G49" s="1039"/>
      <c r="H49" s="573"/>
      <c r="I49" s="967" t="str">
        <f>IF(E41="Yes",IF(AND(G49&lt;&gt;"",G50="",G51="",I48&lt;&gt;999999999.99),999999999.99,IF(G50&lt;&gt;"",G50-0.01,"")),"")</f>
        <v/>
      </c>
      <c r="J49" s="145"/>
      <c r="K49" s="1040"/>
      <c r="L49" s="145"/>
      <c r="M49" s="713"/>
      <c r="N49" s="713"/>
      <c r="O49" s="713"/>
      <c r="P49" s="190"/>
      <c r="Q49" s="179"/>
      <c r="R49" s="177"/>
      <c r="S49" s="613"/>
      <c r="T49" s="177"/>
      <c r="U49" s="177"/>
      <c r="V49" s="177"/>
      <c r="W49" s="177"/>
      <c r="X49" s="177"/>
      <c r="Y49" s="177"/>
      <c r="Z49" s="177"/>
      <c r="AA49" s="177"/>
      <c r="AB49" s="177"/>
      <c r="AC49" s="177"/>
    </row>
    <row r="50" spans="1:29" s="864" customFormat="1" ht="18" hidden="1" customHeight="1" thickBot="1" x14ac:dyDescent="0.3">
      <c r="A50" s="871"/>
      <c r="B50" s="243"/>
      <c r="C50" s="145"/>
      <c r="D50" s="977" t="s">
        <v>1409</v>
      </c>
      <c r="E50" s="978">
        <f>IFERROR(IF(G50="",0,(G50-$G$45)/$G$45),"")</f>
        <v>0</v>
      </c>
      <c r="F50" s="874" t="s">
        <v>1410</v>
      </c>
      <c r="G50" s="1039"/>
      <c r="H50" s="573"/>
      <c r="I50" s="967" t="str">
        <f>IF(E41="Yes",IF(AND(G50&lt;&gt;"",G51="",I49&lt;&gt;999999999.99),999999999.99,IF(G51&lt;&gt;"",G51-0.01,"")),"")</f>
        <v/>
      </c>
      <c r="J50" s="145"/>
      <c r="K50" s="1040"/>
      <c r="L50" s="145"/>
      <c r="M50" s="713"/>
      <c r="N50" s="713"/>
      <c r="O50" s="713"/>
      <c r="P50" s="190"/>
      <c r="Q50" s="179"/>
      <c r="R50" s="177"/>
      <c r="S50" s="613"/>
      <c r="T50" s="177"/>
      <c r="U50" s="177"/>
      <c r="V50" s="177"/>
      <c r="W50" s="177"/>
      <c r="X50" s="177"/>
      <c r="Y50" s="177"/>
      <c r="Z50" s="177"/>
      <c r="AA50" s="177"/>
      <c r="AB50" s="177"/>
      <c r="AC50" s="177"/>
    </row>
    <row r="51" spans="1:29" s="864" customFormat="1" ht="18" hidden="1" customHeight="1" thickBot="1" x14ac:dyDescent="0.3">
      <c r="A51" s="871"/>
      <c r="B51" s="243"/>
      <c r="C51" s="145"/>
      <c r="D51" s="977" t="s">
        <v>1411</v>
      </c>
      <c r="E51" s="978">
        <f>IFERROR(IF(G51="",0,(G51-$G$45)/$G$45),"")</f>
        <v>0</v>
      </c>
      <c r="F51" s="874" t="s">
        <v>1412</v>
      </c>
      <c r="G51" s="1039"/>
      <c r="H51" s="573"/>
      <c r="I51" s="967" t="str">
        <f>IF(E41="Yes",IF(AND(G51&lt;&gt;"",I50&lt;&gt;999999999.99),999999999.99,""),"")</f>
        <v/>
      </c>
      <c r="J51" s="145"/>
      <c r="K51" s="1040"/>
      <c r="L51" s="145"/>
      <c r="M51" s="713"/>
      <c r="N51" s="713"/>
      <c r="O51" s="713"/>
      <c r="P51" s="190"/>
      <c r="Q51" s="179"/>
      <c r="R51" s="177"/>
      <c r="S51" s="613"/>
      <c r="T51" s="177"/>
      <c r="U51" s="177"/>
      <c r="V51" s="177"/>
      <c r="W51" s="177"/>
      <c r="X51" s="177"/>
      <c r="Y51" s="177"/>
      <c r="Z51" s="177"/>
      <c r="AA51" s="177"/>
      <c r="AB51" s="177"/>
      <c r="AC51" s="177"/>
    </row>
    <row r="52" spans="1:29" s="864" customFormat="1" ht="20.25" hidden="1" customHeight="1" x14ac:dyDescent="0.25">
      <c r="A52" s="871"/>
      <c r="B52" s="245"/>
      <c r="C52" s="202"/>
      <c r="D52" s="982"/>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4" customFormat="1" ht="10.15" hidden="1" customHeight="1" x14ac:dyDescent="0.25">
      <c r="C53" s="180"/>
      <c r="D53" s="983"/>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4" customFormat="1" ht="21.75" customHeight="1" thickBot="1" x14ac:dyDescent="0.3">
      <c r="A54" s="871"/>
      <c r="B54" s="248"/>
      <c r="C54" s="184"/>
      <c r="D54" s="1583" t="s">
        <v>520</v>
      </c>
      <c r="E54" s="1583"/>
      <c r="F54" s="213"/>
      <c r="G54" s="214"/>
      <c r="H54" s="865"/>
      <c r="I54" s="215"/>
      <c r="J54" s="184"/>
      <c r="K54" s="216"/>
      <c r="L54" s="184"/>
      <c r="M54" s="217"/>
      <c r="N54" s="217"/>
      <c r="O54" s="1575" t="str">
        <f>IF(COUNTIF($K$61:$K$65,"&gt;.03")&gt;0,"***Warning:You have entered an Rate % of Sales above the recommended 3%***","")</f>
        <v/>
      </c>
      <c r="P54" s="1576"/>
      <c r="Q54" s="179"/>
      <c r="R54" s="177"/>
      <c r="S54" s="613"/>
      <c r="T54" s="177"/>
      <c r="U54" s="177"/>
      <c r="V54" s="177"/>
      <c r="W54" s="177"/>
      <c r="X54" s="177"/>
      <c r="Y54" s="177"/>
      <c r="Z54" s="177"/>
      <c r="AA54" s="177"/>
      <c r="AB54" s="177"/>
      <c r="AC54" s="177"/>
    </row>
    <row r="55" spans="1:29" s="864" customFormat="1" ht="18" customHeight="1" thickBot="1" x14ac:dyDescent="0.3">
      <c r="A55" s="871"/>
      <c r="B55" s="243"/>
      <c r="C55" s="145"/>
      <c r="D55" s="979" t="s">
        <v>524</v>
      </c>
      <c r="E55" s="892" t="s">
        <v>649</v>
      </c>
      <c r="F55" s="196"/>
      <c r="G55" s="228" t="s">
        <v>1397</v>
      </c>
      <c r="H55" s="573"/>
      <c r="I55" s="228" t="s">
        <v>1398</v>
      </c>
      <c r="J55" s="41"/>
      <c r="K55" s="228" t="s">
        <v>837</v>
      </c>
      <c r="L55" s="145"/>
      <c r="M55" s="194" t="s">
        <v>1399</v>
      </c>
      <c r="N55" s="218"/>
      <c r="O55" s="1577"/>
      <c r="P55" s="1578"/>
      <c r="Q55" s="179"/>
      <c r="R55" s="177"/>
      <c r="S55" s="613"/>
      <c r="T55" s="177"/>
      <c r="U55" s="177"/>
      <c r="V55" s="177"/>
      <c r="W55" s="177"/>
      <c r="X55" s="177"/>
      <c r="Y55" s="177"/>
      <c r="Z55" s="177"/>
      <c r="AA55" s="177"/>
      <c r="AB55" s="177"/>
      <c r="AC55" s="177"/>
    </row>
    <row r="56" spans="1:29" s="864" customFormat="1" ht="33" customHeight="1" thickBot="1" x14ac:dyDescent="0.3">
      <c r="A56" s="871"/>
      <c r="B56" s="243"/>
      <c r="C56" s="145"/>
      <c r="D56" s="872" t="s">
        <v>1400</v>
      </c>
      <c r="E56" s="1299" t="s">
        <v>1401</v>
      </c>
      <c r="F56" s="219"/>
      <c r="G56" s="1038"/>
      <c r="H56" s="573"/>
      <c r="I56" s="1038"/>
      <c r="J56" s="145"/>
      <c r="K56" s="1038"/>
      <c r="L56" s="145"/>
      <c r="M56" s="1448"/>
      <c r="N56" s="218"/>
      <c r="O56" s="1577"/>
      <c r="P56" s="1578"/>
      <c r="Q56" s="179"/>
      <c r="R56" s="1028"/>
      <c r="S56" s="613"/>
      <c r="T56" s="177"/>
      <c r="U56" s="177"/>
      <c r="V56" s="177"/>
      <c r="W56" s="177"/>
      <c r="X56" s="177"/>
      <c r="Y56" s="177"/>
      <c r="Z56" s="177"/>
      <c r="AA56" s="177"/>
      <c r="AB56" s="177"/>
      <c r="AC56" s="177"/>
    </row>
    <row r="57" spans="1:29" s="864" customFormat="1" ht="18" customHeight="1" thickBot="1" x14ac:dyDescent="0.3">
      <c r="A57" s="871"/>
      <c r="B57" s="243"/>
      <c r="C57" s="145"/>
      <c r="D57" s="7"/>
      <c r="E57" s="940"/>
      <c r="F57" s="219"/>
      <c r="G57" s="573"/>
      <c r="H57" s="573"/>
      <c r="I57" s="220"/>
      <c r="J57" s="145"/>
      <c r="K57" s="145"/>
      <c r="L57" s="145"/>
      <c r="M57" s="145"/>
      <c r="N57" s="145"/>
      <c r="O57" s="1577"/>
      <c r="P57" s="1578"/>
      <c r="Q57" s="179"/>
      <c r="R57" s="177"/>
      <c r="S57" s="613" t="str">
        <f>IF($E57="NO","",IF($I56="Select Payment Method","X",""))</f>
        <v/>
      </c>
      <c r="T57" s="177"/>
      <c r="U57" s="177"/>
      <c r="V57" s="177"/>
      <c r="W57" s="177"/>
      <c r="X57" s="177"/>
      <c r="Y57" s="177"/>
      <c r="Z57" s="177"/>
      <c r="AA57" s="177"/>
      <c r="AB57" s="177"/>
      <c r="AC57" s="177"/>
    </row>
    <row r="58" spans="1:29" s="864" customFormat="1" ht="18" customHeight="1" thickBot="1" x14ac:dyDescent="0.3">
      <c r="A58" s="871"/>
      <c r="B58" s="243"/>
      <c r="C58" s="145"/>
      <c r="D58" s="879" t="s">
        <v>1402</v>
      </c>
      <c r="E58" s="1390" t="str">
        <f>IF(E55="Yes",IF(Welcome!$D$6="New",IF('Required Info to Submit'!F$14="","",'Required Info to Submit'!F$14),""),"")</f>
        <v/>
      </c>
      <c r="F58" s="192"/>
      <c r="G58" s="193" t="s">
        <v>717</v>
      </c>
      <c r="H58" s="573"/>
      <c r="I58" s="195"/>
      <c r="J58" s="145"/>
      <c r="K58" s="195"/>
      <c r="L58" s="145"/>
      <c r="M58" s="188"/>
      <c r="N58" s="188"/>
      <c r="O58" s="1577"/>
      <c r="P58" s="1578"/>
      <c r="Q58" s="179"/>
      <c r="R58" s="177"/>
      <c r="S58" s="613"/>
      <c r="T58" s="177"/>
      <c r="U58" s="177"/>
      <c r="V58" s="177"/>
      <c r="W58" s="177"/>
      <c r="X58" s="177"/>
      <c r="Y58" s="177"/>
      <c r="Z58" s="177"/>
      <c r="AA58" s="177"/>
      <c r="AB58" s="177"/>
      <c r="AC58" s="177"/>
    </row>
    <row r="59" spans="1:29" s="864" customFormat="1" ht="18" customHeight="1" thickBot="1" x14ac:dyDescent="0.3">
      <c r="A59" s="871"/>
      <c r="B59" s="243"/>
      <c r="C59" s="145"/>
      <c r="D59" s="879" t="s">
        <v>1403</v>
      </c>
      <c r="E59" s="1390" t="str">
        <f>IF(E55="Yes",IF(Welcome!$D$6="New",IF('Required Info to Submit'!F$17="","",'Required Info to Submit'!F$17),""),"")</f>
        <v/>
      </c>
      <c r="F59" s="196"/>
      <c r="G59" s="970">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4" customFormat="1" ht="18" customHeight="1" thickBot="1" x14ac:dyDescent="0.3">
      <c r="A60" s="871"/>
      <c r="B60" s="243"/>
      <c r="C60" s="145"/>
      <c r="D60" s="984"/>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4" customFormat="1" ht="21" customHeight="1" thickBot="1" x14ac:dyDescent="0.3">
      <c r="A61" s="871"/>
      <c r="B61" s="243"/>
      <c r="C61" s="145"/>
      <c r="D61" s="977" t="s">
        <v>521</v>
      </c>
      <c r="E61" s="978">
        <f>IFERROR(IF(G61="",0,(G61-$G$59)/$G$59),"")</f>
        <v>0</v>
      </c>
      <c r="F61" s="874" t="s">
        <v>1003</v>
      </c>
      <c r="G61" s="1039"/>
      <c r="H61" s="573"/>
      <c r="I61" s="967" t="str">
        <f>IF(E55="Yes",IF(AND(G61&lt;&gt;"",G62="",G63="",G64="",G65=""),999999999.99,IF(G62&lt;&gt;"",G62-0.01,"")),"")</f>
        <v/>
      </c>
      <c r="J61" s="875"/>
      <c r="K61" s="1040"/>
      <c r="L61" s="876"/>
      <c r="M61" s="1381"/>
      <c r="N61" s="197"/>
      <c r="O61" s="969">
        <f>IF(E55="Yes",IF(G62=0,K61*H$10,IF(OR(G62&lt;G59,G62=G59),K62*H$10,K61*H$10)),0)</f>
        <v>0</v>
      </c>
      <c r="P61" s="190"/>
      <c r="Q61" s="179"/>
      <c r="R61" s="177"/>
      <c r="S61" s="613"/>
      <c r="T61" s="177"/>
      <c r="U61" s="177"/>
      <c r="V61" s="177"/>
      <c r="W61" s="177"/>
      <c r="X61" s="177"/>
      <c r="Y61" s="177"/>
      <c r="Z61" s="177"/>
      <c r="AA61" s="177"/>
      <c r="AB61" s="177"/>
      <c r="AC61" s="177"/>
    </row>
    <row r="62" spans="1:29" s="864" customFormat="1" ht="21" customHeight="1" thickBot="1" x14ac:dyDescent="0.3">
      <c r="A62" s="871"/>
      <c r="B62" s="243"/>
      <c r="C62" s="145"/>
      <c r="D62" s="977" t="s">
        <v>522</v>
      </c>
      <c r="E62" s="978">
        <f t="shared" ref="E62:E65" si="2">IFERROR(IF(G62="",0,(G62-$G$59)/$G$59),"")</f>
        <v>0</v>
      </c>
      <c r="F62" s="874" t="s">
        <v>1407</v>
      </c>
      <c r="G62" s="1039"/>
      <c r="H62" s="573"/>
      <c r="I62" s="967" t="str">
        <f>IF(E55="Yes",IF(AND(G62&lt;&gt;"",G63="",G64="",G65="",I61&lt;&gt;999999999.99),999999999.99,IF(G63&lt;&gt;"",G63-0.01,"")),"")</f>
        <v/>
      </c>
      <c r="J62" s="145"/>
      <c r="K62" s="1040"/>
      <c r="L62" s="145"/>
      <c r="M62" s="1381"/>
      <c r="N62" s="713"/>
      <c r="O62" s="713"/>
      <c r="P62" s="190"/>
      <c r="Q62" s="179"/>
      <c r="R62" s="177"/>
      <c r="S62" s="613"/>
      <c r="T62" s="177"/>
      <c r="U62" s="177"/>
      <c r="V62" s="177"/>
      <c r="W62" s="177"/>
      <c r="X62" s="177"/>
      <c r="Y62" s="177"/>
      <c r="Z62" s="177"/>
      <c r="AA62" s="177"/>
      <c r="AB62" s="177"/>
      <c r="AC62" s="177"/>
    </row>
    <row r="63" spans="1:29" s="864" customFormat="1" ht="21" customHeight="1" thickBot="1" x14ac:dyDescent="0.3">
      <c r="A63" s="871"/>
      <c r="B63" s="243"/>
      <c r="C63" s="145"/>
      <c r="D63" s="977" t="s">
        <v>523</v>
      </c>
      <c r="E63" s="978">
        <f t="shared" si="2"/>
        <v>0</v>
      </c>
      <c r="F63" s="874" t="s">
        <v>1408</v>
      </c>
      <c r="G63" s="1039"/>
      <c r="H63" s="573"/>
      <c r="I63" s="967" t="str">
        <f>IF(E55="Yes",IF(AND(G63&lt;&gt;"",G64="",G65="",I62&lt;&gt;999999999.99),999999999.99,IF(G64&lt;&gt;"",G64-0.01,"")),"")</f>
        <v/>
      </c>
      <c r="J63" s="145"/>
      <c r="K63" s="1040"/>
      <c r="L63" s="145"/>
      <c r="M63" s="1381"/>
      <c r="N63" s="713"/>
      <c r="O63" s="713"/>
      <c r="P63" s="190"/>
      <c r="Q63" s="179"/>
      <c r="R63" s="177"/>
      <c r="S63" s="613"/>
      <c r="T63" s="177"/>
      <c r="U63" s="177"/>
      <c r="V63" s="177"/>
      <c r="W63" s="177"/>
      <c r="X63" s="177"/>
      <c r="Y63" s="177"/>
      <c r="Z63" s="177"/>
      <c r="AA63" s="177"/>
      <c r="AB63" s="177"/>
      <c r="AC63" s="177"/>
    </row>
    <row r="64" spans="1:29" s="864" customFormat="1" ht="21" hidden="1" customHeight="1" thickBot="1" x14ac:dyDescent="0.3">
      <c r="A64" s="871"/>
      <c r="B64" s="243"/>
      <c r="C64" s="145"/>
      <c r="D64" s="977" t="s">
        <v>1409</v>
      </c>
      <c r="E64" s="978">
        <f t="shared" si="2"/>
        <v>0</v>
      </c>
      <c r="F64" s="874" t="s">
        <v>1410</v>
      </c>
      <c r="G64" s="1039"/>
      <c r="H64" s="573"/>
      <c r="I64" s="967" t="str">
        <f>IF(E55="Yes",IF(AND(G64&lt;&gt;"",G65="",I63&lt;&gt;999999999.99),999999999.99,IF(G65&lt;&gt;"",G65-0.01,"")),"")</f>
        <v/>
      </c>
      <c r="J64" s="145"/>
      <c r="K64" s="1040"/>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0"/>
      <c r="B65" s="243"/>
      <c r="C65" s="41"/>
      <c r="D65" s="977" t="s">
        <v>1411</v>
      </c>
      <c r="E65" s="978">
        <f t="shared" si="2"/>
        <v>0</v>
      </c>
      <c r="F65" s="874" t="s">
        <v>1412</v>
      </c>
      <c r="G65" s="1039"/>
      <c r="H65" s="573"/>
      <c r="I65" s="967" t="str">
        <f>IF(E55="Yes",IF(AND(G65&lt;&gt;"",I64&lt;&gt;999999999.99),999999999.99,""),"")</f>
        <v/>
      </c>
      <c r="J65" s="41"/>
      <c r="K65" s="1040"/>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0"/>
      <c r="B66" s="245"/>
      <c r="C66" s="223"/>
      <c r="D66" s="982"/>
      <c r="E66" s="198"/>
      <c r="F66" s="199"/>
      <c r="G66" s="222"/>
      <c r="H66" s="201"/>
      <c r="I66" s="632">
        <f>COUNTIF($I$61:$I$65,"&gt;.03")</f>
        <v>0</v>
      </c>
      <c r="J66" s="223"/>
      <c r="K66" s="88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3"/>
      <c r="E67" s="881"/>
      <c r="F67" s="207"/>
      <c r="G67" s="882"/>
      <c r="H67" s="209"/>
      <c r="I67" s="883"/>
      <c r="K67" s="884"/>
      <c r="M67" s="885"/>
      <c r="N67" s="885"/>
      <c r="O67" s="885"/>
      <c r="P67" s="141"/>
      <c r="Q67" s="551"/>
      <c r="S67" s="614"/>
    </row>
    <row r="68" spans="1:29" s="864" customFormat="1" ht="21.75" hidden="1" customHeight="1" thickBot="1" x14ac:dyDescent="0.3">
      <c r="A68" s="871"/>
      <c r="B68" s="248"/>
      <c r="C68" s="184"/>
      <c r="D68" s="1583" t="s">
        <v>520</v>
      </c>
      <c r="E68" s="1583"/>
      <c r="F68" s="213"/>
      <c r="G68" s="214"/>
      <c r="H68" s="865"/>
      <c r="I68" s="215"/>
      <c r="J68" s="184"/>
      <c r="K68" s="216"/>
      <c r="L68" s="184"/>
      <c r="M68" s="217"/>
      <c r="N68" s="217"/>
      <c r="O68" s="1575" t="str">
        <f>IF(COUNTIF($K$75:$K$79,"&gt;.03")&gt;0,"***Warning:You have entered an Rate % of Sales above the recommended 3%***","")</f>
        <v/>
      </c>
      <c r="P68" s="1576"/>
      <c r="Q68" s="179"/>
      <c r="R68" s="177"/>
      <c r="S68" s="613"/>
      <c r="T68" s="177"/>
      <c r="U68" s="177"/>
      <c r="V68" s="177"/>
      <c r="W68" s="177"/>
      <c r="X68" s="177"/>
      <c r="Y68" s="177"/>
      <c r="Z68" s="177"/>
      <c r="AA68" s="177"/>
      <c r="AB68" s="177"/>
      <c r="AC68" s="177"/>
    </row>
    <row r="69" spans="1:29" s="864" customFormat="1" ht="18" hidden="1" customHeight="1" thickBot="1" x14ac:dyDescent="0.3">
      <c r="A69" s="871"/>
      <c r="B69" s="243"/>
      <c r="C69" s="145"/>
      <c r="D69" s="979" t="s">
        <v>524</v>
      </c>
      <c r="E69" s="892" t="s">
        <v>649</v>
      </c>
      <c r="F69" s="196"/>
      <c r="G69" s="228" t="s">
        <v>1397</v>
      </c>
      <c r="H69" s="573"/>
      <c r="I69" s="228" t="s">
        <v>1398</v>
      </c>
      <c r="J69" s="41"/>
      <c r="K69" s="228" t="s">
        <v>837</v>
      </c>
      <c r="L69" s="145"/>
      <c r="M69" s="194" t="s">
        <v>1399</v>
      </c>
      <c r="N69" s="218"/>
      <c r="O69" s="1577"/>
      <c r="P69" s="1578"/>
      <c r="Q69" s="179"/>
      <c r="R69" s="177"/>
      <c r="S69" s="613"/>
      <c r="T69" s="177"/>
      <c r="U69" s="177"/>
      <c r="V69" s="177"/>
      <c r="W69" s="177"/>
      <c r="X69" s="177"/>
      <c r="Y69" s="177"/>
      <c r="Z69" s="177"/>
      <c r="AA69" s="177"/>
      <c r="AB69" s="177"/>
      <c r="AC69" s="177"/>
    </row>
    <row r="70" spans="1:29" s="864" customFormat="1" ht="32.25" hidden="1" customHeight="1" thickBot="1" x14ac:dyDescent="0.3">
      <c r="A70" s="871"/>
      <c r="B70" s="243"/>
      <c r="C70" s="145"/>
      <c r="D70" s="872" t="s">
        <v>1400</v>
      </c>
      <c r="E70" s="1299" t="s">
        <v>1401</v>
      </c>
      <c r="F70" s="219"/>
      <c r="G70" s="1297"/>
      <c r="H70" s="573"/>
      <c r="I70" s="1038"/>
      <c r="J70" s="145"/>
      <c r="K70" s="1038"/>
      <c r="L70" s="145"/>
      <c r="M70" s="1448"/>
      <c r="N70" s="218"/>
      <c r="O70" s="1577"/>
      <c r="P70" s="1578"/>
      <c r="Q70" s="179"/>
      <c r="R70" s="177"/>
      <c r="S70" s="613"/>
      <c r="T70" s="177"/>
      <c r="U70" s="177"/>
      <c r="V70" s="177"/>
      <c r="W70" s="177"/>
      <c r="X70" s="177"/>
      <c r="Y70" s="177"/>
      <c r="Z70" s="177"/>
      <c r="AA70" s="177"/>
      <c r="AB70" s="177"/>
      <c r="AC70" s="177"/>
    </row>
    <row r="71" spans="1:29" s="864" customFormat="1" ht="18" hidden="1" customHeight="1" thickBot="1" x14ac:dyDescent="0.3">
      <c r="A71" s="871"/>
      <c r="B71" s="243"/>
      <c r="C71" s="145"/>
      <c r="D71" s="7"/>
      <c r="E71" s="940"/>
      <c r="F71" s="219"/>
      <c r="G71" s="573"/>
      <c r="H71" s="573"/>
      <c r="I71" s="220"/>
      <c r="J71" s="145"/>
      <c r="K71" s="145"/>
      <c r="L71" s="145"/>
      <c r="M71" s="145"/>
      <c r="N71" s="145"/>
      <c r="O71" s="1577"/>
      <c r="P71" s="1578"/>
      <c r="Q71" s="179"/>
      <c r="R71" s="177"/>
      <c r="S71" s="613" t="str">
        <f>IF($E71="NO","",IF($I70="Select Payment Method","X",""))</f>
        <v/>
      </c>
      <c r="T71" s="177"/>
      <c r="U71" s="177"/>
      <c r="V71" s="177"/>
      <c r="W71" s="177"/>
      <c r="X71" s="177"/>
      <c r="Y71" s="177"/>
      <c r="Z71" s="177"/>
      <c r="AA71" s="177"/>
      <c r="AB71" s="177"/>
      <c r="AC71" s="177"/>
    </row>
    <row r="72" spans="1:29" s="864" customFormat="1" ht="18" hidden="1" customHeight="1" thickBot="1" x14ac:dyDescent="0.3">
      <c r="A72" s="871"/>
      <c r="B72" s="243"/>
      <c r="C72" s="145"/>
      <c r="D72" s="879" t="s">
        <v>1402</v>
      </c>
      <c r="E72" s="1390" t="str">
        <f>IF(E69="Yes",IF(Welcome!$D$6="New",IF('Required Info to Submit'!F$14="","",'Required Info to Submit'!F$14),""),"")</f>
        <v/>
      </c>
      <c r="F72" s="192"/>
      <c r="G72" s="193" t="s">
        <v>717</v>
      </c>
      <c r="H72" s="573"/>
      <c r="I72" s="195"/>
      <c r="J72" s="145"/>
      <c r="K72" s="195"/>
      <c r="L72" s="145"/>
      <c r="M72" s="188"/>
      <c r="N72" s="188"/>
      <c r="O72" s="1577"/>
      <c r="P72" s="1578"/>
      <c r="Q72" s="179"/>
      <c r="R72" s="177"/>
      <c r="S72" s="613"/>
      <c r="T72" s="177"/>
      <c r="U72" s="177"/>
      <c r="V72" s="177"/>
      <c r="W72" s="177"/>
      <c r="X72" s="177"/>
      <c r="Y72" s="177"/>
      <c r="Z72" s="177"/>
      <c r="AA72" s="177"/>
      <c r="AB72" s="177"/>
      <c r="AC72" s="177"/>
    </row>
    <row r="73" spans="1:29" s="864" customFormat="1" ht="18" hidden="1" customHeight="1" thickBot="1" x14ac:dyDescent="0.3">
      <c r="A73" s="871"/>
      <c r="B73" s="243"/>
      <c r="C73" s="145"/>
      <c r="D73" s="879" t="s">
        <v>1403</v>
      </c>
      <c r="E73" s="1390" t="str">
        <f>IF(E69="Yes",IF(Welcome!$D$6="New",IF('Required Info to Submit'!F$17="","",'Required Info to Submit'!F$17),""),"")</f>
        <v/>
      </c>
      <c r="F73" s="196"/>
      <c r="G73" s="970">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4" customFormat="1" ht="18" hidden="1" customHeight="1" thickBot="1" x14ac:dyDescent="0.3">
      <c r="A74" s="871"/>
      <c r="B74" s="243"/>
      <c r="C74" s="145"/>
      <c r="D74" s="984"/>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4" customFormat="1" ht="18" hidden="1" customHeight="1" thickBot="1" x14ac:dyDescent="0.3">
      <c r="A75" s="871"/>
      <c r="B75" s="243"/>
      <c r="C75" s="145"/>
      <c r="D75" s="977" t="s">
        <v>521</v>
      </c>
      <c r="E75" s="978">
        <f>IFERROR(IF(G75="",0,(G75-$G$59)/$G$59),"")</f>
        <v>0</v>
      </c>
      <c r="F75" s="874" t="s">
        <v>1003</v>
      </c>
      <c r="G75" s="1039"/>
      <c r="H75" s="573"/>
      <c r="I75" s="967" t="str">
        <f>IF(E69="Yes",IF(AND(G75&lt;&gt;"",G76="",G77="",G78="",G79=""),999999999.99,IF(G76&lt;&gt;"",G76-0.01,"")),"")</f>
        <v/>
      </c>
      <c r="J75" s="875" t="str">
        <f>IF($E$57="YES","**Tier 1 used for modeling purposes**","")</f>
        <v/>
      </c>
      <c r="K75" s="1040"/>
      <c r="L75" s="876"/>
      <c r="M75" s="197"/>
      <c r="N75" s="197"/>
      <c r="O75" s="969">
        <f>IF(E69="Yes",IF(G76=0,K75*H$10,IF(OR(G76&lt;G73,G76=G73),K76*H$10,K75*H$10)),0)</f>
        <v>0</v>
      </c>
      <c r="P75" s="190"/>
      <c r="Q75" s="179"/>
      <c r="R75" s="177"/>
      <c r="S75" s="613"/>
      <c r="T75" s="177"/>
      <c r="U75" s="177"/>
      <c r="V75" s="177"/>
      <c r="W75" s="177"/>
      <c r="X75" s="177"/>
      <c r="Y75" s="177"/>
      <c r="Z75" s="177"/>
      <c r="AA75" s="177"/>
      <c r="AB75" s="177"/>
      <c r="AC75" s="177"/>
    </row>
    <row r="76" spans="1:29" s="864" customFormat="1" ht="18" hidden="1" customHeight="1" thickBot="1" x14ac:dyDescent="0.3">
      <c r="A76" s="871"/>
      <c r="B76" s="243"/>
      <c r="C76" s="145"/>
      <c r="D76" s="977" t="s">
        <v>522</v>
      </c>
      <c r="E76" s="978">
        <f t="shared" ref="E76:E79" si="3">IFERROR(IF(G76="",0,(G76-$G$59)/$G$59),"")</f>
        <v>0</v>
      </c>
      <c r="F76" s="874" t="s">
        <v>1407</v>
      </c>
      <c r="G76" s="1039"/>
      <c r="H76" s="573"/>
      <c r="I76" s="967" t="str">
        <f>IF(E69="Yes",IF(AND(G76&lt;&gt;"",G77="",G78="",G79="",I75&lt;&gt;999999999.99),999999999.99,IF(G77&lt;&gt;"",G77-0.01,"")),"")</f>
        <v/>
      </c>
      <c r="J76" s="145"/>
      <c r="K76" s="1040"/>
      <c r="L76" s="145"/>
      <c r="M76" s="713"/>
      <c r="N76" s="713"/>
      <c r="O76" s="713"/>
      <c r="P76" s="190"/>
      <c r="Q76" s="179"/>
      <c r="R76" s="177"/>
      <c r="S76" s="613"/>
      <c r="T76" s="177"/>
      <c r="U76" s="177"/>
      <c r="V76" s="177"/>
      <c r="W76" s="177"/>
      <c r="X76" s="177"/>
      <c r="Y76" s="177"/>
      <c r="Z76" s="177"/>
      <c r="AA76" s="177"/>
      <c r="AB76" s="177"/>
      <c r="AC76" s="177"/>
    </row>
    <row r="77" spans="1:29" s="864" customFormat="1" ht="18" hidden="1" customHeight="1" thickBot="1" x14ac:dyDescent="0.3">
      <c r="A77" s="871"/>
      <c r="B77" s="243"/>
      <c r="C77" s="145"/>
      <c r="D77" s="977" t="s">
        <v>523</v>
      </c>
      <c r="E77" s="978">
        <f t="shared" si="3"/>
        <v>0</v>
      </c>
      <c r="F77" s="874" t="s">
        <v>1408</v>
      </c>
      <c r="G77" s="1039"/>
      <c r="H77" s="573"/>
      <c r="I77" s="967" t="str">
        <f>IF(E69="Yes",IF(AND(G77&lt;&gt;"",G78="",G79="",I76&lt;&gt;999999999.99),999999999.99,IF(G78&lt;&gt;"",G78-0.01,"")),"")</f>
        <v/>
      </c>
      <c r="J77" s="145"/>
      <c r="K77" s="1040"/>
      <c r="L77" s="145"/>
      <c r="M77" s="713"/>
      <c r="N77" s="713"/>
      <c r="O77" s="713"/>
      <c r="P77" s="190"/>
      <c r="Q77" s="179"/>
      <c r="R77" s="177"/>
      <c r="S77" s="613"/>
      <c r="T77" s="177"/>
      <c r="U77" s="177"/>
      <c r="V77" s="177"/>
      <c r="W77" s="177"/>
      <c r="X77" s="177"/>
      <c r="Y77" s="177"/>
      <c r="Z77" s="177"/>
      <c r="AA77" s="177"/>
      <c r="AB77" s="177"/>
      <c r="AC77" s="177"/>
    </row>
    <row r="78" spans="1:29" s="864" customFormat="1" ht="18" hidden="1" customHeight="1" thickBot="1" x14ac:dyDescent="0.3">
      <c r="A78" s="871"/>
      <c r="B78" s="243"/>
      <c r="C78" s="145"/>
      <c r="D78" s="977" t="s">
        <v>1409</v>
      </c>
      <c r="E78" s="978">
        <f t="shared" si="3"/>
        <v>0</v>
      </c>
      <c r="F78" s="874" t="s">
        <v>1410</v>
      </c>
      <c r="G78" s="1039"/>
      <c r="H78" s="573"/>
      <c r="I78" s="967" t="str">
        <f>IF(E69="Yes",IF(AND(G78&lt;&gt;"",G79="",I77&lt;&gt;999999999.99),999999999.99,IF(G79&lt;&gt;"",G79-0.01,"")),"")</f>
        <v/>
      </c>
      <c r="J78" s="145"/>
      <c r="K78" s="1040"/>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0"/>
      <c r="B79" s="243"/>
      <c r="C79" s="41"/>
      <c r="D79" s="977" t="s">
        <v>1411</v>
      </c>
      <c r="E79" s="978">
        <f t="shared" si="3"/>
        <v>0</v>
      </c>
      <c r="F79" s="874" t="s">
        <v>1412</v>
      </c>
      <c r="G79" s="1039"/>
      <c r="H79" s="573"/>
      <c r="I79" s="967" t="str">
        <f>IF(E69="Yes",IF(AND(G79&lt;&gt;"",I78&lt;&gt;999999999.99),999999999.99,""),"")</f>
        <v/>
      </c>
      <c r="J79" s="41"/>
      <c r="K79" s="1040"/>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0"/>
      <c r="B80" s="245"/>
      <c r="C80" s="223"/>
      <c r="D80" s="982"/>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3"/>
      <c r="E81" s="881"/>
      <c r="F81" s="207"/>
      <c r="G81" s="882"/>
      <c r="H81" s="209"/>
      <c r="I81" s="883"/>
      <c r="K81" s="884"/>
      <c r="M81" s="885"/>
      <c r="N81" s="885"/>
      <c r="O81" s="885"/>
      <c r="P81" s="141"/>
      <c r="Q81" s="551"/>
      <c r="S81" s="614"/>
    </row>
    <row r="82" spans="1:29" ht="21" customHeight="1" thickBot="1" x14ac:dyDescent="0.3">
      <c r="A82" s="880"/>
      <c r="B82" s="248"/>
      <c r="C82" s="226"/>
      <c r="D82" s="1583" t="s">
        <v>526</v>
      </c>
      <c r="E82" s="1583"/>
      <c r="F82" s="213"/>
      <c r="G82" s="225"/>
      <c r="H82" s="865"/>
      <c r="I82" s="215"/>
      <c r="J82" s="226"/>
      <c r="K82" s="216"/>
      <c r="L82" s="226"/>
      <c r="M82" s="217"/>
      <c r="N82" s="217"/>
      <c r="O82" s="1575" t="str">
        <f>IF(COUNTIF($K$89:$K$93,"&gt;.03")&gt;0,"***Warning:You have entered an Rate % of Sales above the recommended 3%***","")</f>
        <v/>
      </c>
      <c r="P82" s="1576"/>
      <c r="Q82" s="138"/>
      <c r="R82" s="134"/>
      <c r="S82" s="614"/>
      <c r="T82" s="134"/>
      <c r="U82" s="134"/>
      <c r="V82" s="134"/>
      <c r="W82" s="134"/>
      <c r="X82" s="134"/>
      <c r="Y82" s="134"/>
      <c r="Z82" s="134"/>
      <c r="AA82" s="134"/>
      <c r="AB82" s="134"/>
      <c r="AC82" s="134"/>
    </row>
    <row r="83" spans="1:29" ht="18" customHeight="1" thickBot="1" x14ac:dyDescent="0.3">
      <c r="A83" s="880"/>
      <c r="B83" s="243"/>
      <c r="C83" s="41"/>
      <c r="D83" s="979" t="s">
        <v>524</v>
      </c>
      <c r="E83" s="892" t="s">
        <v>649</v>
      </c>
      <c r="F83" s="41"/>
      <c r="G83" s="228" t="s">
        <v>1397</v>
      </c>
      <c r="H83" s="573"/>
      <c r="I83" s="228" t="s">
        <v>1398</v>
      </c>
      <c r="J83" s="41"/>
      <c r="K83" s="228" t="s">
        <v>837</v>
      </c>
      <c r="L83" s="145"/>
      <c r="M83" s="194" t="s">
        <v>1399</v>
      </c>
      <c r="N83" s="218"/>
      <c r="O83" s="1577"/>
      <c r="P83" s="1578"/>
      <c r="Q83" s="138"/>
      <c r="R83" s="134"/>
      <c r="S83" s="614"/>
      <c r="T83" s="134"/>
      <c r="U83" s="134"/>
      <c r="V83" s="134"/>
      <c r="W83" s="134"/>
      <c r="X83" s="134"/>
      <c r="Y83" s="134"/>
      <c r="Z83" s="134"/>
      <c r="AA83" s="134"/>
      <c r="AB83" s="134"/>
      <c r="AC83" s="134"/>
    </row>
    <row r="84" spans="1:29" ht="18" customHeight="1" thickBot="1" x14ac:dyDescent="0.3">
      <c r="A84" s="880"/>
      <c r="B84" s="243"/>
      <c r="C84" s="41"/>
      <c r="D84" s="872" t="s">
        <v>1400</v>
      </c>
      <c r="E84" s="949" t="s">
        <v>1401</v>
      </c>
      <c r="F84" s="41"/>
      <c r="G84" s="1038"/>
      <c r="H84" s="573"/>
      <c r="I84" s="1038"/>
      <c r="J84" s="145"/>
      <c r="K84" s="1038"/>
      <c r="L84" s="145"/>
      <c r="M84" s="1448"/>
      <c r="N84" s="218"/>
      <c r="O84" s="1577"/>
      <c r="P84" s="1578"/>
      <c r="Q84" s="138"/>
      <c r="R84" s="432"/>
      <c r="S84" s="614"/>
      <c r="T84" s="134"/>
      <c r="U84" s="134"/>
      <c r="V84" s="134"/>
      <c r="W84" s="134"/>
      <c r="X84" s="134"/>
      <c r="Y84" s="134"/>
      <c r="Z84" s="134"/>
      <c r="AA84" s="134"/>
      <c r="AB84" s="134"/>
      <c r="AC84" s="134"/>
    </row>
    <row r="85" spans="1:29" ht="18" customHeight="1" thickBot="1" x14ac:dyDescent="0.3">
      <c r="A85" s="880"/>
      <c r="B85" s="243"/>
      <c r="C85" s="41"/>
      <c r="D85" s="7"/>
      <c r="E85" s="617"/>
      <c r="F85" s="41"/>
      <c r="G85" s="41"/>
      <c r="H85" s="41"/>
      <c r="I85" s="227"/>
      <c r="J85" s="41"/>
      <c r="K85" s="41"/>
      <c r="L85" s="41"/>
      <c r="M85" s="41"/>
      <c r="N85" s="41"/>
      <c r="O85" s="1577"/>
      <c r="P85" s="1578"/>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0"/>
      <c r="B86" s="243"/>
      <c r="C86" s="41"/>
      <c r="D86" s="879" t="s">
        <v>1402</v>
      </c>
      <c r="E86" s="1390" t="str">
        <f>IF(E83="Yes",IF(Welcome!$D$6="New",IF('Required Info to Submit'!F$14="","",'Required Info to Submit'!F$14),""),"")</f>
        <v/>
      </c>
      <c r="F86" s="41"/>
      <c r="G86" s="193" t="s">
        <v>1001</v>
      </c>
      <c r="H86" s="41"/>
      <c r="I86" s="41"/>
      <c r="J86" s="41"/>
      <c r="K86" s="41"/>
      <c r="L86" s="41"/>
      <c r="M86" s="41"/>
      <c r="N86" s="41"/>
      <c r="O86" s="1577"/>
      <c r="P86" s="1578"/>
      <c r="Q86" s="138"/>
      <c r="R86" s="134"/>
      <c r="S86" s="613"/>
      <c r="T86" s="134"/>
      <c r="U86" s="134"/>
      <c r="V86" s="134"/>
      <c r="W86" s="134"/>
      <c r="X86" s="134"/>
      <c r="Y86" s="134"/>
      <c r="Z86" s="134"/>
      <c r="AA86" s="134"/>
      <c r="AB86" s="134"/>
      <c r="AC86" s="134"/>
    </row>
    <row r="87" spans="1:29" ht="17.25" customHeight="1" thickBot="1" x14ac:dyDescent="0.3">
      <c r="A87" s="880"/>
      <c r="B87" s="243"/>
      <c r="C87" s="41"/>
      <c r="D87" s="879" t="s">
        <v>1403</v>
      </c>
      <c r="E87" s="1390"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0"/>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0"/>
      <c r="B89" s="243"/>
      <c r="C89" s="41"/>
      <c r="D89" s="280"/>
      <c r="E89" s="436"/>
      <c r="F89" s="874" t="s">
        <v>1003</v>
      </c>
      <c r="G89" s="1041"/>
      <c r="H89" s="188"/>
      <c r="I89" s="968" t="str">
        <f>IF(E83="Yes",IF(AND(G89&lt;&gt;"",G90="",G91="",G92="",G93=""),1,IF(G90&lt;&gt;"",G90-0.0001,"")),"")</f>
        <v/>
      </c>
      <c r="J89" s="875"/>
      <c r="K89" s="1040"/>
      <c r="L89" s="188"/>
      <c r="M89" s="195"/>
      <c r="N89" s="197"/>
      <c r="O89" s="969">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0"/>
      <c r="B90" s="243"/>
      <c r="C90" s="41"/>
      <c r="D90" s="280"/>
      <c r="E90" s="436"/>
      <c r="F90" s="874" t="s">
        <v>1407</v>
      </c>
      <c r="G90" s="1041"/>
      <c r="H90" s="188"/>
      <c r="I90" s="968" t="str">
        <f>IF(E83="Yes",IF(AND(G90&lt;&gt;"",G91="",G92="",G93="",I89&lt;&gt;1),1,IF(G91&lt;&gt;"",G91-0.0001,"")),"")</f>
        <v/>
      </c>
      <c r="J90" s="229"/>
      <c r="K90" s="1040"/>
      <c r="L90" s="188"/>
      <c r="M90" s="197"/>
      <c r="N90" s="713"/>
      <c r="O90" s="713"/>
      <c r="P90" s="221"/>
      <c r="Q90" s="138"/>
      <c r="R90" s="134"/>
      <c r="S90" s="614"/>
      <c r="T90" s="134"/>
      <c r="U90" s="134"/>
      <c r="V90" s="134"/>
      <c r="W90" s="134"/>
      <c r="X90" s="134"/>
      <c r="Y90" s="134"/>
      <c r="Z90" s="134"/>
      <c r="AA90" s="134"/>
      <c r="AB90" s="134"/>
      <c r="AC90" s="134"/>
    </row>
    <row r="91" spans="1:29" x14ac:dyDescent="0.25">
      <c r="A91" s="880"/>
      <c r="B91" s="243"/>
      <c r="C91" s="41"/>
      <c r="D91" s="280"/>
      <c r="E91" s="436"/>
      <c r="F91" s="874" t="s">
        <v>1408</v>
      </c>
      <c r="G91" s="1041"/>
      <c r="H91" s="188"/>
      <c r="I91" s="968" t="str">
        <f>IF(E83="Yes",IF(AND(G91&lt;&gt;"",G92="",G93="",I90&lt;&gt;1),1,IF(G92&lt;&gt;"",G92-0.0001,"")),"")</f>
        <v/>
      </c>
      <c r="J91" s="229"/>
      <c r="K91" s="1040"/>
      <c r="L91" s="188"/>
      <c r="M91" s="889"/>
      <c r="N91" s="713"/>
      <c r="O91" s="713"/>
      <c r="P91" s="221"/>
      <c r="Q91" s="138"/>
      <c r="R91" s="134"/>
      <c r="S91" s="614"/>
      <c r="T91" s="134"/>
      <c r="U91" s="134"/>
      <c r="V91" s="134"/>
      <c r="W91" s="134"/>
      <c r="X91" s="134"/>
      <c r="Y91" s="134"/>
      <c r="Z91" s="134"/>
      <c r="AA91" s="134"/>
      <c r="AB91" s="134"/>
      <c r="AC91" s="134"/>
    </row>
    <row r="92" spans="1:29" ht="17.25" hidden="1" customHeight="1" x14ac:dyDescent="0.25">
      <c r="A92" s="880"/>
      <c r="B92" s="243"/>
      <c r="C92" s="41"/>
      <c r="D92" s="280"/>
      <c r="E92" s="436"/>
      <c r="F92" s="874" t="s">
        <v>1410</v>
      </c>
      <c r="G92" s="1041"/>
      <c r="H92" s="188"/>
      <c r="I92" s="968" t="str">
        <f>IF(E83="Yes",IF(AND(G92&lt;&gt;"",G93="",I91&lt;&gt;1),1,IF(G93&lt;&gt;"",G93-0.0001,"")),"")</f>
        <v/>
      </c>
      <c r="J92" s="229"/>
      <c r="K92" s="1040"/>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0"/>
      <c r="B93" s="243"/>
      <c r="C93" s="41"/>
      <c r="D93" s="280"/>
      <c r="E93" s="436"/>
      <c r="F93" s="874" t="s">
        <v>1412</v>
      </c>
      <c r="G93" s="1041"/>
      <c r="H93" s="188"/>
      <c r="I93" s="968" t="str">
        <f>IF(E83="Yes",IF(AND(G93&lt;&gt;"",I92&lt;&gt;1),1,""),"")</f>
        <v/>
      </c>
      <c r="J93" s="229"/>
      <c r="K93" s="1040"/>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0"/>
      <c r="B94" s="245"/>
      <c r="C94" s="223"/>
      <c r="D94" s="985"/>
      <c r="E94" s="223"/>
      <c r="F94" s="202"/>
      <c r="G94" s="230"/>
      <c r="H94" s="231"/>
      <c r="I94" s="232"/>
      <c r="J94" s="203"/>
      <c r="K94" s="88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0"/>
      <c r="B96" s="248"/>
      <c r="C96" s="226"/>
      <c r="D96" s="1583" t="s">
        <v>526</v>
      </c>
      <c r="E96" s="1583"/>
      <c r="F96" s="213"/>
      <c r="G96" s="225"/>
      <c r="H96" s="865"/>
      <c r="I96" s="215"/>
      <c r="J96" s="226"/>
      <c r="K96" s="216"/>
      <c r="L96" s="226"/>
      <c r="M96" s="217"/>
      <c r="N96" s="217"/>
      <c r="O96" s="1575" t="str">
        <f>IF(COUNTIF($K$103:$K$107,"&gt;.03")&gt;0,"***Warning:You have entered an Rate % of Sales above the recommended 3%***","")</f>
        <v/>
      </c>
      <c r="P96" s="1576"/>
      <c r="Q96" s="138"/>
      <c r="R96" s="134"/>
      <c r="S96" s="614"/>
      <c r="T96" s="134"/>
      <c r="U96" s="134"/>
      <c r="V96" s="134"/>
      <c r="W96" s="134"/>
      <c r="X96" s="134"/>
      <c r="Y96" s="134"/>
      <c r="Z96" s="134"/>
      <c r="AA96" s="134"/>
      <c r="AB96" s="134"/>
      <c r="AC96" s="134"/>
    </row>
    <row r="97" spans="1:29" ht="18" hidden="1" customHeight="1" thickBot="1" x14ac:dyDescent="0.3">
      <c r="A97" s="880"/>
      <c r="B97" s="243"/>
      <c r="C97" s="41"/>
      <c r="D97" s="979" t="s">
        <v>524</v>
      </c>
      <c r="E97" s="892" t="s">
        <v>649</v>
      </c>
      <c r="F97" s="41"/>
      <c r="G97" s="228" t="s">
        <v>1397</v>
      </c>
      <c r="H97" s="573"/>
      <c r="I97" s="228" t="s">
        <v>1398</v>
      </c>
      <c r="J97" s="41"/>
      <c r="K97" s="228" t="s">
        <v>837</v>
      </c>
      <c r="L97" s="145"/>
      <c r="M97" s="194" t="s">
        <v>1399</v>
      </c>
      <c r="N97" s="218"/>
      <c r="O97" s="1577"/>
      <c r="P97" s="1578"/>
      <c r="Q97" s="138"/>
      <c r="R97" s="134"/>
      <c r="S97" s="614"/>
      <c r="T97" s="134"/>
      <c r="U97" s="134"/>
      <c r="V97" s="134"/>
      <c r="W97" s="134"/>
      <c r="X97" s="134"/>
      <c r="Y97" s="134"/>
      <c r="Z97" s="134"/>
      <c r="AA97" s="134"/>
      <c r="AB97" s="134"/>
      <c r="AC97" s="134"/>
    </row>
    <row r="98" spans="1:29" ht="18" hidden="1" customHeight="1" thickBot="1" x14ac:dyDescent="0.3">
      <c r="A98" s="880"/>
      <c r="B98" s="243"/>
      <c r="C98" s="41"/>
      <c r="D98" s="872" t="s">
        <v>1400</v>
      </c>
      <c r="E98" s="1299" t="s">
        <v>1401</v>
      </c>
      <c r="F98" s="41"/>
      <c r="G98" s="1038"/>
      <c r="H98" s="573"/>
      <c r="I98" s="1038"/>
      <c r="J98" s="145"/>
      <c r="K98" s="1038"/>
      <c r="L98" s="145"/>
      <c r="M98" s="1448"/>
      <c r="N98" s="218"/>
      <c r="O98" s="1577"/>
      <c r="P98" s="1578"/>
      <c r="Q98" s="138"/>
      <c r="R98" s="134"/>
      <c r="S98" s="614"/>
      <c r="T98" s="134"/>
      <c r="U98" s="134"/>
      <c r="V98" s="134"/>
      <c r="W98" s="134"/>
      <c r="X98" s="134"/>
      <c r="Y98" s="134"/>
      <c r="Z98" s="134"/>
      <c r="AA98" s="134"/>
      <c r="AB98" s="134"/>
      <c r="AC98" s="134"/>
    </row>
    <row r="99" spans="1:29" ht="18" hidden="1" customHeight="1" thickBot="1" x14ac:dyDescent="0.3">
      <c r="A99" s="880"/>
      <c r="B99" s="243"/>
      <c r="C99" s="41"/>
      <c r="D99" s="7"/>
      <c r="E99" s="617"/>
      <c r="F99" s="41"/>
      <c r="G99" s="41"/>
      <c r="H99" s="41"/>
      <c r="I99" s="227"/>
      <c r="J99" s="41"/>
      <c r="K99" s="41"/>
      <c r="L99" s="41"/>
      <c r="M99" s="41"/>
      <c r="N99" s="41"/>
      <c r="O99" s="1577"/>
      <c r="P99" s="1578"/>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0"/>
      <c r="B100" s="243"/>
      <c r="C100" s="41"/>
      <c r="D100" s="879" t="s">
        <v>1402</v>
      </c>
      <c r="E100" s="1390" t="str">
        <f>IF(E97="Yes",IF(Welcome!$D$6="New",IF('Required Info to Submit'!F$14="","",'Required Info to Submit'!F$14),""),"")</f>
        <v/>
      </c>
      <c r="F100" s="41"/>
      <c r="G100" s="193" t="s">
        <v>1001</v>
      </c>
      <c r="H100" s="41"/>
      <c r="I100" s="41"/>
      <c r="J100" s="41"/>
      <c r="K100" s="41"/>
      <c r="L100" s="41"/>
      <c r="M100" s="41"/>
      <c r="N100" s="41"/>
      <c r="O100" s="1577"/>
      <c r="P100" s="1578"/>
      <c r="Q100" s="138"/>
      <c r="R100" s="134"/>
      <c r="S100" s="613"/>
      <c r="T100" s="134"/>
      <c r="U100" s="134"/>
      <c r="V100" s="134"/>
      <c r="W100" s="134"/>
      <c r="X100" s="134"/>
      <c r="Y100" s="134"/>
      <c r="Z100" s="134"/>
      <c r="AA100" s="134"/>
      <c r="AB100" s="134"/>
      <c r="AC100" s="134"/>
    </row>
    <row r="101" spans="1:29" ht="18" hidden="1" customHeight="1" thickBot="1" x14ac:dyDescent="0.3">
      <c r="A101" s="880"/>
      <c r="B101" s="243"/>
      <c r="C101" s="41"/>
      <c r="D101" s="879" t="s">
        <v>1403</v>
      </c>
      <c r="E101" s="1390"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0"/>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0"/>
      <c r="B103" s="243"/>
      <c r="C103" s="41"/>
      <c r="D103" s="280"/>
      <c r="E103" s="436"/>
      <c r="F103" s="874" t="s">
        <v>1003</v>
      </c>
      <c r="G103" s="1041"/>
      <c r="H103" s="188"/>
      <c r="I103" s="1040" t="str">
        <f>IF(E97="Yes",IF(AND(G103&lt;&gt;"",G104="",G105="",G106="",G107=""),1,IF(G104&lt;&gt;"",G104-0.0001,"")),"")</f>
        <v/>
      </c>
      <c r="J103" s="875" t="str">
        <f>IF($E$85="YES","**Tier 1 payout used for modeling purposes**","")</f>
        <v/>
      </c>
      <c r="K103" s="1040"/>
      <c r="L103" s="188"/>
      <c r="M103" s="195"/>
      <c r="N103" s="197"/>
      <c r="O103" s="969">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0"/>
      <c r="B104" s="243"/>
      <c r="C104" s="41"/>
      <c r="D104" s="280"/>
      <c r="E104" s="436"/>
      <c r="F104" s="874" t="s">
        <v>1407</v>
      </c>
      <c r="G104" s="1041"/>
      <c r="H104" s="188"/>
      <c r="I104" s="1027" t="str">
        <f>IF(E97="Yes",IF(AND(G104&lt;&gt;"",G105="",G106="",G107="",I103&lt;&gt;1),1,IF(G105&lt;&gt;"",G105-0.0001,"")),"")</f>
        <v/>
      </c>
      <c r="J104" s="229"/>
      <c r="K104" s="1040"/>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0"/>
      <c r="B105" s="243"/>
      <c r="C105" s="41"/>
      <c r="D105" s="280"/>
      <c r="E105" s="436"/>
      <c r="F105" s="874" t="s">
        <v>1408</v>
      </c>
      <c r="G105" s="1041"/>
      <c r="H105" s="188"/>
      <c r="I105" s="1027" t="str">
        <f>IF(E97="Yes",IF(AND(G105&lt;&gt;"",G106="",G107="",I104&lt;&gt;1),1,IF(G106&lt;&gt;"",G106-0.0001,"")),"")</f>
        <v/>
      </c>
      <c r="J105" s="229"/>
      <c r="K105" s="1040"/>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0"/>
      <c r="B106" s="243"/>
      <c r="C106" s="41"/>
      <c r="D106" s="280"/>
      <c r="E106" s="436"/>
      <c r="F106" s="874" t="s">
        <v>1410</v>
      </c>
      <c r="G106" s="1041"/>
      <c r="H106" s="188"/>
      <c r="I106" s="1027" t="str">
        <f>IF(E97="Yes",IF(AND(G106&lt;&gt;"",G107="",I105&lt;&gt;1),1,IF(G107&lt;&gt;"",G107-0.0001,"")),"")</f>
        <v/>
      </c>
      <c r="J106" s="229"/>
      <c r="K106" s="1040"/>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0"/>
      <c r="B107" s="243"/>
      <c r="C107" s="41"/>
      <c r="D107" s="280"/>
      <c r="E107" s="436"/>
      <c r="F107" s="874" t="s">
        <v>1412</v>
      </c>
      <c r="G107" s="1041"/>
      <c r="H107" s="188"/>
      <c r="I107" s="1027" t="str">
        <f>IF(E97="Yes",IF(AND(G107&lt;&gt;"",I106&lt;&gt;1),1,""),"")</f>
        <v/>
      </c>
      <c r="J107" s="229"/>
      <c r="K107" s="1040"/>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0"/>
      <c r="B108" s="245"/>
      <c r="C108" s="223"/>
      <c r="D108" s="985"/>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3" t="s">
        <v>1111</v>
      </c>
      <c r="E110" s="1583"/>
      <c r="F110" s="213"/>
      <c r="G110" s="235"/>
      <c r="H110" s="183"/>
      <c r="I110" s="236"/>
      <c r="J110" s="216"/>
      <c r="K110" s="217"/>
      <c r="L110" s="183"/>
      <c r="M110" s="217"/>
      <c r="N110" s="1575" t="str">
        <f>IF(COUNTIF($K$115,"&gt;.02")&gt;0,"***Warning:You have entered an Rate % of Sales above the recommended amount.Rate % of Sales should be between 0% and 2%***","")</f>
        <v/>
      </c>
      <c r="O110" s="1575"/>
      <c r="P110" s="1576"/>
      <c r="Q110" s="138"/>
      <c r="R110" s="134"/>
      <c r="S110" s="614"/>
      <c r="T110" s="134"/>
      <c r="U110" s="134"/>
      <c r="V110" s="134"/>
      <c r="W110" s="134"/>
      <c r="X110" s="134"/>
      <c r="Y110" s="134"/>
      <c r="Z110" s="134"/>
      <c r="AA110" s="134"/>
      <c r="AB110" s="134"/>
      <c r="AC110" s="134"/>
    </row>
    <row r="111" spans="1:29" ht="18" customHeight="1" thickBot="1" x14ac:dyDescent="0.3">
      <c r="B111" s="243"/>
      <c r="C111" s="41"/>
      <c r="D111" s="979" t="s">
        <v>524</v>
      </c>
      <c r="E111" s="892" t="s">
        <v>649</v>
      </c>
      <c r="F111" s="239"/>
      <c r="G111" s="228" t="s">
        <v>1397</v>
      </c>
      <c r="H111" s="573"/>
      <c r="I111" s="228" t="s">
        <v>1398</v>
      </c>
      <c r="J111" s="41"/>
      <c r="K111" s="228" t="s">
        <v>837</v>
      </c>
      <c r="L111" s="145"/>
      <c r="M111" s="194" t="s">
        <v>1399</v>
      </c>
      <c r="N111" s="1577"/>
      <c r="O111" s="1577"/>
      <c r="P111" s="1578"/>
      <c r="Q111" s="138"/>
      <c r="R111" s="134"/>
      <c r="S111" s="614"/>
      <c r="T111" s="134"/>
      <c r="U111" s="134"/>
      <c r="V111" s="134"/>
      <c r="W111" s="134"/>
      <c r="X111" s="134"/>
      <c r="Y111" s="134"/>
      <c r="Z111" s="134"/>
      <c r="AA111" s="134"/>
      <c r="AB111" s="134"/>
      <c r="AC111" s="134"/>
    </row>
    <row r="112" spans="1:29" ht="18" customHeight="1" thickBot="1" x14ac:dyDescent="0.3">
      <c r="B112" s="243"/>
      <c r="C112" s="41"/>
      <c r="D112" s="872" t="s">
        <v>1400</v>
      </c>
      <c r="E112" s="1299" t="s">
        <v>1401</v>
      </c>
      <c r="F112" s="196"/>
      <c r="G112" s="1038"/>
      <c r="H112" s="573"/>
      <c r="I112" s="1038"/>
      <c r="J112" s="145"/>
      <c r="K112" s="1038"/>
      <c r="L112" s="145"/>
      <c r="M112" s="1448"/>
      <c r="N112" s="1577"/>
      <c r="O112" s="1577"/>
      <c r="P112" s="1578"/>
      <c r="Q112" s="138"/>
      <c r="R112" s="134"/>
      <c r="S112" s="614"/>
      <c r="T112" s="886"/>
      <c r="U112" s="134"/>
      <c r="V112" s="134"/>
      <c r="W112" s="134"/>
      <c r="X112" s="134"/>
      <c r="Y112" s="134"/>
      <c r="Z112" s="134"/>
      <c r="AA112" s="134"/>
      <c r="AB112" s="134"/>
      <c r="AC112" s="134"/>
    </row>
    <row r="113" spans="2:29" ht="18" customHeight="1" thickBot="1" x14ac:dyDescent="0.3">
      <c r="B113" s="243"/>
      <c r="C113" s="41"/>
      <c r="D113" s="986"/>
      <c r="E113" s="41"/>
      <c r="F113" s="145"/>
      <c r="G113" s="237"/>
      <c r="H113" s="188"/>
      <c r="I113" s="238"/>
      <c r="J113" s="197"/>
      <c r="K113" s="218"/>
      <c r="L113" s="188"/>
      <c r="M113" s="218"/>
      <c r="N113" s="1577"/>
      <c r="O113" s="1577"/>
      <c r="P113" s="1578"/>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79" t="s">
        <v>1402</v>
      </c>
      <c r="E114" s="1390"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79" t="s">
        <v>1403</v>
      </c>
      <c r="E115" s="1390" t="str">
        <f>IF(E111="Yes",IF(Welcome!$D$6="New",IF($E$114="","",$E$114+370),""),"")</f>
        <v/>
      </c>
      <c r="F115" s="874" t="str">
        <f>'Incentives Worksheet'!G245</f>
        <v>Weekly Baseline</v>
      </c>
      <c r="G115" s="1043"/>
      <c r="H115" s="188"/>
      <c r="I115" s="972" t="str">
        <f>IF(E111="Yes",999999999.99,"")</f>
        <v/>
      </c>
      <c r="J115" s="229"/>
      <c r="K115" s="1040"/>
      <c r="L115" s="188"/>
      <c r="M115" s="195"/>
      <c r="N115" s="197"/>
      <c r="O115" s="969">
        <f>IF(E111="No",0,IF((($H$10-(G115*52))*K115)&lt;0,0,(($H$10-(G115*52))*K115)))</f>
        <v>0</v>
      </c>
      <c r="P115" s="221"/>
      <c r="Q115" s="138"/>
      <c r="R115" s="863"/>
      <c r="S115" s="615"/>
    </row>
    <row r="116" spans="2:29" ht="21" customHeight="1" x14ac:dyDescent="0.25">
      <c r="B116" s="245"/>
      <c r="C116" s="223"/>
      <c r="D116" s="985"/>
      <c r="E116" s="223"/>
      <c r="F116" s="223"/>
      <c r="G116" s="669"/>
      <c r="H116" s="223"/>
      <c r="I116" s="240"/>
      <c r="J116" s="223"/>
      <c r="K116" s="223"/>
      <c r="L116" s="223"/>
      <c r="M116" s="223"/>
      <c r="N116" s="223"/>
      <c r="O116" s="223"/>
      <c r="P116" s="224"/>
      <c r="Q116" s="138"/>
      <c r="R116" s="86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2" customFormat="1" ht="20.25" hidden="1" customHeight="1" thickBot="1" x14ac:dyDescent="0.3">
      <c r="B118" s="248"/>
      <c r="C118" s="226"/>
      <c r="D118" s="1583" t="s">
        <v>1111</v>
      </c>
      <c r="E118" s="1583"/>
      <c r="F118" s="213"/>
      <c r="G118" s="235"/>
      <c r="H118" s="183"/>
      <c r="I118" s="236"/>
      <c r="J118" s="216"/>
      <c r="K118" s="217"/>
      <c r="L118" s="183"/>
      <c r="M118" s="217"/>
      <c r="N118" s="1575" t="str">
        <f>IF(COUNTIF($K$123,"&gt;.02")&gt;0,"***Warning:You have entered an Rate % of Sales above the recommended amount.Rate % of Sales should be between 0% and 2%***","")</f>
        <v/>
      </c>
      <c r="O118" s="1575"/>
      <c r="P118" s="1576"/>
      <c r="Q118" s="138"/>
      <c r="R118" s="134"/>
      <c r="S118" s="614"/>
      <c r="T118" s="134"/>
      <c r="U118" s="134"/>
      <c r="V118" s="134"/>
      <c r="W118" s="134"/>
      <c r="X118" s="134"/>
      <c r="Y118" s="134"/>
      <c r="Z118" s="134"/>
      <c r="AA118" s="134"/>
      <c r="AB118" s="134"/>
      <c r="AC118" s="134"/>
    </row>
    <row r="119" spans="2:29" s="1092" customFormat="1" ht="18" hidden="1" customHeight="1" thickBot="1" x14ac:dyDescent="0.3">
      <c r="B119" s="243"/>
      <c r="C119" s="41"/>
      <c r="D119" s="979" t="s">
        <v>524</v>
      </c>
      <c r="E119" s="892" t="s">
        <v>649</v>
      </c>
      <c r="F119" s="239"/>
      <c r="G119" s="228" t="s">
        <v>1397</v>
      </c>
      <c r="H119" s="573"/>
      <c r="I119" s="228" t="s">
        <v>1398</v>
      </c>
      <c r="J119" s="41"/>
      <c r="K119" s="228" t="s">
        <v>837</v>
      </c>
      <c r="L119" s="940"/>
      <c r="M119" s="194" t="s">
        <v>1399</v>
      </c>
      <c r="N119" s="1577"/>
      <c r="O119" s="1577"/>
      <c r="P119" s="1578"/>
      <c r="Q119" s="138"/>
      <c r="R119" s="134"/>
      <c r="S119" s="614"/>
      <c r="T119" s="134"/>
      <c r="U119" s="134"/>
      <c r="V119" s="134"/>
      <c r="W119" s="134"/>
      <c r="X119" s="134"/>
      <c r="Y119" s="134"/>
      <c r="Z119" s="134"/>
      <c r="AA119" s="134"/>
      <c r="AB119" s="134"/>
      <c r="AC119" s="134"/>
    </row>
    <row r="120" spans="2:29" s="1092" customFormat="1" ht="18" hidden="1" customHeight="1" thickBot="1" x14ac:dyDescent="0.3">
      <c r="B120" s="243"/>
      <c r="C120" s="41"/>
      <c r="D120" s="872" t="s">
        <v>1400</v>
      </c>
      <c r="E120" s="1299" t="s">
        <v>1401</v>
      </c>
      <c r="F120" s="196"/>
      <c r="G120" s="1038"/>
      <c r="H120" s="573"/>
      <c r="I120" s="1038"/>
      <c r="J120" s="940"/>
      <c r="K120" s="1038"/>
      <c r="L120" s="940"/>
      <c r="M120" s="1448"/>
      <c r="N120" s="1577"/>
      <c r="O120" s="1577"/>
      <c r="P120" s="1578"/>
      <c r="Q120" s="138"/>
      <c r="R120" s="134"/>
      <c r="S120" s="614"/>
      <c r="T120" s="886"/>
      <c r="U120" s="134"/>
      <c r="V120" s="134"/>
      <c r="W120" s="134"/>
      <c r="X120" s="134"/>
      <c r="Y120" s="134"/>
      <c r="Z120" s="134"/>
      <c r="AA120" s="134"/>
      <c r="AB120" s="134"/>
      <c r="AC120" s="134"/>
    </row>
    <row r="121" spans="2:29" s="1092" customFormat="1" ht="18" hidden="1" customHeight="1" thickBot="1" x14ac:dyDescent="0.3">
      <c r="B121" s="243"/>
      <c r="C121" s="41"/>
      <c r="D121" s="986"/>
      <c r="E121" s="41"/>
      <c r="F121" s="940"/>
      <c r="G121" s="237"/>
      <c r="H121" s="188"/>
      <c r="I121" s="238"/>
      <c r="J121" s="197"/>
      <c r="K121" s="218"/>
      <c r="L121" s="188"/>
      <c r="M121" s="218"/>
      <c r="N121" s="1577"/>
      <c r="O121" s="1577"/>
      <c r="P121" s="1578"/>
      <c r="Q121" s="138"/>
      <c r="R121" s="134"/>
      <c r="S121" s="613" t="str">
        <f>IF($E121="NO","",IF($I120="Select Payment Method","X",""))</f>
        <v/>
      </c>
      <c r="T121" s="134"/>
      <c r="U121" s="134"/>
      <c r="V121" s="134"/>
      <c r="W121" s="134"/>
      <c r="X121" s="134"/>
      <c r="Y121" s="134"/>
      <c r="Z121" s="134"/>
      <c r="AA121" s="134"/>
      <c r="AB121" s="134"/>
      <c r="AC121" s="134"/>
    </row>
    <row r="122" spans="2:29" s="1092" customFormat="1" ht="17.25" hidden="1" customHeight="1" thickBot="1" x14ac:dyDescent="0.3">
      <c r="B122" s="243"/>
      <c r="C122" s="41"/>
      <c r="D122" s="879" t="s">
        <v>1402</v>
      </c>
      <c r="E122" s="1390"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2" customFormat="1" ht="27.75" hidden="1" customHeight="1" thickBot="1" x14ac:dyDescent="0.3">
      <c r="B123" s="243"/>
      <c r="C123" s="41"/>
      <c r="D123" s="879" t="s">
        <v>1403</v>
      </c>
      <c r="E123" s="1390" t="str">
        <f>IF(E119="Yes",IF(Welcome!$D$6="New",IF($E$122="","",$E$122+370),""),"")</f>
        <v/>
      </c>
      <c r="F123" s="874" t="str">
        <f>'Incentives Worksheet'!G259</f>
        <v>Weekly Baseline</v>
      </c>
      <c r="G123" s="1043"/>
      <c r="H123" s="188"/>
      <c r="I123" s="1042" t="str">
        <f>IF(E119="Yes",999999999.99,"")</f>
        <v/>
      </c>
      <c r="J123" s="229"/>
      <c r="K123" s="1040"/>
      <c r="L123" s="188"/>
      <c r="M123" s="195"/>
      <c r="N123" s="197"/>
      <c r="O123" s="969">
        <f>IF(E119="No",0,IF((($H$10-(G123*52))*K123)&lt;0,0,(($H$10-(G123*52))*K123)))</f>
        <v>0</v>
      </c>
      <c r="P123" s="221"/>
      <c r="Q123" s="138"/>
      <c r="S123" s="615"/>
    </row>
    <row r="124" spans="2:29" s="1092" customFormat="1" ht="21" hidden="1" customHeight="1" x14ac:dyDescent="0.25">
      <c r="B124" s="245"/>
      <c r="C124" s="223"/>
      <c r="D124" s="985"/>
      <c r="E124" s="223"/>
      <c r="F124" s="223"/>
      <c r="G124" s="669"/>
      <c r="H124" s="223"/>
      <c r="I124" s="240"/>
      <c r="J124" s="223"/>
      <c r="K124" s="223"/>
      <c r="L124" s="223"/>
      <c r="M124" s="223"/>
      <c r="N124" s="223"/>
      <c r="O124" s="223"/>
      <c r="P124" s="224"/>
      <c r="Q124" s="138"/>
      <c r="S124" s="615"/>
    </row>
    <row r="125" spans="2:29" s="1092"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2" customFormat="1" ht="20.25" hidden="1" customHeight="1" thickBot="1" x14ac:dyDescent="0.3">
      <c r="B126" s="248"/>
      <c r="C126" s="226"/>
      <c r="D126" s="1583" t="s">
        <v>1111</v>
      </c>
      <c r="E126" s="1583"/>
      <c r="F126" s="213"/>
      <c r="G126" s="235"/>
      <c r="H126" s="183"/>
      <c r="I126" s="236"/>
      <c r="J126" s="216"/>
      <c r="K126" s="217"/>
      <c r="L126" s="183"/>
      <c r="M126" s="217"/>
      <c r="N126" s="1575" t="str">
        <f>IF(COUNTIF($K$131,"&gt;.02")&gt;0,"***Warning:You have entered an Rate % of Sales above the recommended amount.Rate % of Sales should be between 0% and 2%***","")</f>
        <v/>
      </c>
      <c r="O126" s="1575"/>
      <c r="P126" s="1576"/>
      <c r="Q126" s="138"/>
      <c r="R126" s="134"/>
      <c r="S126" s="614"/>
      <c r="T126" s="134"/>
      <c r="U126" s="134"/>
      <c r="V126" s="134"/>
      <c r="W126" s="134"/>
      <c r="X126" s="134"/>
      <c r="Y126" s="134"/>
      <c r="Z126" s="134"/>
      <c r="AA126" s="134"/>
      <c r="AB126" s="134"/>
      <c r="AC126" s="134"/>
    </row>
    <row r="127" spans="2:29" s="1092" customFormat="1" ht="18" hidden="1" customHeight="1" thickBot="1" x14ac:dyDescent="0.3">
      <c r="B127" s="243"/>
      <c r="C127" s="41"/>
      <c r="D127" s="979" t="s">
        <v>524</v>
      </c>
      <c r="E127" s="892" t="s">
        <v>649</v>
      </c>
      <c r="F127" s="239"/>
      <c r="G127" s="228" t="s">
        <v>1397</v>
      </c>
      <c r="H127" s="573"/>
      <c r="I127" s="228" t="s">
        <v>1398</v>
      </c>
      <c r="J127" s="41"/>
      <c r="K127" s="228" t="s">
        <v>837</v>
      </c>
      <c r="L127" s="940"/>
      <c r="M127" s="194" t="s">
        <v>1399</v>
      </c>
      <c r="N127" s="1577"/>
      <c r="O127" s="1577"/>
      <c r="P127" s="1578"/>
      <c r="Q127" s="138"/>
      <c r="R127" s="134"/>
      <c r="S127" s="614"/>
      <c r="T127" s="134"/>
      <c r="U127" s="134"/>
      <c r="V127" s="134"/>
      <c r="W127" s="134"/>
      <c r="X127" s="134"/>
      <c r="Y127" s="134"/>
      <c r="Z127" s="134"/>
      <c r="AA127" s="134"/>
      <c r="AB127" s="134"/>
      <c r="AC127" s="134"/>
    </row>
    <row r="128" spans="2:29" s="1092" customFormat="1" ht="18" hidden="1" customHeight="1" thickBot="1" x14ac:dyDescent="0.3">
      <c r="B128" s="243"/>
      <c r="C128" s="41"/>
      <c r="D128" s="872" t="s">
        <v>1400</v>
      </c>
      <c r="E128" s="1299" t="s">
        <v>1401</v>
      </c>
      <c r="F128" s="196"/>
      <c r="G128" s="1038"/>
      <c r="H128" s="573"/>
      <c r="I128" s="1038"/>
      <c r="J128" s="940"/>
      <c r="K128" s="1038"/>
      <c r="L128" s="940"/>
      <c r="M128" s="1448"/>
      <c r="N128" s="1577"/>
      <c r="O128" s="1577"/>
      <c r="P128" s="1578"/>
      <c r="Q128" s="138"/>
      <c r="R128" s="134"/>
      <c r="S128" s="614"/>
      <c r="T128" s="886"/>
      <c r="U128" s="134"/>
      <c r="V128" s="134"/>
      <c r="W128" s="134"/>
      <c r="X128" s="134"/>
      <c r="Y128" s="134"/>
      <c r="Z128" s="134"/>
      <c r="AA128" s="134"/>
      <c r="AB128" s="134"/>
      <c r="AC128" s="134"/>
    </row>
    <row r="129" spans="2:29" s="1092" customFormat="1" ht="18" hidden="1" customHeight="1" thickBot="1" x14ac:dyDescent="0.3">
      <c r="B129" s="243"/>
      <c r="C129" s="41"/>
      <c r="D129" s="986"/>
      <c r="E129" s="41"/>
      <c r="F129" s="940"/>
      <c r="G129" s="237"/>
      <c r="H129" s="188"/>
      <c r="I129" s="238"/>
      <c r="J129" s="197"/>
      <c r="K129" s="218"/>
      <c r="L129" s="188"/>
      <c r="M129" s="218"/>
      <c r="N129" s="1577"/>
      <c r="O129" s="1577"/>
      <c r="P129" s="1578"/>
      <c r="Q129" s="138"/>
      <c r="R129" s="134"/>
      <c r="S129" s="613" t="str">
        <f>IF($E129="NO","",IF($I128="Select Payment Method","X",""))</f>
        <v/>
      </c>
      <c r="T129" s="134"/>
      <c r="U129" s="134"/>
      <c r="V129" s="134"/>
      <c r="W129" s="134"/>
      <c r="X129" s="134"/>
      <c r="Y129" s="134"/>
      <c r="Z129" s="134"/>
      <c r="AA129" s="134"/>
      <c r="AB129" s="134"/>
      <c r="AC129" s="134"/>
    </row>
    <row r="130" spans="2:29" s="1092" customFormat="1" ht="17.25" hidden="1" customHeight="1" thickBot="1" x14ac:dyDescent="0.3">
      <c r="B130" s="243"/>
      <c r="C130" s="41"/>
      <c r="D130" s="879" t="s">
        <v>1402</v>
      </c>
      <c r="E130" s="1390"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2" customFormat="1" ht="27.75" hidden="1" customHeight="1" thickBot="1" x14ac:dyDescent="0.3">
      <c r="B131" s="243"/>
      <c r="C131" s="41"/>
      <c r="D131" s="879" t="s">
        <v>1403</v>
      </c>
      <c r="E131" s="1390" t="str">
        <f>IF(E127="Yes",IF(Welcome!$D$6="New",IF($E$130="","",$E$130+370),""),"")</f>
        <v/>
      </c>
      <c r="F131" s="874" t="str">
        <f>'Incentives Worksheet'!G273</f>
        <v>Weekly Baseline</v>
      </c>
      <c r="G131" s="1043"/>
      <c r="H131" s="188"/>
      <c r="I131" s="1042" t="str">
        <f>IF(E127="Yes",999999999.99,"")</f>
        <v/>
      </c>
      <c r="J131" s="229"/>
      <c r="K131" s="1040"/>
      <c r="L131" s="188"/>
      <c r="M131" s="195"/>
      <c r="N131" s="197"/>
      <c r="O131" s="969">
        <f>IF(E127="No",0,IF((($H$10-(G131*52))*K131)&lt;0,0,(($H$10-(G131*52))*K131)))</f>
        <v>0</v>
      </c>
      <c r="P131" s="221"/>
      <c r="Q131" s="138"/>
      <c r="S131" s="615"/>
    </row>
    <row r="132" spans="2:29" s="1092" customFormat="1" ht="21" hidden="1" customHeight="1" x14ac:dyDescent="0.25">
      <c r="B132" s="245"/>
      <c r="C132" s="223"/>
      <c r="D132" s="985"/>
      <c r="E132" s="223"/>
      <c r="F132" s="223"/>
      <c r="G132" s="669"/>
      <c r="H132" s="223"/>
      <c r="I132" s="240"/>
      <c r="J132" s="223"/>
      <c r="K132" s="223"/>
      <c r="L132" s="223"/>
      <c r="M132" s="223"/>
      <c r="N132" s="223"/>
      <c r="O132" s="223"/>
      <c r="P132" s="224"/>
      <c r="Q132" s="138"/>
      <c r="S132" s="615"/>
    </row>
    <row r="133" spans="2:29" s="1092"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2" customFormat="1" ht="20.25" hidden="1" customHeight="1" thickBot="1" x14ac:dyDescent="0.3">
      <c r="B134" s="248"/>
      <c r="C134" s="226"/>
      <c r="D134" s="1583" t="s">
        <v>1111</v>
      </c>
      <c r="E134" s="1583"/>
      <c r="F134" s="213"/>
      <c r="G134" s="235"/>
      <c r="H134" s="183"/>
      <c r="I134" s="236"/>
      <c r="J134" s="216"/>
      <c r="K134" s="217"/>
      <c r="L134" s="183"/>
      <c r="M134" s="217"/>
      <c r="N134" s="1575" t="str">
        <f>IF(COUNTIF($K$139,"&gt;.02")&gt;0,"***Warning:You have entered an Rate % of Sales above the recommended amount.Rate % of Sales should be between 0% and 2%***","")</f>
        <v/>
      </c>
      <c r="O134" s="1575"/>
      <c r="P134" s="1576"/>
      <c r="Q134" s="138"/>
      <c r="R134" s="134"/>
      <c r="S134" s="614"/>
      <c r="T134" s="134"/>
      <c r="U134" s="134"/>
      <c r="V134" s="134"/>
      <c r="W134" s="134"/>
      <c r="X134" s="134"/>
      <c r="Y134" s="134"/>
      <c r="Z134" s="134"/>
      <c r="AA134" s="134"/>
      <c r="AB134" s="134"/>
      <c r="AC134" s="134"/>
    </row>
    <row r="135" spans="2:29" s="1092" customFormat="1" ht="18" hidden="1" customHeight="1" thickBot="1" x14ac:dyDescent="0.3">
      <c r="B135" s="243"/>
      <c r="C135" s="41"/>
      <c r="D135" s="979" t="s">
        <v>524</v>
      </c>
      <c r="E135" s="892" t="s">
        <v>649</v>
      </c>
      <c r="F135" s="239"/>
      <c r="G135" s="228" t="s">
        <v>1397</v>
      </c>
      <c r="H135" s="573"/>
      <c r="I135" s="228" t="s">
        <v>1398</v>
      </c>
      <c r="J135" s="41"/>
      <c r="K135" s="228" t="s">
        <v>837</v>
      </c>
      <c r="L135" s="940"/>
      <c r="M135" s="194" t="s">
        <v>1399</v>
      </c>
      <c r="N135" s="1577"/>
      <c r="O135" s="1577"/>
      <c r="P135" s="1578"/>
      <c r="Q135" s="138"/>
      <c r="R135" s="134"/>
      <c r="S135" s="614"/>
      <c r="T135" s="134"/>
      <c r="U135" s="134"/>
      <c r="V135" s="134"/>
      <c r="W135" s="134"/>
      <c r="X135" s="134"/>
      <c r="Y135" s="134"/>
      <c r="Z135" s="134"/>
      <c r="AA135" s="134"/>
      <c r="AB135" s="134"/>
      <c r="AC135" s="134"/>
    </row>
    <row r="136" spans="2:29" s="1092" customFormat="1" ht="18" hidden="1" customHeight="1" thickBot="1" x14ac:dyDescent="0.3">
      <c r="B136" s="243"/>
      <c r="C136" s="41"/>
      <c r="D136" s="872" t="s">
        <v>1400</v>
      </c>
      <c r="E136" s="1299" t="s">
        <v>1401</v>
      </c>
      <c r="F136" s="196"/>
      <c r="G136" s="1038"/>
      <c r="H136" s="573"/>
      <c r="I136" s="1038"/>
      <c r="J136" s="940"/>
      <c r="K136" s="1038"/>
      <c r="L136" s="940"/>
      <c r="M136" s="1448"/>
      <c r="N136" s="1577"/>
      <c r="O136" s="1577"/>
      <c r="P136" s="1578"/>
      <c r="Q136" s="138"/>
      <c r="R136" s="134"/>
      <c r="S136" s="614"/>
      <c r="T136" s="886"/>
      <c r="U136" s="134"/>
      <c r="V136" s="134"/>
      <c r="W136" s="134"/>
      <c r="X136" s="134"/>
      <c r="Y136" s="134"/>
      <c r="Z136" s="134"/>
      <c r="AA136" s="134"/>
      <c r="AB136" s="134"/>
      <c r="AC136" s="134"/>
    </row>
    <row r="137" spans="2:29" s="1092" customFormat="1" ht="18" hidden="1" customHeight="1" thickBot="1" x14ac:dyDescent="0.3">
      <c r="B137" s="243"/>
      <c r="C137" s="41"/>
      <c r="D137" s="986"/>
      <c r="E137" s="41"/>
      <c r="F137" s="940"/>
      <c r="G137" s="237"/>
      <c r="H137" s="188"/>
      <c r="I137" s="238"/>
      <c r="J137" s="197"/>
      <c r="K137" s="218"/>
      <c r="L137" s="188"/>
      <c r="M137" s="218"/>
      <c r="N137" s="1577"/>
      <c r="O137" s="1577"/>
      <c r="P137" s="1578"/>
      <c r="Q137" s="138"/>
      <c r="R137" s="134"/>
      <c r="S137" s="613" t="str">
        <f>IF($E137="NO","",IF($I136="Select Payment Method","X",""))</f>
        <v/>
      </c>
      <c r="T137" s="134"/>
      <c r="U137" s="134"/>
      <c r="V137" s="134"/>
      <c r="W137" s="134"/>
      <c r="X137" s="134"/>
      <c r="Y137" s="134"/>
      <c r="Z137" s="134"/>
      <c r="AA137" s="134"/>
      <c r="AB137" s="134"/>
      <c r="AC137" s="134"/>
    </row>
    <row r="138" spans="2:29" s="1092" customFormat="1" ht="17.25" hidden="1" customHeight="1" thickBot="1" x14ac:dyDescent="0.3">
      <c r="B138" s="243"/>
      <c r="C138" s="41"/>
      <c r="D138" s="879" t="s">
        <v>1402</v>
      </c>
      <c r="E138" s="1390"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2" customFormat="1" ht="27.75" hidden="1" customHeight="1" thickBot="1" x14ac:dyDescent="0.3">
      <c r="B139" s="243"/>
      <c r="C139" s="41"/>
      <c r="D139" s="879" t="s">
        <v>1403</v>
      </c>
      <c r="E139" s="1390" t="str">
        <f>IF(E135="Yes",IF(Welcome!$D$6="New",IF($E$138="","",$E$138+370),""),"")</f>
        <v/>
      </c>
      <c r="F139" s="874" t="str">
        <f>'Incentives Worksheet'!G287</f>
        <v>Weekly Baseline</v>
      </c>
      <c r="G139" s="1043"/>
      <c r="H139" s="188"/>
      <c r="I139" s="1042" t="str">
        <f>IF(E135="Yes",999999999.99,"")</f>
        <v/>
      </c>
      <c r="J139" s="229"/>
      <c r="K139" s="1040"/>
      <c r="L139" s="188"/>
      <c r="M139" s="195"/>
      <c r="N139" s="197"/>
      <c r="O139" s="969">
        <f>IF(E135="No",0,IF((($H$10-(G139*52))*K139)&lt;0,0,(($H$10-(G139*52))*K139)))</f>
        <v>0</v>
      </c>
      <c r="P139" s="221"/>
      <c r="Q139" s="138"/>
      <c r="S139" s="615"/>
    </row>
    <row r="140" spans="2:29" s="1092" customFormat="1" ht="21" hidden="1" customHeight="1" x14ac:dyDescent="0.25">
      <c r="B140" s="245"/>
      <c r="C140" s="223"/>
      <c r="D140" s="985"/>
      <c r="E140" s="223"/>
      <c r="F140" s="223"/>
      <c r="G140" s="669"/>
      <c r="H140" s="223"/>
      <c r="I140" s="240"/>
      <c r="J140" s="223"/>
      <c r="K140" s="223"/>
      <c r="L140" s="223"/>
      <c r="M140" s="223"/>
      <c r="N140" s="223"/>
      <c r="O140" s="223"/>
      <c r="P140" s="224"/>
      <c r="Q140" s="138"/>
      <c r="S140" s="615"/>
    </row>
    <row r="141" spans="2:29" s="1092"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2" customFormat="1" ht="20.25" hidden="1" customHeight="1" thickBot="1" x14ac:dyDescent="0.3">
      <c r="B142" s="248"/>
      <c r="C142" s="226"/>
      <c r="D142" s="1583" t="s">
        <v>1111</v>
      </c>
      <c r="E142" s="1583"/>
      <c r="F142" s="213"/>
      <c r="G142" s="235"/>
      <c r="H142" s="183"/>
      <c r="I142" s="236"/>
      <c r="J142" s="216"/>
      <c r="K142" s="217"/>
      <c r="L142" s="183"/>
      <c r="M142" s="217"/>
      <c r="N142" s="1575" t="str">
        <f>IF(COUNTIF($K$147,"&gt;.02")&gt;0,"***Warning:You have entered an Rate % of Sales above the recommended amount.Rate % of Sales should be between 0% and 2%***","")</f>
        <v/>
      </c>
      <c r="O142" s="1575"/>
      <c r="P142" s="1576"/>
      <c r="Q142" s="138"/>
      <c r="R142" s="134"/>
      <c r="S142" s="614"/>
      <c r="T142" s="134"/>
      <c r="U142" s="134"/>
      <c r="V142" s="134"/>
      <c r="W142" s="134"/>
      <c r="X142" s="134"/>
      <c r="Y142" s="134"/>
      <c r="Z142" s="134"/>
      <c r="AA142" s="134"/>
      <c r="AB142" s="134"/>
      <c r="AC142" s="134"/>
    </row>
    <row r="143" spans="2:29" s="1092" customFormat="1" ht="18" hidden="1" customHeight="1" thickBot="1" x14ac:dyDescent="0.3">
      <c r="B143" s="243"/>
      <c r="C143" s="41"/>
      <c r="D143" s="979" t="s">
        <v>524</v>
      </c>
      <c r="E143" s="892" t="s">
        <v>649</v>
      </c>
      <c r="F143" s="239"/>
      <c r="G143" s="228" t="s">
        <v>1397</v>
      </c>
      <c r="H143" s="573"/>
      <c r="I143" s="228" t="s">
        <v>1398</v>
      </c>
      <c r="J143" s="41"/>
      <c r="K143" s="228" t="s">
        <v>837</v>
      </c>
      <c r="L143" s="940"/>
      <c r="M143" s="194" t="s">
        <v>1399</v>
      </c>
      <c r="N143" s="1577"/>
      <c r="O143" s="1577"/>
      <c r="P143" s="1578"/>
      <c r="Q143" s="138"/>
      <c r="R143" s="134"/>
      <c r="S143" s="614"/>
      <c r="T143" s="134"/>
      <c r="U143" s="134"/>
      <c r="V143" s="134"/>
      <c r="W143" s="134"/>
      <c r="X143" s="134"/>
      <c r="Y143" s="134"/>
      <c r="Z143" s="134"/>
      <c r="AA143" s="134"/>
      <c r="AB143" s="134"/>
      <c r="AC143" s="134"/>
    </row>
    <row r="144" spans="2:29" s="1092" customFormat="1" ht="18" hidden="1" customHeight="1" thickBot="1" x14ac:dyDescent="0.3">
      <c r="B144" s="243"/>
      <c r="C144" s="41"/>
      <c r="D144" s="872" t="s">
        <v>1400</v>
      </c>
      <c r="E144" s="1299" t="s">
        <v>1401</v>
      </c>
      <c r="F144" s="196"/>
      <c r="G144" s="1038"/>
      <c r="H144" s="573"/>
      <c r="I144" s="1038"/>
      <c r="J144" s="940"/>
      <c r="K144" s="1038"/>
      <c r="L144" s="940"/>
      <c r="M144" s="1448"/>
      <c r="N144" s="1577"/>
      <c r="O144" s="1577"/>
      <c r="P144" s="1578"/>
      <c r="Q144" s="138"/>
      <c r="R144" s="134"/>
      <c r="S144" s="614"/>
      <c r="T144" s="886"/>
      <c r="U144" s="134"/>
      <c r="V144" s="134"/>
      <c r="W144" s="134"/>
      <c r="X144" s="134"/>
      <c r="Y144" s="134"/>
      <c r="Z144" s="134"/>
      <c r="AA144" s="134"/>
      <c r="AB144" s="134"/>
      <c r="AC144" s="134"/>
    </row>
    <row r="145" spans="2:29" s="1092" customFormat="1" ht="18" hidden="1" customHeight="1" thickBot="1" x14ac:dyDescent="0.3">
      <c r="B145" s="243"/>
      <c r="C145" s="41"/>
      <c r="D145" s="986"/>
      <c r="E145" s="41"/>
      <c r="F145" s="940"/>
      <c r="G145" s="237"/>
      <c r="H145" s="188"/>
      <c r="I145" s="238"/>
      <c r="J145" s="197"/>
      <c r="K145" s="218"/>
      <c r="L145" s="188"/>
      <c r="M145" s="218"/>
      <c r="N145" s="1577"/>
      <c r="O145" s="1577"/>
      <c r="P145" s="1578"/>
      <c r="Q145" s="138"/>
      <c r="R145" s="134"/>
      <c r="S145" s="613" t="str">
        <f>IF($E145="NO","",IF($I144="Select Payment Method","X",""))</f>
        <v/>
      </c>
      <c r="T145" s="134"/>
      <c r="U145" s="134"/>
      <c r="V145" s="134"/>
      <c r="W145" s="134"/>
      <c r="X145" s="134"/>
      <c r="Y145" s="134"/>
      <c r="Z145" s="134"/>
      <c r="AA145" s="134"/>
      <c r="AB145" s="134"/>
      <c r="AC145" s="134"/>
    </row>
    <row r="146" spans="2:29" s="1092" customFormat="1" ht="17.25" hidden="1" customHeight="1" thickBot="1" x14ac:dyDescent="0.3">
      <c r="B146" s="243"/>
      <c r="C146" s="41"/>
      <c r="D146" s="879" t="s">
        <v>1402</v>
      </c>
      <c r="E146" s="1390"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2" customFormat="1" ht="27" hidden="1" customHeight="1" thickBot="1" x14ac:dyDescent="0.3">
      <c r="B147" s="243"/>
      <c r="C147" s="41"/>
      <c r="D147" s="879" t="s">
        <v>1403</v>
      </c>
      <c r="E147" s="1390" t="str">
        <f>IF(E143="Yes",IF(Welcome!$D$6="New",IF($E$146="","",$E$146+370),""),"")</f>
        <v/>
      </c>
      <c r="F147" s="874" t="str">
        <f>'Incentives Worksheet'!G301</f>
        <v>Weekly Baseline</v>
      </c>
      <c r="G147" s="1043"/>
      <c r="H147" s="188"/>
      <c r="I147" s="1042" t="str">
        <f>IF(E143="Yes",999999999.99,"")</f>
        <v/>
      </c>
      <c r="J147" s="229"/>
      <c r="K147" s="1040"/>
      <c r="L147" s="188"/>
      <c r="M147" s="195"/>
      <c r="N147" s="197"/>
      <c r="O147" s="969">
        <f>IF(E143="No",0,IF((($H$10-(G147*52))*K147)&lt;0,0,(($H$10-(G147*52))*K147)))</f>
        <v>0</v>
      </c>
      <c r="P147" s="221"/>
      <c r="Q147" s="138"/>
      <c r="S147" s="615"/>
    </row>
    <row r="148" spans="2:29" s="1092" customFormat="1" ht="21" hidden="1" customHeight="1" x14ac:dyDescent="0.25">
      <c r="B148" s="245"/>
      <c r="C148" s="223"/>
      <c r="D148" s="985"/>
      <c r="E148" s="223"/>
      <c r="F148" s="223"/>
      <c r="G148" s="669"/>
      <c r="H148" s="223"/>
      <c r="I148" s="240"/>
      <c r="J148" s="223"/>
      <c r="K148" s="223"/>
      <c r="L148" s="223"/>
      <c r="M148" s="223"/>
      <c r="N148" s="223"/>
      <c r="O148" s="223"/>
      <c r="P148" s="224"/>
      <c r="Q148" s="138"/>
      <c r="S148" s="615"/>
    </row>
    <row r="149" spans="2:29" s="1092"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3" t="s">
        <v>718</v>
      </c>
      <c r="E150" s="1583"/>
      <c r="F150" s="184"/>
      <c r="G150" s="235"/>
      <c r="H150" s="183"/>
      <c r="I150" s="236"/>
      <c r="J150" s="216"/>
      <c r="K150" s="217"/>
      <c r="L150" s="183"/>
      <c r="M150" s="217"/>
      <c r="N150" s="1575" t="str">
        <f>IF(COUNTIF($K$155,"&gt;.03")&gt;0,"***Warning:You have entered an Rate % of Sales above the recommended 3%***","")</f>
        <v/>
      </c>
      <c r="O150" s="1575"/>
      <c r="P150" s="1576"/>
      <c r="Q150" s="138"/>
      <c r="R150" s="134"/>
      <c r="S150" s="614"/>
      <c r="T150" s="134"/>
      <c r="U150" s="134"/>
      <c r="V150" s="134"/>
      <c r="W150" s="134"/>
      <c r="X150" s="134"/>
      <c r="Y150" s="134"/>
      <c r="Z150" s="134"/>
      <c r="AA150" s="134"/>
      <c r="AB150" s="134"/>
      <c r="AC150" s="134"/>
    </row>
    <row r="151" spans="2:29" ht="18" customHeight="1" thickBot="1" x14ac:dyDescent="0.3">
      <c r="B151" s="243"/>
      <c r="C151" s="41"/>
      <c r="D151" s="979" t="s">
        <v>524</v>
      </c>
      <c r="E151" s="892" t="s">
        <v>649</v>
      </c>
      <c r="F151" s="239"/>
      <c r="G151" s="228" t="s">
        <v>1397</v>
      </c>
      <c r="H151" s="573"/>
      <c r="I151" s="228" t="s">
        <v>1398</v>
      </c>
      <c r="J151" s="41"/>
      <c r="K151" s="228" t="s">
        <v>837</v>
      </c>
      <c r="L151" s="145"/>
      <c r="M151" s="194" t="s">
        <v>1399</v>
      </c>
      <c r="N151" s="1577"/>
      <c r="O151" s="1577"/>
      <c r="P151" s="1578"/>
      <c r="Q151" s="138"/>
      <c r="R151" s="134"/>
      <c r="S151" s="614"/>
      <c r="T151" s="134"/>
      <c r="U151" s="134"/>
      <c r="V151" s="134"/>
      <c r="W151" s="134"/>
      <c r="X151" s="134"/>
      <c r="Y151" s="134"/>
      <c r="Z151" s="134"/>
      <c r="AA151" s="134"/>
      <c r="AB151" s="134"/>
      <c r="AC151" s="134"/>
    </row>
    <row r="152" spans="2:29" ht="18" customHeight="1" thickBot="1" x14ac:dyDescent="0.3">
      <c r="B152" s="243"/>
      <c r="C152" s="41"/>
      <c r="D152" s="872" t="s">
        <v>1400</v>
      </c>
      <c r="E152" s="1299" t="s">
        <v>1401</v>
      </c>
      <c r="F152" s="239"/>
      <c r="G152" s="1038"/>
      <c r="H152" s="573"/>
      <c r="I152" s="1038"/>
      <c r="J152" s="145"/>
      <c r="K152" s="1038"/>
      <c r="L152" s="145"/>
      <c r="M152" s="1448"/>
      <c r="N152" s="1577"/>
      <c r="O152" s="1577"/>
      <c r="P152" s="1578"/>
      <c r="Q152" s="138"/>
      <c r="R152" s="134"/>
      <c r="S152" s="614"/>
      <c r="T152" s="886"/>
      <c r="U152" s="134"/>
      <c r="V152" s="134"/>
      <c r="W152" s="134"/>
      <c r="X152" s="134"/>
      <c r="Y152" s="134"/>
      <c r="Z152" s="134"/>
      <c r="AA152" s="134"/>
      <c r="AB152" s="134"/>
      <c r="AC152" s="134"/>
    </row>
    <row r="153" spans="2:29" ht="18" customHeight="1" thickBot="1" x14ac:dyDescent="0.3">
      <c r="B153" s="243"/>
      <c r="C153" s="41"/>
      <c r="D153" s="986"/>
      <c r="E153" s="41"/>
      <c r="F153" s="239"/>
      <c r="G153" s="237"/>
      <c r="H153" s="188"/>
      <c r="I153" s="238"/>
      <c r="J153" s="197"/>
      <c r="K153" s="218"/>
      <c r="L153" s="188"/>
      <c r="M153" s="218"/>
      <c r="N153" s="1577"/>
      <c r="O153" s="1577"/>
      <c r="P153" s="1578"/>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79" t="s">
        <v>1402</v>
      </c>
      <c r="E154" s="1390"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79" t="s">
        <v>1403</v>
      </c>
      <c r="E155" s="1390" t="str">
        <f>IF(E151="Yes",IF(Welcome!$D$6="New",IF('Required Info to Submit'!F$17="","",'Required Info to Submit'!F$17),""),"")</f>
        <v/>
      </c>
      <c r="F155" s="874" t="s">
        <v>1003</v>
      </c>
      <c r="G155" s="1041"/>
      <c r="H155" s="188"/>
      <c r="I155" s="968" t="str">
        <f>IF(E151="Yes",1,"")</f>
        <v/>
      </c>
      <c r="J155" s="229"/>
      <c r="K155" s="1040"/>
      <c r="L155" s="188"/>
      <c r="M155" s="218"/>
      <c r="N155" s="218"/>
      <c r="O155" s="969">
        <f>IF($E$151="Yes",K155*$H$10,0)</f>
        <v>0</v>
      </c>
      <c r="P155" s="221"/>
      <c r="Q155" s="138"/>
      <c r="R155" s="863"/>
      <c r="S155" s="615"/>
    </row>
    <row r="156" spans="2:29" ht="20.25" customHeight="1" x14ac:dyDescent="0.25">
      <c r="B156" s="245"/>
      <c r="C156" s="223"/>
      <c r="D156" s="985"/>
      <c r="E156" s="223"/>
      <c r="F156" s="223"/>
      <c r="G156" s="223"/>
      <c r="H156" s="223"/>
      <c r="I156" s="240"/>
      <c r="J156" s="223"/>
      <c r="K156" s="223"/>
      <c r="L156" s="223"/>
      <c r="M156" s="223"/>
      <c r="N156" s="223"/>
      <c r="O156" s="223"/>
      <c r="P156" s="224"/>
      <c r="Q156" s="138"/>
      <c r="R156" s="863"/>
      <c r="S156" s="615"/>
    </row>
    <row r="157" spans="2:29" ht="10.15" customHeight="1" x14ac:dyDescent="0.25">
      <c r="D157" s="1295"/>
      <c r="E157" s="1294"/>
      <c r="I157" s="241"/>
      <c r="P157" s="242"/>
      <c r="Q157" s="138"/>
      <c r="R157" s="863"/>
      <c r="S157" s="615"/>
    </row>
    <row r="158" spans="2:29" s="864" customFormat="1" ht="20.25" customHeight="1" thickBot="1" x14ac:dyDescent="0.3">
      <c r="B158" s="248"/>
      <c r="C158" s="183"/>
      <c r="D158" s="1583" t="s">
        <v>1101</v>
      </c>
      <c r="E158" s="1583"/>
      <c r="F158" s="213"/>
      <c r="G158" s="235"/>
      <c r="H158" s="183"/>
      <c r="I158" s="236"/>
      <c r="J158" s="216"/>
      <c r="K158" s="217"/>
      <c r="L158" s="183"/>
      <c r="M158" s="217"/>
      <c r="N158" s="157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579"/>
      <c r="P158" s="1580"/>
      <c r="Q158" s="179"/>
      <c r="S158" s="616"/>
    </row>
    <row r="159" spans="2:29" s="864" customFormat="1" ht="18" customHeight="1" thickBot="1" x14ac:dyDescent="0.3">
      <c r="B159" s="243"/>
      <c r="C159" s="188"/>
      <c r="D159" s="979" t="s">
        <v>524</v>
      </c>
      <c r="E159" s="892" t="s">
        <v>649</v>
      </c>
      <c r="F159" s="685"/>
      <c r="G159" s="228" t="s">
        <v>1397</v>
      </c>
      <c r="H159" s="573"/>
      <c r="I159" s="228" t="s">
        <v>1398</v>
      </c>
      <c r="J159" s="41"/>
      <c r="K159" s="228" t="s">
        <v>837</v>
      </c>
      <c r="L159" s="145"/>
      <c r="M159" s="194" t="s">
        <v>1399</v>
      </c>
      <c r="N159" s="1581"/>
      <c r="O159" s="1581"/>
      <c r="P159" s="1582"/>
      <c r="Q159" s="179"/>
      <c r="S159" s="616"/>
    </row>
    <row r="160" spans="2:29" s="864" customFormat="1" ht="18" customHeight="1" thickBot="1" x14ac:dyDescent="0.3">
      <c r="B160" s="243"/>
      <c r="C160" s="188"/>
      <c r="D160" s="872" t="s">
        <v>1400</v>
      </c>
      <c r="E160" s="949" t="s">
        <v>1401</v>
      </c>
      <c r="F160" s="686" t="s">
        <v>1101</v>
      </c>
      <c r="G160" s="1038"/>
      <c r="H160" s="573"/>
      <c r="I160" s="1038"/>
      <c r="J160" s="145"/>
      <c r="K160" s="1038"/>
      <c r="L160" s="145"/>
      <c r="M160" s="1447"/>
      <c r="N160" s="1581"/>
      <c r="O160" s="1581"/>
      <c r="P160" s="1582"/>
      <c r="Q160" s="179"/>
      <c r="S160" s="616"/>
    </row>
    <row r="161" spans="2:19" s="864" customFormat="1" ht="35.25" customHeight="1" thickBot="1" x14ac:dyDescent="0.3">
      <c r="B161" s="243"/>
      <c r="C161" s="188"/>
      <c r="D161" s="7"/>
      <c r="E161" s="940"/>
      <c r="F161" s="145"/>
      <c r="G161" s="188"/>
      <c r="H161" s="188"/>
      <c r="I161" s="188"/>
      <c r="J161" s="188"/>
      <c r="K161" s="188"/>
      <c r="L161" s="188"/>
      <c r="M161" s="188"/>
      <c r="N161" s="1581"/>
      <c r="O161" s="1581"/>
      <c r="P161" s="1582"/>
      <c r="Q161" s="179"/>
      <c r="S161" s="613" t="str">
        <f>IF($E161="NO","",IF($I160="Select Payment Method","X",""))</f>
        <v/>
      </c>
    </row>
    <row r="162" spans="2:19" s="864" customFormat="1" ht="18" customHeight="1" thickBot="1" x14ac:dyDescent="0.3">
      <c r="B162" s="243"/>
      <c r="C162" s="188"/>
      <c r="D162" s="879" t="s">
        <v>1402</v>
      </c>
      <c r="E162" s="1390"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4" customFormat="1" ht="18" customHeight="1" thickBot="1" x14ac:dyDescent="0.3">
      <c r="B163" s="243"/>
      <c r="C163" s="188"/>
      <c r="D163" s="879" t="s">
        <v>1403</v>
      </c>
      <c r="E163" s="1390" t="str">
        <f>IF(E159="Yes",IF(Welcome!$D$6="New",IF('Required Info to Submit'!F$17="","",'Required Info to Submit'!F$17),""),"")</f>
        <v/>
      </c>
      <c r="F163" s="686" t="s">
        <v>1101</v>
      </c>
      <c r="G163" s="1043"/>
      <c r="H163" s="188"/>
      <c r="I163" s="238"/>
      <c r="J163" s="197"/>
      <c r="K163" s="1096"/>
      <c r="L163" s="188"/>
      <c r="M163" s="238"/>
      <c r="N163" s="218"/>
      <c r="O163" s="969">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1"/>
      <c r="E165" s="180"/>
      <c r="F165" s="180"/>
      <c r="G165" s="180"/>
      <c r="H165" s="180"/>
      <c r="I165" s="180"/>
      <c r="J165" s="180"/>
      <c r="K165" s="180"/>
      <c r="L165" s="180"/>
      <c r="M165" s="180"/>
      <c r="N165" s="180"/>
      <c r="O165" s="180"/>
      <c r="P165" s="629"/>
      <c r="Q165" s="251"/>
    </row>
    <row r="166" spans="2:19" s="864" customFormat="1" ht="20.25" hidden="1" customHeight="1" thickBot="1" x14ac:dyDescent="0.3">
      <c r="B166" s="248"/>
      <c r="C166" s="183"/>
      <c r="D166" s="1583" t="s">
        <v>1101</v>
      </c>
      <c r="E166" s="1583"/>
      <c r="F166" s="213"/>
      <c r="G166" s="235"/>
      <c r="H166" s="183"/>
      <c r="I166" s="236"/>
      <c r="J166" s="216"/>
      <c r="K166" s="217"/>
      <c r="L166" s="183"/>
      <c r="M166" s="217"/>
      <c r="N166" s="157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579"/>
      <c r="P166" s="1580"/>
      <c r="Q166" s="179"/>
      <c r="S166" s="616"/>
    </row>
    <row r="167" spans="2:19" s="864" customFormat="1" ht="18" hidden="1" customHeight="1" thickBot="1" x14ac:dyDescent="0.3">
      <c r="B167" s="243"/>
      <c r="C167" s="188"/>
      <c r="D167" s="979" t="s">
        <v>524</v>
      </c>
      <c r="E167" s="892" t="s">
        <v>649</v>
      </c>
      <c r="F167" s="685"/>
      <c r="G167" s="228" t="s">
        <v>1397</v>
      </c>
      <c r="H167" s="573"/>
      <c r="I167" s="228" t="s">
        <v>1398</v>
      </c>
      <c r="J167" s="41"/>
      <c r="K167" s="228" t="s">
        <v>837</v>
      </c>
      <c r="L167" s="145"/>
      <c r="M167" s="194" t="s">
        <v>1399</v>
      </c>
      <c r="N167" s="1581"/>
      <c r="O167" s="1581"/>
      <c r="P167" s="1582"/>
      <c r="Q167" s="179"/>
      <c r="S167" s="616"/>
    </row>
    <row r="168" spans="2:19" s="864" customFormat="1" ht="18" hidden="1" customHeight="1" thickBot="1" x14ac:dyDescent="0.3">
      <c r="B168" s="243"/>
      <c r="C168" s="188"/>
      <c r="D168" s="872" t="s">
        <v>1400</v>
      </c>
      <c r="E168" s="1299" t="s">
        <v>1401</v>
      </c>
      <c r="F168" s="686" t="s">
        <v>1101</v>
      </c>
      <c r="G168" s="1038"/>
      <c r="H168" s="573"/>
      <c r="I168" s="1038"/>
      <c r="J168" s="145"/>
      <c r="K168" s="1038"/>
      <c r="L168" s="145"/>
      <c r="M168" s="1448"/>
      <c r="N168" s="1581"/>
      <c r="O168" s="1581"/>
      <c r="P168" s="1582"/>
      <c r="Q168" s="179"/>
      <c r="S168" s="616"/>
    </row>
    <row r="169" spans="2:19" s="864" customFormat="1" ht="18" hidden="1" customHeight="1" thickBot="1" x14ac:dyDescent="0.3">
      <c r="B169" s="243"/>
      <c r="C169" s="188"/>
      <c r="D169" s="7"/>
      <c r="E169" s="940"/>
      <c r="F169" s="145"/>
      <c r="G169" s="188"/>
      <c r="H169" s="188"/>
      <c r="I169" s="188"/>
      <c r="J169" s="188"/>
      <c r="K169" s="188"/>
      <c r="L169" s="188"/>
      <c r="M169" s="188"/>
      <c r="N169" s="1581"/>
      <c r="O169" s="1581"/>
      <c r="P169" s="1582"/>
      <c r="Q169" s="179"/>
      <c r="S169" s="613" t="str">
        <f>IF($E169="NO","",IF($I168="Select Payment Method","X",""))</f>
        <v/>
      </c>
    </row>
    <row r="170" spans="2:19" s="864" customFormat="1" ht="18" hidden="1" customHeight="1" thickBot="1" x14ac:dyDescent="0.3">
      <c r="B170" s="243"/>
      <c r="C170" s="188"/>
      <c r="D170" s="879" t="s">
        <v>1402</v>
      </c>
      <c r="E170" s="1390"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4" customFormat="1" ht="18" hidden="1" customHeight="1" thickBot="1" x14ac:dyDescent="0.3">
      <c r="B171" s="243"/>
      <c r="C171" s="188"/>
      <c r="D171" s="879" t="s">
        <v>1403</v>
      </c>
      <c r="E171" s="1390" t="str">
        <f>IF(E167="Yes",IF(Welcome!$D$6="New",IF('Required Info to Submit'!F$17="","",'Required Info to Submit'!F$17),""),"")</f>
        <v/>
      </c>
      <c r="F171" s="686" t="s">
        <v>1101</v>
      </c>
      <c r="G171" s="1043"/>
      <c r="H171" s="188"/>
      <c r="I171" s="238"/>
      <c r="J171" s="197"/>
      <c r="K171" s="1096"/>
      <c r="L171" s="188"/>
      <c r="M171" s="238"/>
      <c r="N171" s="218"/>
      <c r="O171" s="969">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4" customFormat="1" ht="10.15" hidden="1" customHeight="1" x14ac:dyDescent="0.25">
      <c r="C173" s="177"/>
      <c r="D173" s="981"/>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3" t="s">
        <v>1005</v>
      </c>
      <c r="E174" s="1583"/>
      <c r="F174" s="1380"/>
      <c r="G174" s="1380"/>
      <c r="H174" s="1380"/>
      <c r="I174" s="1380"/>
      <c r="J174" s="184"/>
      <c r="K174" s="184"/>
      <c r="L174" s="184"/>
      <c r="M174" s="184"/>
      <c r="N174" s="184"/>
      <c r="O174" s="1571" t="str">
        <f>IF(AND(E175="Yes",Welcome!$D$16&lt;&gt;"Yes"),"Credit Card Payment on the Welcome Sheet must be ""YES""  to proceed with this incentive!","")</f>
        <v/>
      </c>
      <c r="P174" s="1572"/>
      <c r="Q174" s="251"/>
    </row>
    <row r="175" spans="2:19" s="176" customFormat="1" ht="18" customHeight="1" thickBot="1" x14ac:dyDescent="0.3">
      <c r="B175" s="243"/>
      <c r="C175" s="145"/>
      <c r="D175" s="979" t="s">
        <v>524</v>
      </c>
      <c r="E175" s="892" t="s">
        <v>649</v>
      </c>
      <c r="F175" s="239"/>
      <c r="G175" s="228" t="s">
        <v>1397</v>
      </c>
      <c r="H175" s="573"/>
      <c r="I175" s="228" t="s">
        <v>1398</v>
      </c>
      <c r="J175" s="41"/>
      <c r="K175" s="228" t="s">
        <v>837</v>
      </c>
      <c r="L175" s="145"/>
      <c r="M175" s="194" t="s">
        <v>1399</v>
      </c>
      <c r="N175" s="145"/>
      <c r="O175" s="1573"/>
      <c r="P175" s="1574"/>
      <c r="Q175" s="251"/>
    </row>
    <row r="176" spans="2:19" s="176" customFormat="1" ht="18" customHeight="1" thickBot="1" x14ac:dyDescent="0.3">
      <c r="B176" s="243"/>
      <c r="C176" s="145"/>
      <c r="D176" s="872" t="s">
        <v>1400</v>
      </c>
      <c r="E176" s="949" t="s">
        <v>1401</v>
      </c>
      <c r="F176" s="196"/>
      <c r="G176" s="1038"/>
      <c r="H176" s="573"/>
      <c r="I176" s="1038"/>
      <c r="J176" s="145"/>
      <c r="K176" s="1038"/>
      <c r="L176" s="145"/>
      <c r="M176" s="1447"/>
      <c r="N176" s="145"/>
      <c r="O176" s="1573"/>
      <c r="P176" s="1574"/>
      <c r="Q176" s="251"/>
    </row>
    <row r="177" spans="2:19" s="176" customFormat="1" ht="18" customHeight="1" thickBot="1" x14ac:dyDescent="0.3">
      <c r="B177" s="243"/>
      <c r="C177" s="145"/>
      <c r="D177" s="7"/>
      <c r="E177" s="617"/>
      <c r="F177" s="887"/>
      <c r="G177" s="88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79" t="s">
        <v>1402</v>
      </c>
      <c r="E178" s="1390"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79" t="s">
        <v>1403</v>
      </c>
      <c r="E179" s="1390" t="str">
        <f>IF(E175="Yes",IF(Welcome!$D$6="New",IF('Required Info to Submit'!F$17="","",'Required Info to Submit'!F$17),""),"")</f>
        <v/>
      </c>
      <c r="F179" s="196"/>
      <c r="G179" s="1037"/>
      <c r="H179" s="145"/>
      <c r="I179" s="145"/>
      <c r="J179" s="145"/>
      <c r="K179" s="1040"/>
      <c r="L179" s="188"/>
      <c r="M179" s="218"/>
      <c r="N179" s="145"/>
      <c r="O179" s="969">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4" customFormat="1" ht="10.15" customHeight="1" x14ac:dyDescent="0.25">
      <c r="C181" s="177"/>
      <c r="D181" s="981"/>
      <c r="E181" s="177"/>
      <c r="F181" s="207"/>
      <c r="G181" s="233"/>
      <c r="H181" s="177"/>
      <c r="I181" s="234"/>
      <c r="J181" s="211"/>
      <c r="K181" s="212"/>
      <c r="L181" s="177"/>
      <c r="M181" s="212"/>
      <c r="N181" s="212"/>
      <c r="O181" s="212"/>
      <c r="P181" s="247"/>
      <c r="Q181" s="179"/>
      <c r="S181" s="616"/>
    </row>
    <row r="182" spans="2:19" s="934" customFormat="1" ht="20.25" customHeight="1" thickBot="1" x14ac:dyDescent="0.3">
      <c r="B182" s="248"/>
      <c r="C182" s="183"/>
      <c r="D182" s="1583" t="s">
        <v>1492</v>
      </c>
      <c r="E182" s="1583"/>
      <c r="F182" s="213"/>
      <c r="G182" s="235"/>
      <c r="H182" s="183"/>
      <c r="I182" s="236"/>
      <c r="J182" s="216"/>
      <c r="K182" s="217"/>
      <c r="L182" s="183"/>
      <c r="M182" s="217"/>
      <c r="N182" s="157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9"/>
      <c r="P182" s="1580"/>
      <c r="Q182" s="179"/>
      <c r="S182" s="616"/>
    </row>
    <row r="183" spans="2:19" s="934" customFormat="1" ht="17.25" customHeight="1" thickBot="1" x14ac:dyDescent="0.3">
      <c r="B183" s="243"/>
      <c r="C183" s="188"/>
      <c r="D183" s="979" t="s">
        <v>524</v>
      </c>
      <c r="E183" s="992" t="s">
        <v>649</v>
      </c>
      <c r="F183" s="685"/>
      <c r="G183" s="228" t="s">
        <v>1397</v>
      </c>
      <c r="H183" s="573"/>
      <c r="I183" s="228" t="s">
        <v>1398</v>
      </c>
      <c r="J183" s="41"/>
      <c r="K183" s="228" t="s">
        <v>837</v>
      </c>
      <c r="L183" s="145"/>
      <c r="M183" s="194" t="s">
        <v>1399</v>
      </c>
      <c r="N183" s="1581"/>
      <c r="O183" s="1581"/>
      <c r="P183" s="1582"/>
      <c r="Q183" s="179"/>
      <c r="S183" s="616"/>
    </row>
    <row r="184" spans="2:19" s="934" customFormat="1" ht="18" customHeight="1" thickBot="1" x14ac:dyDescent="0.3">
      <c r="B184" s="243"/>
      <c r="C184" s="188"/>
      <c r="D184" s="872" t="s">
        <v>1400</v>
      </c>
      <c r="E184" s="1351" t="s">
        <v>1401</v>
      </c>
      <c r="F184" s="686" t="s">
        <v>1101</v>
      </c>
      <c r="G184" s="1038"/>
      <c r="H184" s="573"/>
      <c r="I184" s="1038"/>
      <c r="J184" s="145"/>
      <c r="K184" s="1038"/>
      <c r="L184" s="145"/>
      <c r="M184" s="1448"/>
      <c r="N184" s="1581"/>
      <c r="O184" s="1581"/>
      <c r="P184" s="1582"/>
      <c r="Q184" s="179"/>
      <c r="S184" s="616"/>
    </row>
    <row r="185" spans="2:19" s="934" customFormat="1" ht="25.5" customHeight="1" thickBot="1" x14ac:dyDescent="0.3">
      <c r="B185" s="243"/>
      <c r="C185" s="188"/>
      <c r="D185" s="7"/>
      <c r="E185" s="940"/>
      <c r="F185" s="196"/>
      <c r="G185" s="692"/>
      <c r="H185" s="188"/>
      <c r="I185" s="236"/>
      <c r="J185" s="691"/>
      <c r="K185" s="217"/>
      <c r="L185" s="188"/>
      <c r="M185" s="937"/>
      <c r="N185" s="1581"/>
      <c r="O185" s="1581"/>
      <c r="P185" s="1582"/>
      <c r="Q185" s="179"/>
      <c r="S185" s="616"/>
    </row>
    <row r="186" spans="2:19" s="934" customFormat="1" ht="18" customHeight="1" thickBot="1" x14ac:dyDescent="0.3">
      <c r="B186" s="243"/>
      <c r="C186" s="188"/>
      <c r="D186" s="879" t="s">
        <v>1402</v>
      </c>
      <c r="E186" s="1390" t="str">
        <f>IF(E183="Yes",IF(Welcome!$D$6="New",IF('Required Info to Submit'!F$14="","",'Required Info to Submit'!F$14),""),"")</f>
        <v/>
      </c>
      <c r="F186" s="936"/>
      <c r="G186" s="228" t="s">
        <v>1413</v>
      </c>
      <c r="H186" s="939"/>
      <c r="I186" s="228" t="s">
        <v>1493</v>
      </c>
      <c r="J186" s="145"/>
      <c r="K186" s="228" t="s">
        <v>1494</v>
      </c>
      <c r="L186" s="145"/>
      <c r="M186" s="228" t="s">
        <v>1419</v>
      </c>
      <c r="N186" s="937"/>
      <c r="O186" s="6" t="s">
        <v>490</v>
      </c>
      <c r="P186" s="938"/>
      <c r="Q186" s="179"/>
      <c r="S186" s="616"/>
    </row>
    <row r="187" spans="2:19" s="934" customFormat="1" ht="17.25" customHeight="1" thickBot="1" x14ac:dyDescent="0.3">
      <c r="B187" s="243"/>
      <c r="C187" s="188"/>
      <c r="D187" s="879" t="s">
        <v>1403</v>
      </c>
      <c r="E187" s="1390" t="str">
        <f>IF(E183="Yes",IF(Welcome!$D$6="New",IF('Required Info to Submit'!F$17="","",'Required Info to Submit'!F$17),""),"")</f>
        <v/>
      </c>
      <c r="F187" s="685"/>
      <c r="G187" s="974">
        <f>IFERROR(I187+K187,0)</f>
        <v>0</v>
      </c>
      <c r="H187" s="188"/>
      <c r="I187" s="1039"/>
      <c r="J187" s="145"/>
      <c r="K187" s="973"/>
      <c r="L187" s="145"/>
      <c r="M187" s="1039"/>
      <c r="N187" s="145"/>
      <c r="O187" s="969">
        <f>IFERROR(IF($E183="Yes",G187/$H$4,0),0)</f>
        <v>0</v>
      </c>
      <c r="P187" s="244"/>
      <c r="Q187" s="179"/>
      <c r="S187" s="616"/>
    </row>
    <row r="188" spans="2:19" s="934" customFormat="1" ht="18" customHeight="1" thickBot="1" x14ac:dyDescent="0.3">
      <c r="B188" s="243"/>
      <c r="C188" s="188"/>
      <c r="D188" s="7"/>
      <c r="E188" s="188"/>
      <c r="F188" s="686" t="s">
        <v>1101</v>
      </c>
      <c r="G188" s="878"/>
      <c r="H188" s="188"/>
      <c r="I188" s="941"/>
      <c r="J188" s="188"/>
      <c r="K188" s="878"/>
      <c r="L188" s="188"/>
      <c r="M188" s="145"/>
      <c r="N188" s="145"/>
      <c r="O188" s="145"/>
      <c r="P188" s="244"/>
      <c r="Q188" s="179"/>
    </row>
    <row r="189" spans="2:19" s="934" customFormat="1" ht="33" customHeight="1" x14ac:dyDescent="0.25">
      <c r="B189" s="243"/>
      <c r="C189" s="188"/>
      <c r="D189" s="1585" t="s">
        <v>1495</v>
      </c>
      <c r="E189" s="1586"/>
      <c r="F189" s="686"/>
      <c r="G189" s="228" t="s">
        <v>1497</v>
      </c>
      <c r="H189" s="145"/>
      <c r="I189" s="228" t="s">
        <v>1498</v>
      </c>
      <c r="J189" s="145"/>
      <c r="K189" s="228" t="s">
        <v>1141</v>
      </c>
      <c r="L189" s="220"/>
      <c r="M189" s="228" t="s">
        <v>1499</v>
      </c>
      <c r="N189" s="145"/>
      <c r="O189" s="228" t="s">
        <v>1140</v>
      </c>
      <c r="P189" s="244"/>
      <c r="Q189" s="179"/>
    </row>
    <row r="190" spans="2:19" s="934" customFormat="1" ht="18" customHeight="1" thickBot="1" x14ac:dyDescent="0.3">
      <c r="B190" s="243"/>
      <c r="C190" s="188"/>
      <c r="D190" s="1587" t="s">
        <v>1496</v>
      </c>
      <c r="E190" s="1588"/>
      <c r="F190" s="686"/>
      <c r="G190" s="1089"/>
      <c r="H190" s="145"/>
      <c r="I190" s="1090"/>
      <c r="J190" s="145"/>
      <c r="K190" s="1407"/>
      <c r="L190" s="220"/>
      <c r="M190" s="1407"/>
      <c r="N190" s="145"/>
      <c r="O190" s="1039"/>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1"/>
      <c r="E192" s="180"/>
      <c r="F192" s="180"/>
      <c r="G192" s="180"/>
      <c r="H192" s="180"/>
      <c r="I192" s="180"/>
      <c r="J192" s="180"/>
      <c r="K192" s="180"/>
      <c r="L192" s="180"/>
      <c r="M192" s="180"/>
      <c r="N192" s="180"/>
      <c r="O192" s="180"/>
      <c r="P192" s="629"/>
      <c r="Q192" s="251"/>
    </row>
    <row r="193" spans="2:19" s="864" customFormat="1" ht="20.25" customHeight="1" thickBot="1" x14ac:dyDescent="0.3">
      <c r="B193" s="248"/>
      <c r="C193" s="183"/>
      <c r="D193" s="1583" t="s">
        <v>1138</v>
      </c>
      <c r="E193" s="1583"/>
      <c r="F193" s="213"/>
      <c r="G193" s="235"/>
      <c r="H193" s="183"/>
      <c r="I193" s="236"/>
      <c r="J193" s="216"/>
      <c r="K193" s="217"/>
      <c r="L193" s="183"/>
      <c r="M193" s="217"/>
      <c r="N193" s="157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9"/>
      <c r="P193" s="1580"/>
      <c r="Q193" s="179"/>
      <c r="S193" s="616"/>
    </row>
    <row r="194" spans="2:19" s="864" customFormat="1" ht="18" customHeight="1" thickBot="1" x14ac:dyDescent="0.3">
      <c r="B194" s="243"/>
      <c r="C194" s="188"/>
      <c r="D194" s="979" t="s">
        <v>524</v>
      </c>
      <c r="E194" s="892" t="s">
        <v>649</v>
      </c>
      <c r="F194" s="685"/>
      <c r="G194" s="194" t="s">
        <v>1397</v>
      </c>
      <c r="H194" s="188"/>
      <c r="I194" s="194" t="s">
        <v>1398</v>
      </c>
      <c r="J194" s="41"/>
      <c r="K194" s="194" t="s">
        <v>1414</v>
      </c>
      <c r="L194" s="188"/>
      <c r="M194" s="194" t="s">
        <v>1399</v>
      </c>
      <c r="N194" s="1581"/>
      <c r="O194" s="1581"/>
      <c r="P194" s="1582"/>
      <c r="Q194" s="179"/>
      <c r="S194" s="616"/>
    </row>
    <row r="195" spans="2:19" s="864" customFormat="1" ht="18" customHeight="1" thickBot="1" x14ac:dyDescent="0.3">
      <c r="B195" s="243"/>
      <c r="C195" s="188"/>
      <c r="D195" s="872" t="s">
        <v>1400</v>
      </c>
      <c r="E195" s="949" t="s">
        <v>1401</v>
      </c>
      <c r="F195" s="940"/>
      <c r="G195" s="1044"/>
      <c r="H195" s="188"/>
      <c r="I195" s="1038"/>
      <c r="J195" s="940"/>
      <c r="K195" s="1038"/>
      <c r="L195" s="188"/>
      <c r="M195" s="1449"/>
      <c r="N195" s="1581"/>
      <c r="O195" s="1581"/>
      <c r="P195" s="1582"/>
      <c r="Q195" s="179"/>
      <c r="S195" s="616"/>
    </row>
    <row r="196" spans="2:19" s="864" customFormat="1" ht="25.5" customHeight="1" thickBot="1" x14ac:dyDescent="0.3">
      <c r="B196" s="243"/>
      <c r="C196" s="188"/>
      <c r="D196" s="7"/>
      <c r="E196" s="188"/>
      <c r="F196" s="145"/>
      <c r="G196" s="188"/>
      <c r="H196" s="188"/>
      <c r="I196" s="188"/>
      <c r="J196" s="188"/>
      <c r="K196" s="188"/>
      <c r="L196" s="943"/>
      <c r="M196" s="188"/>
      <c r="N196" s="1581"/>
      <c r="O196" s="1581"/>
      <c r="P196" s="1582"/>
      <c r="Q196" s="179"/>
      <c r="S196" s="613" t="str">
        <f>IF($E196="NO","",IF($I195="Select Payment Method","X",""))</f>
        <v/>
      </c>
    </row>
    <row r="197" spans="2:19" s="864" customFormat="1" ht="18" customHeight="1" thickBot="1" x14ac:dyDescent="0.3">
      <c r="B197" s="243"/>
      <c r="C197" s="188"/>
      <c r="D197" s="879" t="s">
        <v>1402</v>
      </c>
      <c r="E197" s="1390" t="str">
        <f>IF(E194="Yes",IF(Welcome!$D$6="New",IF('Required Info to Submit'!F$14="","",'Required Info to Submit'!F$14),""),"")</f>
        <v/>
      </c>
      <c r="F197" s="685"/>
      <c r="G197" s="228" t="s">
        <v>1413</v>
      </c>
      <c r="H197" s="188"/>
      <c r="I197" s="194" t="s">
        <v>1500</v>
      </c>
      <c r="J197" s="1591"/>
      <c r="K197" s="194" t="s">
        <v>728</v>
      </c>
      <c r="L197" s="1591"/>
      <c r="M197" s="194" t="s">
        <v>1501</v>
      </c>
      <c r="N197" s="145"/>
      <c r="O197" s="6" t="s">
        <v>490</v>
      </c>
      <c r="P197" s="244"/>
      <c r="Q197" s="179"/>
      <c r="S197" s="616"/>
    </row>
    <row r="198" spans="2:19" s="864" customFormat="1" ht="18" customHeight="1" thickBot="1" x14ac:dyDescent="0.3">
      <c r="B198" s="243"/>
      <c r="C198" s="188"/>
      <c r="D198" s="879" t="s">
        <v>1403</v>
      </c>
      <c r="E198" s="1390" t="str">
        <f>IF(E194="Yes",IF(Welcome!$D$6="New",IF('Required Info to Submit'!F$17="","",'Required Info to Submit'!F$17),""),"")</f>
        <v/>
      </c>
      <c r="F198" s="686" t="s">
        <v>881</v>
      </c>
      <c r="G198" s="973"/>
      <c r="H198" s="188"/>
      <c r="I198" s="976">
        <v>1</v>
      </c>
      <c r="J198" s="1592"/>
      <c r="K198" s="973"/>
      <c r="L198" s="1593"/>
      <c r="M198" s="1039"/>
      <c r="N198" s="145"/>
      <c r="O198" s="969">
        <f>IFERROR(IF($E$194="Yes",G198/$H$4,0),0)</f>
        <v>0</v>
      </c>
      <c r="P198" s="244"/>
      <c r="Q198" s="179"/>
      <c r="S198" s="679"/>
    </row>
    <row r="199" spans="2:19" s="935" customFormat="1" ht="18" customHeight="1" x14ac:dyDescent="0.25">
      <c r="B199" s="243"/>
      <c r="C199" s="188"/>
      <c r="D199" s="991"/>
      <c r="E199" s="688">
        <f>IF($E$197&lt;&gt;"",VALUE($E$197),0)</f>
        <v>0</v>
      </c>
      <c r="F199" s="686"/>
      <c r="G199" s="574"/>
      <c r="H199" s="573"/>
      <c r="I199" s="976">
        <v>2</v>
      </c>
      <c r="J199" s="944"/>
      <c r="K199" s="973"/>
      <c r="L199" s="945"/>
      <c r="M199" s="1039"/>
      <c r="N199" s="940"/>
      <c r="O199" s="937"/>
      <c r="P199" s="244"/>
      <c r="Q199" s="179"/>
      <c r="S199" s="679"/>
    </row>
    <row r="200" spans="2:19" s="935" customFormat="1" ht="18" customHeight="1" x14ac:dyDescent="0.25">
      <c r="B200" s="243"/>
      <c r="C200" s="188"/>
      <c r="D200" s="991"/>
      <c r="E200" s="688">
        <f>IF($E$198&lt;&gt;"",VALUE($E$198),0)</f>
        <v>0</v>
      </c>
      <c r="F200" s="686"/>
      <c r="G200" s="194" t="s">
        <v>1406</v>
      </c>
      <c r="H200" s="573"/>
      <c r="I200" s="976">
        <v>3</v>
      </c>
      <c r="J200" s="944"/>
      <c r="K200" s="973"/>
      <c r="L200" s="945"/>
      <c r="M200" s="1039"/>
      <c r="N200" s="940"/>
      <c r="O200" s="937"/>
      <c r="P200" s="244"/>
      <c r="Q200" s="179"/>
      <c r="S200" s="679"/>
    </row>
    <row r="201" spans="2:19" s="935" customFormat="1" ht="18" customHeight="1" x14ac:dyDescent="0.25">
      <c r="B201" s="243"/>
      <c r="C201" s="188"/>
      <c r="D201" s="991"/>
      <c r="E201" s="688"/>
      <c r="F201" s="686"/>
      <c r="G201" s="1052">
        <f>IFERROR(IF(Welcome!$D$6="New",(Incentives!G187+Incentives!G198)/(Incentives!H5*Incentives!H4),Incentives!G198/(Incentives!H5*(Incentives!E198-Incentives!E197)/365)),0)</f>
        <v>0</v>
      </c>
      <c r="H201" s="573"/>
      <c r="I201" s="976">
        <v>4</v>
      </c>
      <c r="J201" s="944"/>
      <c r="K201" s="973"/>
      <c r="L201" s="945"/>
      <c r="M201" s="1039"/>
      <c r="N201" s="940"/>
      <c r="O201" s="937"/>
      <c r="P201" s="244"/>
      <c r="Q201" s="179"/>
      <c r="S201" s="679"/>
    </row>
    <row r="202" spans="2:19" s="935" customFormat="1" ht="18" customHeight="1" x14ac:dyDescent="0.25">
      <c r="B202" s="243"/>
      <c r="C202" s="188"/>
      <c r="D202" s="991"/>
      <c r="E202" s="688"/>
      <c r="F202" s="686"/>
      <c r="G202" s="574"/>
      <c r="H202" s="573"/>
      <c r="I202" s="976">
        <v>5</v>
      </c>
      <c r="J202" s="944"/>
      <c r="K202" s="973"/>
      <c r="L202" s="945"/>
      <c r="M202" s="1039"/>
      <c r="N202" s="940"/>
      <c r="O202" s="937"/>
      <c r="P202" s="244"/>
      <c r="Q202" s="179"/>
      <c r="S202" s="679"/>
    </row>
    <row r="203" spans="2:19" s="176" customFormat="1" ht="21" customHeight="1" x14ac:dyDescent="0.25">
      <c r="B203" s="245"/>
      <c r="C203" s="202"/>
      <c r="D203" s="495"/>
      <c r="E203" s="202"/>
      <c r="F203" s="687"/>
      <c r="G203" s="687"/>
      <c r="H203" s="202"/>
      <c r="I203" s="942"/>
      <c r="J203" s="202"/>
      <c r="K203" s="1100">
        <f>SUM(K198:K202)</f>
        <v>0</v>
      </c>
      <c r="L203" s="202"/>
      <c r="M203" s="202"/>
      <c r="N203" s="202"/>
      <c r="O203" s="202"/>
      <c r="P203" s="250"/>
      <c r="Q203" s="251"/>
    </row>
    <row r="204" spans="2:19" s="864" customFormat="1" ht="10.15" customHeight="1" x14ac:dyDescent="0.25">
      <c r="C204" s="177"/>
      <c r="D204" s="981"/>
      <c r="E204" s="177"/>
      <c r="F204" s="207"/>
      <c r="G204" s="233"/>
      <c r="H204" s="177"/>
      <c r="I204" s="234"/>
      <c r="J204" s="211"/>
      <c r="K204" s="212"/>
      <c r="L204" s="177"/>
      <c r="M204" s="212"/>
      <c r="N204" s="212"/>
      <c r="O204" s="212"/>
      <c r="P204" s="247"/>
      <c r="Q204" s="179"/>
      <c r="S204" s="616"/>
    </row>
    <row r="205" spans="2:19" s="864" customFormat="1" ht="20.25" hidden="1" customHeight="1" thickBot="1" x14ac:dyDescent="0.3">
      <c r="B205" s="248"/>
      <c r="C205" s="183"/>
      <c r="D205" s="1583" t="s">
        <v>1138</v>
      </c>
      <c r="E205" s="1583"/>
      <c r="F205" s="213"/>
      <c r="G205" s="235"/>
      <c r="H205" s="183"/>
      <c r="I205" s="236"/>
      <c r="J205" s="216"/>
      <c r="K205" s="217"/>
      <c r="L205" s="183"/>
      <c r="M205" s="217"/>
      <c r="N205" s="157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9"/>
      <c r="P205" s="1580"/>
      <c r="Q205" s="179"/>
      <c r="S205" s="616"/>
    </row>
    <row r="206" spans="2:19" s="864" customFormat="1" ht="18" hidden="1" customHeight="1" thickBot="1" x14ac:dyDescent="0.3">
      <c r="B206" s="243"/>
      <c r="C206" s="188"/>
      <c r="D206" s="979" t="s">
        <v>524</v>
      </c>
      <c r="E206" s="892" t="s">
        <v>649</v>
      </c>
      <c r="F206" s="685"/>
      <c r="G206" s="194" t="s">
        <v>1397</v>
      </c>
      <c r="H206" s="188"/>
      <c r="I206" s="194" t="s">
        <v>1398</v>
      </c>
      <c r="J206" s="41"/>
      <c r="K206" s="194" t="s">
        <v>1414</v>
      </c>
      <c r="L206" s="188"/>
      <c r="M206" s="194" t="s">
        <v>1399</v>
      </c>
      <c r="N206" s="1581"/>
      <c r="O206" s="1581"/>
      <c r="P206" s="1582"/>
      <c r="Q206" s="179"/>
      <c r="S206" s="616"/>
    </row>
    <row r="207" spans="2:19" s="864" customFormat="1" ht="18" hidden="1" customHeight="1" thickBot="1" x14ac:dyDescent="0.3">
      <c r="B207" s="243"/>
      <c r="C207" s="188"/>
      <c r="D207" s="872" t="s">
        <v>1400</v>
      </c>
      <c r="E207" s="949" t="s">
        <v>1401</v>
      </c>
      <c r="F207" s="686" t="s">
        <v>881</v>
      </c>
      <c r="G207" s="1044"/>
      <c r="H207" s="188"/>
      <c r="I207" s="1038"/>
      <c r="J207" s="940"/>
      <c r="K207" s="1038"/>
      <c r="L207" s="188"/>
      <c r="M207" s="1450"/>
      <c r="N207" s="1581"/>
      <c r="O207" s="1581"/>
      <c r="P207" s="1582"/>
      <c r="Q207" s="179"/>
      <c r="S207" s="616"/>
    </row>
    <row r="208" spans="2:19" s="864" customFormat="1" ht="18" hidden="1" customHeight="1" thickBot="1" x14ac:dyDescent="0.3">
      <c r="B208" s="243"/>
      <c r="C208" s="188"/>
      <c r="D208" s="7"/>
      <c r="E208" s="188"/>
      <c r="F208" s="940"/>
      <c r="G208" s="188"/>
      <c r="H208" s="188"/>
      <c r="I208" s="188"/>
      <c r="J208" s="188"/>
      <c r="K208" s="188"/>
      <c r="L208" s="943"/>
      <c r="M208" s="188"/>
      <c r="N208" s="1581"/>
      <c r="O208" s="1581"/>
      <c r="P208" s="1582"/>
      <c r="Q208" s="179"/>
      <c r="S208" s="616"/>
    </row>
    <row r="209" spans="2:20" s="864" customFormat="1" ht="18" hidden="1" customHeight="1" thickBot="1" x14ac:dyDescent="0.3">
      <c r="B209" s="243"/>
      <c r="C209" s="188"/>
      <c r="D209" s="879" t="s">
        <v>1402</v>
      </c>
      <c r="E209" s="1390" t="str">
        <f>IF(E206="Yes",IF(Welcome!$D$6="New",IF('Required Info to Submit'!F$14="","",'Required Info to Submit'!F$14),""),"")</f>
        <v/>
      </c>
      <c r="F209" s="685"/>
      <c r="G209" s="228" t="s">
        <v>1413</v>
      </c>
      <c r="H209" s="188"/>
      <c r="I209" s="194" t="s">
        <v>1500</v>
      </c>
      <c r="J209" s="1591"/>
      <c r="K209" s="194" t="s">
        <v>728</v>
      </c>
      <c r="L209" s="1591"/>
      <c r="M209" s="194" t="s">
        <v>1501</v>
      </c>
      <c r="N209" s="940"/>
      <c r="O209" s="6" t="s">
        <v>490</v>
      </c>
      <c r="P209" s="244"/>
      <c r="Q209" s="179"/>
      <c r="S209" s="616"/>
    </row>
    <row r="210" spans="2:20" s="864" customFormat="1" ht="18" hidden="1" customHeight="1" thickBot="1" x14ac:dyDescent="0.3">
      <c r="B210" s="243"/>
      <c r="C210" s="188"/>
      <c r="D210" s="879" t="s">
        <v>1403</v>
      </c>
      <c r="E210" s="1390" t="str">
        <f>IF(E206="Yes",IF(Welcome!$D$6="New",IF('Required Info to Submit'!F$17="","",'Required Info to Submit'!F$17),""),"")</f>
        <v/>
      </c>
      <c r="F210" s="686" t="s">
        <v>881</v>
      </c>
      <c r="G210" s="1039"/>
      <c r="H210" s="188"/>
      <c r="I210" s="976">
        <v>1</v>
      </c>
      <c r="J210" s="1592"/>
      <c r="K210" s="973"/>
      <c r="L210" s="1593"/>
      <c r="M210" s="1039"/>
      <c r="N210" s="940"/>
      <c r="O210" s="969">
        <f>IFERROR(IF($E$194="Yes",G210/$H$4,0),0)</f>
        <v>0</v>
      </c>
      <c r="P210" s="244"/>
      <c r="Q210" s="179"/>
      <c r="S210" s="616"/>
    </row>
    <row r="211" spans="2:20" s="864" customFormat="1" ht="18" hidden="1" customHeight="1" x14ac:dyDescent="0.25">
      <c r="B211" s="243"/>
      <c r="C211" s="188"/>
      <c r="D211" s="991"/>
      <c r="E211" s="688"/>
      <c r="F211" s="686"/>
      <c r="G211" s="574"/>
      <c r="H211" s="573"/>
      <c r="I211" s="976">
        <v>2</v>
      </c>
      <c r="J211" s="944"/>
      <c r="K211" s="973"/>
      <c r="L211" s="945"/>
      <c r="M211" s="1039"/>
      <c r="N211" s="940"/>
      <c r="O211" s="937"/>
      <c r="P211" s="244"/>
      <c r="Q211" s="179"/>
    </row>
    <row r="212" spans="2:20" s="935" customFormat="1" ht="18" hidden="1" customHeight="1" x14ac:dyDescent="0.25">
      <c r="B212" s="243"/>
      <c r="C212" s="188"/>
      <c r="D212" s="991"/>
      <c r="E212" s="688"/>
      <c r="F212" s="686"/>
      <c r="G212" s="194" t="s">
        <v>1406</v>
      </c>
      <c r="H212" s="573"/>
      <c r="I212" s="976">
        <v>3</v>
      </c>
      <c r="J212" s="944"/>
      <c r="K212" s="973"/>
      <c r="L212" s="945"/>
      <c r="M212" s="1039"/>
      <c r="N212" s="940"/>
      <c r="O212" s="937"/>
      <c r="P212" s="244"/>
      <c r="Q212" s="179"/>
    </row>
    <row r="213" spans="2:20" s="935" customFormat="1" ht="18" hidden="1" customHeight="1" x14ac:dyDescent="0.25">
      <c r="B213" s="243"/>
      <c r="C213" s="188"/>
      <c r="D213" s="991"/>
      <c r="E213" s="688"/>
      <c r="F213" s="686"/>
      <c r="G213" s="1052">
        <f>IFERROR(IF(Welcome!$D$6="New",Incentives!G210/(Incentives!H5*Incentives!H4),Incentives!G210/(Incentives!H5*(Incentives!E210-Incentives!E209)/365)),0)</f>
        <v>0</v>
      </c>
      <c r="H213" s="573"/>
      <c r="I213" s="976">
        <v>4</v>
      </c>
      <c r="J213" s="944"/>
      <c r="K213" s="973"/>
      <c r="L213" s="945"/>
      <c r="M213" s="1039"/>
      <c r="N213" s="940"/>
      <c r="O213" s="937"/>
      <c r="P213" s="244"/>
      <c r="Q213" s="179"/>
    </row>
    <row r="214" spans="2:20" s="935" customFormat="1" ht="18" hidden="1" customHeight="1" x14ac:dyDescent="0.25">
      <c r="B214" s="243"/>
      <c r="C214" s="188"/>
      <c r="D214" s="991"/>
      <c r="E214" s="688"/>
      <c r="F214" s="686"/>
      <c r="G214" s="574"/>
      <c r="H214" s="573"/>
      <c r="I214" s="976">
        <v>5</v>
      </c>
      <c r="J214" s="944"/>
      <c r="K214" s="973"/>
      <c r="L214" s="945"/>
      <c r="M214" s="1039"/>
      <c r="N214" s="940"/>
      <c r="O214" s="937"/>
      <c r="P214" s="244"/>
      <c r="Q214" s="179"/>
    </row>
    <row r="215" spans="2:20" s="176" customFormat="1" ht="21" hidden="1" customHeight="1" x14ac:dyDescent="0.25">
      <c r="B215" s="245"/>
      <c r="C215" s="202"/>
      <c r="D215" s="495"/>
      <c r="E215" s="202"/>
      <c r="F215" s="687"/>
      <c r="G215" s="687"/>
      <c r="H215" s="202"/>
      <c r="I215" s="942"/>
      <c r="J215" s="202"/>
      <c r="K215" s="946">
        <f>SUM(K210:K214)</f>
        <v>0</v>
      </c>
      <c r="L215" s="202"/>
      <c r="M215" s="202"/>
      <c r="N215" s="202"/>
      <c r="O215" s="202"/>
      <c r="P215" s="250"/>
      <c r="Q215" s="251"/>
    </row>
    <row r="216" spans="2:20" s="864" customFormat="1" ht="10.15" hidden="1" customHeight="1" x14ac:dyDescent="0.25">
      <c r="C216" s="177"/>
      <c r="D216" s="981"/>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4" t="s">
        <v>1502</v>
      </c>
      <c r="E217" s="1584"/>
      <c r="F217" s="947"/>
      <c r="G217" s="184"/>
      <c r="H217" s="184"/>
      <c r="I217" s="184"/>
      <c r="J217" s="184"/>
      <c r="K217" s="184"/>
      <c r="L217" s="184"/>
      <c r="M217" s="184"/>
      <c r="N217" s="184"/>
      <c r="O217" s="184"/>
      <c r="P217" s="630"/>
      <c r="Q217" s="251"/>
    </row>
    <row r="218" spans="2:20" s="176" customFormat="1" ht="17.25" hidden="1" customHeight="1" thickBot="1" x14ac:dyDescent="0.3">
      <c r="B218" s="243"/>
      <c r="C218" s="145"/>
      <c r="D218" s="979" t="s">
        <v>524</v>
      </c>
      <c r="E218" s="892" t="s">
        <v>649</v>
      </c>
      <c r="F218" s="239"/>
      <c r="G218" s="887"/>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2" t="s">
        <v>1400</v>
      </c>
      <c r="E219" s="949" t="s">
        <v>1401</v>
      </c>
      <c r="F219" s="196"/>
      <c r="G219" s="887"/>
      <c r="H219" s="145"/>
      <c r="I219" s="1036"/>
      <c r="J219" s="940"/>
      <c r="K219" s="1038"/>
      <c r="L219" s="145"/>
      <c r="M219" s="1037"/>
      <c r="N219" s="145"/>
      <c r="O219" s="145"/>
      <c r="P219" s="631"/>
      <c r="Q219" s="251"/>
    </row>
    <row r="220" spans="2:20" s="176" customFormat="1" ht="15" hidden="1" customHeight="1" thickBot="1" x14ac:dyDescent="0.3">
      <c r="B220" s="243"/>
      <c r="C220" s="145"/>
      <c r="D220" s="7"/>
      <c r="E220" s="617"/>
      <c r="F220" s="887"/>
      <c r="G220" s="88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79" t="s">
        <v>1402</v>
      </c>
      <c r="E221" s="1390" t="str">
        <f>IF(E218="Yes",IF(Welcome!$D$6="New",IF('Required Info to Submit'!F$14="","",'Required Info to Submit'!F$14),""),"")</f>
        <v/>
      </c>
      <c r="F221" s="239"/>
      <c r="G221" s="940"/>
      <c r="H221" s="145"/>
      <c r="I221" s="940"/>
      <c r="J221" s="940"/>
      <c r="K221" s="194" t="s">
        <v>1406</v>
      </c>
      <c r="L221" s="188"/>
      <c r="M221" s="145"/>
      <c r="N221" s="145"/>
      <c r="O221" s="1144"/>
      <c r="P221" s="631"/>
      <c r="Q221" s="251"/>
    </row>
    <row r="222" spans="2:20" s="176" customFormat="1" ht="18" hidden="1" customHeight="1" thickBot="1" x14ac:dyDescent="0.3">
      <c r="B222" s="243"/>
      <c r="C222" s="145"/>
      <c r="D222" s="879" t="s">
        <v>1403</v>
      </c>
      <c r="E222" s="1390" t="str">
        <f>IF(E218="Yes",IF(Welcome!$D$6="New",IF('Required Info to Submit'!F$17="","",'Required Info to Submit'!F$17),""),"")</f>
        <v/>
      </c>
      <c r="F222" s="196"/>
      <c r="G222" s="940"/>
      <c r="H222" s="145"/>
      <c r="I222" s="940"/>
      <c r="J222" s="940"/>
      <c r="K222" s="1052"/>
      <c r="L222" s="948">
        <f>IF(G201&gt;1,1,G201)</f>
        <v>0</v>
      </c>
      <c r="M222" s="145"/>
      <c r="N222" s="145"/>
      <c r="O222" s="713"/>
      <c r="P222" s="631"/>
      <c r="Q222" s="251"/>
    </row>
    <row r="223" spans="2:20" s="176" customFormat="1" ht="48.75" hidden="1" customHeight="1" x14ac:dyDescent="0.25">
      <c r="B223" s="245"/>
      <c r="C223" s="202"/>
      <c r="D223" s="495"/>
      <c r="E223" s="202"/>
      <c r="F223" s="202"/>
      <c r="G223" s="693"/>
      <c r="H223" s="202"/>
      <c r="I223" s="202"/>
      <c r="J223" s="202"/>
      <c r="K223" s="1151"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0"/>
      <c r="N225" s="253" t="s">
        <v>1746</v>
      </c>
      <c r="O225" s="1145"/>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0"/>
      <c r="N226" s="180"/>
      <c r="O226" s="180"/>
      <c r="P226" s="180"/>
      <c r="Q226" s="251"/>
      <c r="R226" s="180"/>
      <c r="S226" s="180"/>
      <c r="T226" s="180"/>
    </row>
    <row r="227" spans="1:22" s="252" customFormat="1" ht="24" customHeight="1" thickBot="1" x14ac:dyDescent="0.35">
      <c r="D227" s="987">
        <f>'Customer Inputs'!$K$17</f>
        <v>0</v>
      </c>
      <c r="M227" s="891"/>
      <c r="N227" s="253" t="s">
        <v>226</v>
      </c>
      <c r="O227" s="1123">
        <f>IFERROR(O19+O33+O47+O61+O75+O89+O103+O115+O123+O131+O139+O147+O155+O163+O171+O179+O187+O198+O210+O225,0)</f>
        <v>0</v>
      </c>
      <c r="Q227" s="254"/>
      <c r="T227" s="329"/>
      <c r="U227" s="329"/>
      <c r="V227" s="330"/>
    </row>
    <row r="228" spans="1:22" s="252" customFormat="1" ht="27.6" customHeight="1" thickBot="1" x14ac:dyDescent="0.35">
      <c r="D228" s="988"/>
      <c r="L228" s="253"/>
      <c r="M228" s="611" t="str">
        <f>IF(M230&gt;0,"**Select Payment Method Above**","")</f>
        <v/>
      </c>
      <c r="N228" s="611"/>
      <c r="O228" s="611"/>
      <c r="P228" s="414" t="s">
        <v>202</v>
      </c>
      <c r="Q228" s="254"/>
    </row>
    <row r="229" spans="1:22" ht="24" customHeight="1" thickBot="1" x14ac:dyDescent="0.3">
      <c r="N229" s="253" t="s">
        <v>227</v>
      </c>
      <c r="O229" s="1124">
        <f>IFERROR($O$227/'PIM Model'!$G$31,0)</f>
        <v>0</v>
      </c>
      <c r="P229" s="415">
        <v>0.05</v>
      </c>
      <c r="Q229" s="138"/>
      <c r="R229" s="863"/>
    </row>
    <row r="230" spans="1:22" ht="24" customHeight="1" thickBot="1" x14ac:dyDescent="0.3">
      <c r="A230" s="256"/>
      <c r="B230" s="256"/>
      <c r="C230" s="256"/>
      <c r="D230" s="989"/>
      <c r="E230" s="256"/>
      <c r="F230" s="256"/>
      <c r="G230" s="256"/>
      <c r="H230" s="256"/>
      <c r="I230" s="256"/>
      <c r="J230" s="256"/>
      <c r="K230" s="256"/>
      <c r="L230" s="585"/>
      <c r="M230" s="612">
        <f>COUNTIF($S$14:$S$223,"X")</f>
        <v>0</v>
      </c>
      <c r="N230" s="612"/>
      <c r="O230" s="612"/>
      <c r="P230" s="586"/>
      <c r="Q230" s="257"/>
      <c r="R230" s="863"/>
    </row>
    <row r="231" spans="1:22" ht="48.6" customHeight="1" x14ac:dyDescent="0.25">
      <c r="C231" s="1589"/>
      <c r="D231" s="1589"/>
      <c r="I231" s="584"/>
      <c r="L231" s="864"/>
      <c r="M231" s="1590"/>
      <c r="N231" s="1590"/>
      <c r="O231" s="1590"/>
      <c r="P231" s="1590"/>
      <c r="R231" s="863"/>
    </row>
  </sheetData>
  <sheetProtection algorithmName="SHA-512" hashValue="eN51+NUNq62WSIvmXydAzTxVDovN1TjdSZ01V9yTkJ6M+3uACbSmc+RJ8jiLXJLHJlUkjqCP0RBVOPUCdw25Cg==" saltValue="qCPeULEFNlsL+gv0xEn+xw==" spinCount="100000" sheet="1" objects="1" scenarios="1"/>
  <mergeCells count="69">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 ref="N158:P161"/>
    <mergeCell ref="N166:P169"/>
  </mergeCells>
  <conditionalFormatting sqref="O229">
    <cfRule type="expression" dxfId="846" priority="420">
      <formula>$M$230&gt;0</formula>
    </cfRule>
    <cfRule type="cellIs" dxfId="845" priority="423" operator="lessThan">
      <formula>$P$229</formula>
    </cfRule>
    <cfRule type="cellIs" dxfId="844" priority="424" operator="greaterThan">
      <formula>$P$229</formula>
    </cfRule>
  </conditionalFormatting>
  <conditionalFormatting sqref="I14">
    <cfRule type="expression" dxfId="843" priority="422">
      <formula>$E$14&lt;&gt;"Please Select"</formula>
    </cfRule>
  </conditionalFormatting>
  <conditionalFormatting sqref="G61 K61">
    <cfRule type="expression" dxfId="842" priority="421">
      <formula>OR($E56="DS Tiered Average Invoice Dollar Qualifier",$E56="DS Threshold Average Invoice Dollar Qualifier")</formula>
    </cfRule>
  </conditionalFormatting>
  <conditionalFormatting sqref="G14">
    <cfRule type="expression" dxfId="841" priority="418">
      <formula>$E$14&lt;&gt;"Please Select"</formula>
    </cfRule>
  </conditionalFormatting>
  <conditionalFormatting sqref="G17">
    <cfRule type="expression" dxfId="840" priority="411">
      <formula>$E$15="YES"</formula>
    </cfRule>
  </conditionalFormatting>
  <conditionalFormatting sqref="G31">
    <cfRule type="expression" dxfId="839" priority="410">
      <formula>$E$15="YES"</formula>
    </cfRule>
  </conditionalFormatting>
  <conditionalFormatting sqref="G45">
    <cfRule type="expression" dxfId="838" priority="408">
      <formula>$E$15="YES"</formula>
    </cfRule>
  </conditionalFormatting>
  <conditionalFormatting sqref="M14">
    <cfRule type="expression" dxfId="837" priority="399">
      <formula>$K$14&lt;&gt;"Corporate Office"</formula>
    </cfRule>
    <cfRule type="expression" dxfId="836" priority="400">
      <formula>AND($K$14="Corporate Office",$I$14="Check")</formula>
    </cfRule>
    <cfRule type="expression" dxfId="835" priority="401">
      <formula>AND($I$14="Credit Memo",$K$14="Corporate Office")</formula>
    </cfRule>
  </conditionalFormatting>
  <conditionalFormatting sqref="M28">
    <cfRule type="expression" dxfId="834" priority="396">
      <formula>$K$28&lt;&gt;"Corporate Office"</formula>
    </cfRule>
    <cfRule type="expression" dxfId="833" priority="397">
      <formula>AND($K$28="Corporate Office",$I$28="Check")</formula>
    </cfRule>
    <cfRule type="expression" dxfId="832" priority="398">
      <formula>AND($I$28="Credit Memo",$K$28="Corporate Office")</formula>
    </cfRule>
  </conditionalFormatting>
  <conditionalFormatting sqref="M42">
    <cfRule type="expression" dxfId="831" priority="393">
      <formula>$K$42&lt;&gt;"Corporate Office"</formula>
    </cfRule>
    <cfRule type="expression" dxfId="830" priority="394">
      <formula>AND($K$42="Corporate Office",$I$42="Check")</formula>
    </cfRule>
    <cfRule type="expression" dxfId="829" priority="395">
      <formula>AND($I$42="Credit Memo",$K$42="Corporate Office")</formula>
    </cfRule>
  </conditionalFormatting>
  <conditionalFormatting sqref="K14">
    <cfRule type="expression" dxfId="828" priority="387">
      <formula>AND($E14&lt;&gt;"Please Select",$I14&lt;&gt;"Check")</formula>
    </cfRule>
  </conditionalFormatting>
  <conditionalFormatting sqref="I56">
    <cfRule type="expression" dxfId="827" priority="386">
      <formula>$E$56&lt;&gt;"Please Select"</formula>
    </cfRule>
  </conditionalFormatting>
  <conditionalFormatting sqref="G56">
    <cfRule type="expression" dxfId="826" priority="384">
      <formula>$E$56&lt;&gt;"Please Select"</formula>
    </cfRule>
  </conditionalFormatting>
  <conditionalFormatting sqref="I28">
    <cfRule type="expression" dxfId="825" priority="383">
      <formula>$E$28&lt;&gt;"Please Select"</formula>
    </cfRule>
  </conditionalFormatting>
  <conditionalFormatting sqref="G28">
    <cfRule type="expression" dxfId="824" priority="382">
      <formula>$E$28&lt;&gt;"Please Select"</formula>
    </cfRule>
  </conditionalFormatting>
  <conditionalFormatting sqref="I42">
    <cfRule type="expression" dxfId="823" priority="380">
      <formula>$E$42&lt;&gt;"Please Select"</formula>
    </cfRule>
  </conditionalFormatting>
  <conditionalFormatting sqref="G42">
    <cfRule type="expression" dxfId="822" priority="379">
      <formula>$E$42&lt;&gt;"Please Select"</formula>
    </cfRule>
  </conditionalFormatting>
  <conditionalFormatting sqref="I70">
    <cfRule type="expression" dxfId="821" priority="377">
      <formula>$E$70&lt;&gt;"Please Select"</formula>
    </cfRule>
  </conditionalFormatting>
  <conditionalFormatting sqref="M56">
    <cfRule type="expression" dxfId="820" priority="367">
      <formula>$K$56&lt;&gt;"Corporate Office"</formula>
    </cfRule>
    <cfRule type="expression" dxfId="819" priority="368">
      <formula>AND($K$56="Corporate Office",$I$56="Check")</formula>
    </cfRule>
    <cfRule type="expression" dxfId="818" priority="369">
      <formula>AND($I$56="Credit Memo",$K$56="Corporate Office")</formula>
    </cfRule>
  </conditionalFormatting>
  <conditionalFormatting sqref="M70">
    <cfRule type="expression" dxfId="817" priority="364">
      <formula>$K$70&lt;&gt;"Corporate Office"</formula>
    </cfRule>
    <cfRule type="expression" dxfId="816" priority="365">
      <formula>AND($K$70="Corporate Office",$I$70="Check")</formula>
    </cfRule>
    <cfRule type="expression" dxfId="815" priority="366">
      <formula>AND($I$70="Credit Memo",$K$70="Corporate Office")</formula>
    </cfRule>
  </conditionalFormatting>
  <conditionalFormatting sqref="I84">
    <cfRule type="expression" dxfId="814" priority="363">
      <formula>$E$84&lt;&gt;"Please Select"</formula>
    </cfRule>
  </conditionalFormatting>
  <conditionalFormatting sqref="G84">
    <cfRule type="expression" dxfId="813" priority="361">
      <formula>$E$84&lt;&gt;"Please Select"</formula>
    </cfRule>
  </conditionalFormatting>
  <conditionalFormatting sqref="M84">
    <cfRule type="expression" dxfId="812" priority="358">
      <formula>$K$84&lt;&gt;"Corporate Office"</formula>
    </cfRule>
    <cfRule type="expression" dxfId="811" priority="359">
      <formula>AND($K$84="Corporate Office",$I$84="Check")</formula>
    </cfRule>
    <cfRule type="expression" dxfId="810" priority="360">
      <formula>AND($I$84="Credit Memo",$K$84="Corporate Office")</formula>
    </cfRule>
  </conditionalFormatting>
  <conditionalFormatting sqref="I98">
    <cfRule type="expression" dxfId="809" priority="357">
      <formula>$E$98&lt;&gt;"Please Select"</formula>
    </cfRule>
  </conditionalFormatting>
  <conditionalFormatting sqref="G98">
    <cfRule type="expression" dxfId="808" priority="355">
      <formula>$E$98&lt;&gt;"Please Select"</formula>
    </cfRule>
  </conditionalFormatting>
  <conditionalFormatting sqref="M98">
    <cfRule type="expression" dxfId="807" priority="352">
      <formula>$K$98&lt;&gt;"Corporate Office"</formula>
    </cfRule>
    <cfRule type="expression" dxfId="806" priority="353">
      <formula>AND($K$98="Corporate Office",$I$98="Check")</formula>
    </cfRule>
    <cfRule type="expression" dxfId="805" priority="354">
      <formula>AND($I$98="Credit Memo",$K$98="Corporate Office")</formula>
    </cfRule>
  </conditionalFormatting>
  <conditionalFormatting sqref="G33">
    <cfRule type="expression" dxfId="804" priority="347">
      <formula>OR($E28="Volume Incentive Threshold",$E28="Volume Incentive Tiered")</formula>
    </cfRule>
  </conditionalFormatting>
  <conditionalFormatting sqref="G34">
    <cfRule type="expression" dxfId="803" priority="346">
      <formula>$E28="Volume Incentive Tiered"</formula>
    </cfRule>
  </conditionalFormatting>
  <conditionalFormatting sqref="G47">
    <cfRule type="expression" dxfId="802" priority="345">
      <formula>OR($E42="Volume Incentive Threshold",$E42="Volume Incentive Tiered")</formula>
    </cfRule>
  </conditionalFormatting>
  <conditionalFormatting sqref="G48">
    <cfRule type="expression" dxfId="801" priority="344">
      <formula>$E42="Volume Incentive Tiered"</formula>
    </cfRule>
  </conditionalFormatting>
  <conditionalFormatting sqref="G19">
    <cfRule type="expression" dxfId="800" priority="343">
      <formula>OR($E14="Volume Incentive Threshold",$E14="Volume Incentive Tiered")</formula>
    </cfRule>
  </conditionalFormatting>
  <conditionalFormatting sqref="G20 K20">
    <cfRule type="expression" dxfId="799" priority="342">
      <formula>$E14="Volume Incentive Tiered"</formula>
    </cfRule>
  </conditionalFormatting>
  <conditionalFormatting sqref="G62 K62">
    <cfRule type="expression" dxfId="798" priority="341">
      <formula>$E56="DS Tiered Average Invoice Dollar Qualifier"</formula>
    </cfRule>
  </conditionalFormatting>
  <conditionalFormatting sqref="G89">
    <cfRule type="expression" dxfId="797" priority="338">
      <formula>OR($E$84="EB Threshold Percent Qualifier",$E$84="EB Tiered Percent Qualifier")</formula>
    </cfRule>
  </conditionalFormatting>
  <conditionalFormatting sqref="K90">
    <cfRule type="expression" dxfId="796" priority="337">
      <formula>$E84="EB Tiered Percent Qualifier"</formula>
    </cfRule>
  </conditionalFormatting>
  <conditionalFormatting sqref="G103">
    <cfRule type="expression" dxfId="795" priority="336">
      <formula>OR($E$98="EB Threshold Percent Qualifier",$E$98="EB Tiered Percent Qualifier")</formula>
    </cfRule>
  </conditionalFormatting>
  <conditionalFormatting sqref="I112">
    <cfRule type="expression" dxfId="794" priority="332">
      <formula>$E$112&lt;&gt;"Please Select"</formula>
    </cfRule>
  </conditionalFormatting>
  <conditionalFormatting sqref="G112">
    <cfRule type="expression" dxfId="793" priority="330">
      <formula>$E$112&lt;&gt;"Please Select"</formula>
    </cfRule>
  </conditionalFormatting>
  <conditionalFormatting sqref="M112">
    <cfRule type="expression" dxfId="792" priority="327">
      <formula>$K$112&lt;&gt;"Corporate Office"</formula>
    </cfRule>
    <cfRule type="expression" dxfId="791" priority="328">
      <formula>AND($K$112="Corporate Office",$I$112="Check")</formula>
    </cfRule>
    <cfRule type="expression" dxfId="790" priority="329">
      <formula>AND($I$112="Credit Memo",$K$112="Corporate Office")</formula>
    </cfRule>
  </conditionalFormatting>
  <conditionalFormatting sqref="G115">
    <cfRule type="expression" dxfId="789" priority="325">
      <formula>$E$112="Growth Incentive Single Rate"</formula>
    </cfRule>
  </conditionalFormatting>
  <conditionalFormatting sqref="K115">
    <cfRule type="expression" dxfId="788" priority="324">
      <formula>$E$112&lt;&gt;"Please Select"</formula>
    </cfRule>
  </conditionalFormatting>
  <conditionalFormatting sqref="I152">
    <cfRule type="expression" dxfId="787" priority="323">
      <formula>$E$152&lt;&gt;"Please Select"</formula>
    </cfRule>
  </conditionalFormatting>
  <conditionalFormatting sqref="G152">
    <cfRule type="expression" dxfId="786" priority="321">
      <formula>$E$152&lt;&gt;"Please Select"</formula>
    </cfRule>
  </conditionalFormatting>
  <conditionalFormatting sqref="M152">
    <cfRule type="expression" dxfId="785" priority="318">
      <formula>$K$152&lt;&gt;"Corporate Office"</formula>
    </cfRule>
    <cfRule type="expression" dxfId="784" priority="319">
      <formula>AND($K$152="Corporate Office",$I$152="Check")</formula>
    </cfRule>
    <cfRule type="expression" dxfId="783" priority="320">
      <formula>AND($I$152="Credit Memo",$K$152="Corporate Office")</formula>
    </cfRule>
  </conditionalFormatting>
  <conditionalFormatting sqref="G155">
    <cfRule type="expression" dxfId="782" priority="317">
      <formula>$E$152="E-Commerce Incentive Threshold"</formula>
    </cfRule>
  </conditionalFormatting>
  <conditionalFormatting sqref="I160">
    <cfRule type="expression" dxfId="781" priority="314">
      <formula>$E$160&lt;&gt;"Please Select"</formula>
    </cfRule>
  </conditionalFormatting>
  <conditionalFormatting sqref="M160">
    <cfRule type="expression" dxfId="780" priority="311">
      <formula>$K$160&lt;&gt;"Corporate Office"</formula>
    </cfRule>
    <cfRule type="expression" dxfId="779" priority="312">
      <formula>AND($K$160="Corporate Office",$I$160="Check")</formula>
    </cfRule>
    <cfRule type="expression" dxfId="778" priority="313">
      <formula>AND($I$160="Credit Memo",$K$160="Corporate Office")</formula>
    </cfRule>
  </conditionalFormatting>
  <conditionalFormatting sqref="G163">
    <cfRule type="expression" dxfId="777" priority="309">
      <formula>$E$160&lt;&gt;"Please Select"</formula>
    </cfRule>
  </conditionalFormatting>
  <conditionalFormatting sqref="I168">
    <cfRule type="expression" dxfId="776" priority="307">
      <formula>$E$168&lt;&gt;"Please Select"</formula>
    </cfRule>
  </conditionalFormatting>
  <conditionalFormatting sqref="M168">
    <cfRule type="expression" dxfId="775" priority="304">
      <formula>$K$168&lt;&gt;"Corporate Office"</formula>
    </cfRule>
    <cfRule type="expression" dxfId="774" priority="305">
      <formula>AND($K$168="Corporate Office",$I$168="Check")</formula>
    </cfRule>
    <cfRule type="expression" dxfId="773" priority="306">
      <formula>AND($I$168="Credit Memo",$K$168="Corporate Office")</formula>
    </cfRule>
  </conditionalFormatting>
  <conditionalFormatting sqref="G171">
    <cfRule type="expression" dxfId="772" priority="303">
      <formula>$E$168&lt;&gt;"Please Select"</formula>
    </cfRule>
  </conditionalFormatting>
  <conditionalFormatting sqref="I176">
    <cfRule type="expression" dxfId="771" priority="301">
      <formula>$E$176&lt;&gt;"Please Select"</formula>
    </cfRule>
  </conditionalFormatting>
  <conditionalFormatting sqref="G176">
    <cfRule type="expression" dxfId="770" priority="299">
      <formula>$E$176&lt;&gt;"Please Select"</formula>
    </cfRule>
  </conditionalFormatting>
  <conditionalFormatting sqref="M176">
    <cfRule type="expression" dxfId="769" priority="296">
      <formula>$K$176&lt;&gt;"Corporate Office"</formula>
    </cfRule>
    <cfRule type="expression" dxfId="768" priority="297">
      <formula>AND($K$176="Corporate Office",$I$176="Check")</formula>
    </cfRule>
    <cfRule type="expression" dxfId="767" priority="298">
      <formula>AND($I$176="Credit Memo",$K$176="Corporate Office")</formula>
    </cfRule>
  </conditionalFormatting>
  <conditionalFormatting sqref="K155">
    <cfRule type="expression" dxfId="766" priority="293">
      <formula>$E$152&lt;&gt;"Please Select"</formula>
    </cfRule>
  </conditionalFormatting>
  <conditionalFormatting sqref="K179">
    <cfRule type="expression" dxfId="765" priority="292">
      <formula>$E$176&lt;&gt;"Please Select"</formula>
    </cfRule>
  </conditionalFormatting>
  <conditionalFormatting sqref="I184">
    <cfRule type="expression" dxfId="764" priority="286">
      <formula>$E184&lt;&gt;"Please Select"</formula>
    </cfRule>
  </conditionalFormatting>
  <conditionalFormatting sqref="M184">
    <cfRule type="expression" dxfId="763" priority="283">
      <formula>$K184&lt;&gt;"Corporate Office"</formula>
    </cfRule>
    <cfRule type="expression" dxfId="762" priority="284">
      <formula>AND($K184="Corporate Office",$I184="Check")</formula>
    </cfRule>
    <cfRule type="expression" dxfId="761" priority="285">
      <formula>AND($I184="Credit Memo",$K184="Corporate Office")</formula>
    </cfRule>
  </conditionalFormatting>
  <conditionalFormatting sqref="G190">
    <cfRule type="expression" dxfId="760" priority="281">
      <formula>$E184&lt;&gt;"Please Select"</formula>
    </cfRule>
  </conditionalFormatting>
  <conditionalFormatting sqref="I190">
    <cfRule type="expression" dxfId="759" priority="277">
      <formula>COUNT(SEARCH("ICM", $G190))=1</formula>
    </cfRule>
    <cfRule type="expression" dxfId="758" priority="280">
      <formula>$E184&lt;&gt;"Please Select"</formula>
    </cfRule>
  </conditionalFormatting>
  <conditionalFormatting sqref="K187">
    <cfRule type="expression" dxfId="757" priority="276">
      <formula>$E184 = "Prepaid Rollover"</formula>
    </cfRule>
  </conditionalFormatting>
  <conditionalFormatting sqref="M190">
    <cfRule type="expression" dxfId="756" priority="274">
      <formula>$E184&lt;&gt;"Please Select"</formula>
    </cfRule>
  </conditionalFormatting>
  <conditionalFormatting sqref="M187">
    <cfRule type="expression" dxfId="755" priority="273">
      <formula>$E184&lt;&gt;"Please Select"</formula>
    </cfRule>
  </conditionalFormatting>
  <conditionalFormatting sqref="K190">
    <cfRule type="expression" dxfId="754" priority="272">
      <formula>$E184&lt;&gt;"Please Select"</formula>
    </cfRule>
  </conditionalFormatting>
  <conditionalFormatting sqref="N182:P185">
    <cfRule type="expression" dxfId="753" priority="270">
      <formula>AND($G$187&lt;100000,$G187&gt;=10000)</formula>
    </cfRule>
    <cfRule type="expression" dxfId="752" priority="271">
      <formula>$G187&gt;=100000</formula>
    </cfRule>
  </conditionalFormatting>
  <conditionalFormatting sqref="O190">
    <cfRule type="expression" dxfId="751" priority="269">
      <formula>$E184&lt;&gt;"Please Select"</formula>
    </cfRule>
  </conditionalFormatting>
  <conditionalFormatting sqref="G195">
    <cfRule type="expression" dxfId="750" priority="250">
      <formula>$E195="Prepay Multi Yr Under"</formula>
    </cfRule>
  </conditionalFormatting>
  <conditionalFormatting sqref="G207">
    <cfRule type="expression" dxfId="749" priority="249">
      <formula>$E207="Prepay Multi Yr Under"</formula>
    </cfRule>
  </conditionalFormatting>
  <conditionalFormatting sqref="I195">
    <cfRule type="expression" dxfId="748" priority="248">
      <formula>$E195&lt;&gt;"Please Select"</formula>
    </cfRule>
  </conditionalFormatting>
  <conditionalFormatting sqref="I207">
    <cfRule type="expression" dxfId="747" priority="247">
      <formula>$E207&lt;&gt;"Please Select"</formula>
    </cfRule>
  </conditionalFormatting>
  <conditionalFormatting sqref="M195">
    <cfRule type="expression" dxfId="746" priority="244">
      <formula>$K195&lt;&gt;"Corporate Office"</formula>
    </cfRule>
    <cfRule type="expression" dxfId="745" priority="245">
      <formula>AND($K195="Corporate Office",$I195="Check")</formula>
    </cfRule>
    <cfRule type="expression" dxfId="744" priority="246">
      <formula>AND($I195="Credit Memo",$K195="Corporate Office")</formula>
    </cfRule>
  </conditionalFormatting>
  <conditionalFormatting sqref="M207">
    <cfRule type="expression" dxfId="743" priority="241">
      <formula>$K207&lt;&gt;"Corporate Office"</formula>
    </cfRule>
    <cfRule type="expression" dxfId="742" priority="242">
      <formula>AND($K207="Corporate Office",$I207="Check")</formula>
    </cfRule>
    <cfRule type="expression" dxfId="741" priority="243">
      <formula>AND($I207="Credit Memo",$K207="Corporate Office")</formula>
    </cfRule>
  </conditionalFormatting>
  <conditionalFormatting sqref="N193:P196">
    <cfRule type="expression" dxfId="740" priority="239">
      <formula>AND($G$198&lt;100000,$G198&gt;=10000)</formula>
    </cfRule>
    <cfRule type="expression" dxfId="739" priority="240">
      <formula>$G198&gt;=100000</formula>
    </cfRule>
  </conditionalFormatting>
  <conditionalFormatting sqref="N205:P208">
    <cfRule type="expression" dxfId="738" priority="237">
      <formula>AND($G$210&lt;=100000,$G210&gt;=10000)</formula>
    </cfRule>
    <cfRule type="expression" dxfId="737" priority="238">
      <formula>$G210&gt;=100000</formula>
    </cfRule>
  </conditionalFormatting>
  <conditionalFormatting sqref="I219">
    <cfRule type="expression" dxfId="736" priority="209">
      <formula>$E219&lt;&gt;"Please Select"</formula>
    </cfRule>
  </conditionalFormatting>
  <conditionalFormatting sqref="E219">
    <cfRule type="expression" dxfId="735" priority="208">
      <formula>$E$218="Yes"</formula>
    </cfRule>
  </conditionalFormatting>
  <conditionalFormatting sqref="K222">
    <cfRule type="expression" dxfId="734" priority="206">
      <formula>$E$219&lt;&gt;"Please Select"</formula>
    </cfRule>
  </conditionalFormatting>
  <conditionalFormatting sqref="K21:K23 G21:G23">
    <cfRule type="expression" dxfId="733" priority="185">
      <formula>$E$14="Volume Incentive Tiered"</formula>
    </cfRule>
  </conditionalFormatting>
  <conditionalFormatting sqref="K63:K65">
    <cfRule type="expression" dxfId="732" priority="174">
      <formula>$E$56="DS Tiered Average Invoice Dollar Qualifier"</formula>
    </cfRule>
  </conditionalFormatting>
  <conditionalFormatting sqref="K91:K93">
    <cfRule type="expression" dxfId="731" priority="173">
      <formula>$E$84="EB Tiered Percent Qualifier"</formula>
    </cfRule>
  </conditionalFormatting>
  <conditionalFormatting sqref="K34">
    <cfRule type="expression" dxfId="730" priority="170">
      <formula>$E28="Volume Incentive Tiered"</formula>
    </cfRule>
  </conditionalFormatting>
  <conditionalFormatting sqref="K35:K37">
    <cfRule type="expression" dxfId="729" priority="169">
      <formula>$E$28="Volume Incentive Tiered"</formula>
    </cfRule>
  </conditionalFormatting>
  <conditionalFormatting sqref="K48">
    <cfRule type="expression" dxfId="728" priority="167">
      <formula>$E42="Volume Incentive Tiered"</formula>
    </cfRule>
  </conditionalFormatting>
  <conditionalFormatting sqref="K49:K51">
    <cfRule type="expression" dxfId="727" priority="166">
      <formula>$E$42="Volume Incentive Tiered"</formula>
    </cfRule>
  </conditionalFormatting>
  <conditionalFormatting sqref="K75">
    <cfRule type="expression" dxfId="726" priority="165">
      <formula>OR($E70="DS Tiered Average Invoice Dollar Qualifier",$E70="DS Threshold Average Invoice Dollar Qualifier")</formula>
    </cfRule>
  </conditionalFormatting>
  <conditionalFormatting sqref="K76">
    <cfRule type="expression" dxfId="725" priority="164">
      <formula>$E70="DS Tiered Average Invoice Dollar Qualifier"</formula>
    </cfRule>
  </conditionalFormatting>
  <conditionalFormatting sqref="K77:K79">
    <cfRule type="expression" dxfId="724" priority="163">
      <formula>$E$70="DS Tiered Average Invoice Dollar Qualifier"</formula>
    </cfRule>
  </conditionalFormatting>
  <conditionalFormatting sqref="K104">
    <cfRule type="expression" dxfId="723" priority="161">
      <formula>$E98="EB Tiered Percent Qualifier"</formula>
    </cfRule>
  </conditionalFormatting>
  <conditionalFormatting sqref="K105:K107">
    <cfRule type="expression" dxfId="722" priority="160">
      <formula>$E$98="EB Tiered Percent Qualifier"</formula>
    </cfRule>
  </conditionalFormatting>
  <conditionalFormatting sqref="T12:T14">
    <cfRule type="cellIs" dxfId="721" priority="159" operator="equal">
      <formula>"Yes"</formula>
    </cfRule>
  </conditionalFormatting>
  <conditionalFormatting sqref="K19">
    <cfRule type="expression" dxfId="720" priority="156">
      <formula>$E$14&lt;&gt;"Please Select"</formula>
    </cfRule>
  </conditionalFormatting>
  <conditionalFormatting sqref="K33">
    <cfRule type="expression" dxfId="719" priority="155">
      <formula>$E$28&lt;&gt;"Please Select"</formula>
    </cfRule>
  </conditionalFormatting>
  <conditionalFormatting sqref="K47">
    <cfRule type="expression" dxfId="718" priority="154">
      <formula>$E$42&lt;&gt;"Please Select"</formula>
    </cfRule>
  </conditionalFormatting>
  <conditionalFormatting sqref="K89">
    <cfRule type="expression" dxfId="717" priority="153">
      <formula>$E$84&lt;&gt;"Please Select"</formula>
    </cfRule>
  </conditionalFormatting>
  <conditionalFormatting sqref="K103">
    <cfRule type="expression" dxfId="716" priority="152">
      <formula>$E$98&lt;&gt;"Please Select"</formula>
    </cfRule>
  </conditionalFormatting>
  <conditionalFormatting sqref="K28">
    <cfRule type="expression" dxfId="715" priority="145">
      <formula>AND($E28&lt;&gt;"Please Select",$I28&lt;&gt;"Check")</formula>
    </cfRule>
  </conditionalFormatting>
  <conditionalFormatting sqref="K42">
    <cfRule type="expression" dxfId="714" priority="144">
      <formula>AND($E42&lt;&gt;"Please Select",$I42&lt;&gt;"Check")</formula>
    </cfRule>
  </conditionalFormatting>
  <conditionalFormatting sqref="K56">
    <cfRule type="expression" dxfId="713" priority="143">
      <formula>AND($E56&lt;&gt;"Please Select",$I56&lt;&gt;"Check")</formula>
    </cfRule>
  </conditionalFormatting>
  <conditionalFormatting sqref="K70">
    <cfRule type="expression" dxfId="712" priority="142">
      <formula>AND($E70&lt;&gt;"Please Select",$I70&lt;&gt;"Check")</formula>
    </cfRule>
  </conditionalFormatting>
  <conditionalFormatting sqref="K84">
    <cfRule type="expression" dxfId="711" priority="141">
      <formula>AND($E84&lt;&gt;"Please Select",$I84&lt;&gt;"Check")</formula>
    </cfRule>
  </conditionalFormatting>
  <conditionalFormatting sqref="K98">
    <cfRule type="expression" dxfId="710" priority="140">
      <formula>AND($E98&lt;&gt;"Please Select",$I98&lt;&gt;"Check")</formula>
    </cfRule>
  </conditionalFormatting>
  <conditionalFormatting sqref="K112">
    <cfRule type="expression" dxfId="709" priority="139">
      <formula>AND($E112&lt;&gt;"Please Select",$I112&lt;&gt;"Check")</formula>
    </cfRule>
  </conditionalFormatting>
  <conditionalFormatting sqref="K152">
    <cfRule type="expression" dxfId="708" priority="138">
      <formula>AND($E152&lt;&gt;"Please Select",$I152&lt;&gt;"Check")</formula>
    </cfRule>
  </conditionalFormatting>
  <conditionalFormatting sqref="K176">
    <cfRule type="expression" dxfId="707" priority="135">
      <formula>AND($E176&lt;&gt;"Please Select",$I176&lt;&gt;"Check")</formula>
    </cfRule>
  </conditionalFormatting>
  <conditionalFormatting sqref="G35:G37">
    <cfRule type="expression" dxfId="706" priority="127">
      <formula>$E$28="Volume Incentive Tiered"</formula>
    </cfRule>
  </conditionalFormatting>
  <conditionalFormatting sqref="I187">
    <cfRule type="expression" dxfId="705" priority="114">
      <formula>$E$184&lt;&gt;"Please Select"</formula>
    </cfRule>
  </conditionalFormatting>
  <conditionalFormatting sqref="G198">
    <cfRule type="expression" dxfId="704" priority="112">
      <formula>$E$195="Prepaid Single Payment"</formula>
    </cfRule>
  </conditionalFormatting>
  <conditionalFormatting sqref="G210">
    <cfRule type="expression" dxfId="703" priority="111">
      <formula>$E$207="Prepaid Single Payment"</formula>
    </cfRule>
  </conditionalFormatting>
  <conditionalFormatting sqref="G105:G107">
    <cfRule type="expression" dxfId="702" priority="110">
      <formula>$E$98="EB Tiered Percent Qualifier"</formula>
    </cfRule>
  </conditionalFormatting>
  <conditionalFormatting sqref="G91:G93">
    <cfRule type="expression" dxfId="701" priority="109">
      <formula>$E$84="EB Tiered Percent Qualifier"</formula>
    </cfRule>
  </conditionalFormatting>
  <conditionalFormatting sqref="G90">
    <cfRule type="expression" dxfId="700" priority="108">
      <formula>$E$84="EB Tiered Percent Qualifier"</formula>
    </cfRule>
  </conditionalFormatting>
  <conditionalFormatting sqref="G104">
    <cfRule type="expression" dxfId="699" priority="107">
      <formula>$E$98="EB Tiered Percent Qualifier"</formula>
    </cfRule>
  </conditionalFormatting>
  <conditionalFormatting sqref="I89:I93">
    <cfRule type="cellIs" dxfId="698" priority="106" operator="equal">
      <formula>0</formula>
    </cfRule>
  </conditionalFormatting>
  <conditionalFormatting sqref="I103:I107">
    <cfRule type="cellIs" dxfId="697" priority="105" operator="equal">
      <formula>0</formula>
    </cfRule>
  </conditionalFormatting>
  <conditionalFormatting sqref="M198">
    <cfRule type="expression" dxfId="696" priority="104">
      <formula>$E$195&lt;&gt;"Prepay Multi Yr Under"</formula>
    </cfRule>
  </conditionalFormatting>
  <conditionalFormatting sqref="M199">
    <cfRule type="expression" dxfId="695" priority="103">
      <formula>$E$195&lt;&gt;"Prepay Multi Yr Under"</formula>
    </cfRule>
  </conditionalFormatting>
  <conditionalFormatting sqref="M200">
    <cfRule type="expression" dxfId="694" priority="102">
      <formula>$E$195&lt;&gt;"Prepay Multi Yr Under"</formula>
    </cfRule>
  </conditionalFormatting>
  <conditionalFormatting sqref="M201">
    <cfRule type="expression" dxfId="693" priority="101">
      <formula>$E$195&lt;&gt;"Prepay Multi Yr Under"</formula>
    </cfRule>
  </conditionalFormatting>
  <conditionalFormatting sqref="M202">
    <cfRule type="expression" dxfId="692" priority="100">
      <formula>$E$195&lt;&gt;"Prepay Multi Yr Under"</formula>
    </cfRule>
  </conditionalFormatting>
  <conditionalFormatting sqref="M210">
    <cfRule type="expression" dxfId="691" priority="99">
      <formula>$E$207&lt;&gt;"Prepay Multi Yr Under"</formula>
    </cfRule>
  </conditionalFormatting>
  <conditionalFormatting sqref="M211">
    <cfRule type="expression" dxfId="690" priority="98">
      <formula>$E$207&lt;&gt;"Prepay Multi Yr Under"</formula>
    </cfRule>
  </conditionalFormatting>
  <conditionalFormatting sqref="M212">
    <cfRule type="expression" dxfId="689" priority="97">
      <formula>$E$207&lt;&gt;"Prepay Multi Yr Under"</formula>
    </cfRule>
  </conditionalFormatting>
  <conditionalFormatting sqref="M213">
    <cfRule type="expression" dxfId="688" priority="96">
      <formula>$E$207&lt;&gt;"Prepay Multi Yr Under"</formula>
    </cfRule>
  </conditionalFormatting>
  <conditionalFormatting sqref="M214">
    <cfRule type="expression" dxfId="687" priority="95">
      <formula>$E$207&lt;&gt;"Prepay Multi Yr Under"</formula>
    </cfRule>
  </conditionalFormatting>
  <conditionalFormatting sqref="K198:K202">
    <cfRule type="expression" dxfId="686" priority="94">
      <formula>$E$195="Prepaid Single Payment"</formula>
    </cfRule>
  </conditionalFormatting>
  <conditionalFormatting sqref="K210:K214">
    <cfRule type="expression" dxfId="685" priority="93">
      <formula>$E$207="Prepaid Single Payment"</formula>
    </cfRule>
  </conditionalFormatting>
  <conditionalFormatting sqref="I120">
    <cfRule type="expression" dxfId="684" priority="90">
      <formula>$E$120&lt;&gt;"Please Select"</formula>
    </cfRule>
  </conditionalFormatting>
  <conditionalFormatting sqref="G120">
    <cfRule type="expression" dxfId="683" priority="89">
      <formula>$E$120&lt;&gt;"Please Select"</formula>
    </cfRule>
  </conditionalFormatting>
  <conditionalFormatting sqref="M120">
    <cfRule type="expression" dxfId="682" priority="86">
      <formula>$K$120&lt;&gt;"Corporate Office"</formula>
    </cfRule>
    <cfRule type="expression" dxfId="681" priority="87">
      <formula>AND($K$120="Corporate Office",$I$120="Check")</formula>
    </cfRule>
    <cfRule type="expression" dxfId="680" priority="88">
      <formula>AND($I$120="Credit Memo",$K$120="Corporate Office")</formula>
    </cfRule>
  </conditionalFormatting>
  <conditionalFormatting sqref="G123">
    <cfRule type="expression" dxfId="679" priority="84">
      <formula>$E$120="Growth Incentive Single Rate"</formula>
    </cfRule>
  </conditionalFormatting>
  <conditionalFormatting sqref="K123">
    <cfRule type="expression" dxfId="678" priority="83">
      <formula>$E$120&lt;&gt;"Please Select"</formula>
    </cfRule>
  </conditionalFormatting>
  <conditionalFormatting sqref="K120">
    <cfRule type="expression" dxfId="677" priority="82">
      <formula>AND($E120&lt;&gt;"Please Select",$I120&lt;&gt;"Check")</formula>
    </cfRule>
  </conditionalFormatting>
  <conditionalFormatting sqref="I128">
    <cfRule type="expression" dxfId="676" priority="81">
      <formula>$E$128&lt;&gt;"Please Select"</formula>
    </cfRule>
  </conditionalFormatting>
  <conditionalFormatting sqref="G128">
    <cfRule type="expression" dxfId="675" priority="80">
      <formula>$E$128&lt;&gt;"Please Select"</formula>
    </cfRule>
  </conditionalFormatting>
  <conditionalFormatting sqref="M128">
    <cfRule type="expression" dxfId="674" priority="77">
      <formula>$K$128&lt;&gt;"Corporate Office"</formula>
    </cfRule>
    <cfRule type="expression" dxfId="673" priority="78">
      <formula>AND($K$128="Corporate Office",$I$128="Check")</formula>
    </cfRule>
    <cfRule type="expression" dxfId="672" priority="79">
      <formula>AND($I$128="Credit Memo",$K$128="Corporate Office")</formula>
    </cfRule>
  </conditionalFormatting>
  <conditionalFormatting sqref="G131">
    <cfRule type="expression" dxfId="671" priority="75">
      <formula>$E$128="Growth Incentive Single Rate"</formula>
    </cfRule>
  </conditionalFormatting>
  <conditionalFormatting sqref="K131">
    <cfRule type="expression" dxfId="670" priority="74">
      <formula>$E$128&lt;&gt;"Please Select"</formula>
    </cfRule>
  </conditionalFormatting>
  <conditionalFormatting sqref="K128">
    <cfRule type="expression" dxfId="669" priority="73">
      <formula>AND($E128&lt;&gt;"Please Select",$I128&lt;&gt;"Check")</formula>
    </cfRule>
  </conditionalFormatting>
  <conditionalFormatting sqref="I144">
    <cfRule type="expression" dxfId="668" priority="72">
      <formula>$E$144&lt;&gt;"Please Select"</formula>
    </cfRule>
  </conditionalFormatting>
  <conditionalFormatting sqref="G144">
    <cfRule type="expression" dxfId="667" priority="71">
      <formula>$E$144&lt;&gt;"Please Select"</formula>
    </cfRule>
  </conditionalFormatting>
  <conditionalFormatting sqref="M144">
    <cfRule type="expression" dxfId="666" priority="68">
      <formula>$K$144&lt;&gt;"Corporate Office"</formula>
    </cfRule>
    <cfRule type="expression" dxfId="665" priority="69">
      <formula>AND($K$144="Corporate Office",$I$144="Check")</formula>
    </cfRule>
    <cfRule type="expression" dxfId="664" priority="70">
      <formula>AND($I$144="Credit Memo",$K$144="Corporate Office")</formula>
    </cfRule>
  </conditionalFormatting>
  <conditionalFormatting sqref="G147">
    <cfRule type="expression" dxfId="663" priority="66">
      <formula>$E$144="Growth Incentive Single Rate"</formula>
    </cfRule>
  </conditionalFormatting>
  <conditionalFormatting sqref="K147">
    <cfRule type="expression" dxfId="662" priority="65">
      <formula>$E$144&lt;&gt;"Please Select"</formula>
    </cfRule>
  </conditionalFormatting>
  <conditionalFormatting sqref="K144">
    <cfRule type="expression" dxfId="661" priority="64">
      <formula>AND($E144&lt;&gt;"Please Select",$I144&lt;&gt;"Check")</formula>
    </cfRule>
  </conditionalFormatting>
  <conditionalFormatting sqref="I136">
    <cfRule type="expression" dxfId="660" priority="63">
      <formula>$E$136&lt;&gt;"Please Select"</formula>
    </cfRule>
  </conditionalFormatting>
  <conditionalFormatting sqref="G136">
    <cfRule type="expression" dxfId="659" priority="62">
      <formula>$E$136&lt;&gt;"Please Select"</formula>
    </cfRule>
  </conditionalFormatting>
  <conditionalFormatting sqref="M136">
    <cfRule type="expression" dxfId="658" priority="59">
      <formula>$K$136&lt;&gt;"Corporate Office"</formula>
    </cfRule>
    <cfRule type="expression" dxfId="657" priority="60">
      <formula>AND($K$136="Corporate Office",$I$136="Check")</formula>
    </cfRule>
    <cfRule type="expression" dxfId="656" priority="61">
      <formula>AND($I$136="Credit Memo",$K$136="Corporate Office")</formula>
    </cfRule>
  </conditionalFormatting>
  <conditionalFormatting sqref="G139">
    <cfRule type="expression" dxfId="655" priority="57">
      <formula>$E$136="Growth Incentive Single Rate"</formula>
    </cfRule>
  </conditionalFormatting>
  <conditionalFormatting sqref="K139">
    <cfRule type="expression" dxfId="654" priority="56">
      <formula>$E$136&lt;&gt;"Please Select"</formula>
    </cfRule>
  </conditionalFormatting>
  <conditionalFormatting sqref="K136">
    <cfRule type="expression" dxfId="653" priority="55">
      <formula>AND($E136&lt;&gt;"Please Select",$I136&lt;&gt;"Check")</formula>
    </cfRule>
  </conditionalFormatting>
  <conditionalFormatting sqref="K223">
    <cfRule type="cellIs" dxfId="652" priority="52" operator="equal">
      <formula>"Rate cannot be greater than the Prepaid Rate % of Sales"</formula>
    </cfRule>
    <cfRule type="cellIs" dxfId="651" priority="54" operator="equal">
      <formula>"Recommended New Customer Location Incentive is 1%"</formula>
    </cfRule>
  </conditionalFormatting>
  <conditionalFormatting sqref="O225">
    <cfRule type="containsBlanks" dxfId="650" priority="51">
      <formula>LEN(TRIM(O225))=0</formula>
    </cfRule>
  </conditionalFormatting>
  <conditionalFormatting sqref="G49:G51">
    <cfRule type="expression" dxfId="649" priority="50">
      <formula>$E$42="Volume Incentive Tiered"</formula>
    </cfRule>
  </conditionalFormatting>
  <conditionalFormatting sqref="G70">
    <cfRule type="expression" dxfId="648" priority="49">
      <formula>$E$70&lt;&gt;"Please Select"</formula>
    </cfRule>
  </conditionalFormatting>
  <conditionalFormatting sqref="G75">
    <cfRule type="expression" dxfId="647" priority="48">
      <formula>OR($E70="DS Tiered Average Invoice Dollar Qualifier",$E70="DS Threshold Average Invoice Dollar Qualifier")</formula>
    </cfRule>
  </conditionalFormatting>
  <conditionalFormatting sqref="G76">
    <cfRule type="expression" dxfId="646" priority="47">
      <formula>$E70="DS Tiered Average Invoice Dollar Qualifier"</formula>
    </cfRule>
  </conditionalFormatting>
  <conditionalFormatting sqref="G63:G65">
    <cfRule type="expression" dxfId="645" priority="46">
      <formula>$E$56="DS Tiered Average Invoice Dollar Qualifier"</formula>
    </cfRule>
  </conditionalFormatting>
  <conditionalFormatting sqref="G77:G79">
    <cfRule type="expression" dxfId="644" priority="45">
      <formula>$E$70="DS Tiered Average Invoice Dollar Qualifier"</formula>
    </cfRule>
  </conditionalFormatting>
  <conditionalFormatting sqref="E14">
    <cfRule type="expression" dxfId="643" priority="43">
      <formula>$E$13="No"</formula>
    </cfRule>
    <cfRule type="expression" dxfId="642" priority="44">
      <formula>$E$13="Yes"</formula>
    </cfRule>
  </conditionalFormatting>
  <conditionalFormatting sqref="E28">
    <cfRule type="expression" dxfId="641" priority="41">
      <formula>$E$27="No"</formula>
    </cfRule>
    <cfRule type="expression" dxfId="640" priority="42">
      <formula>$E$27="Yes"</formula>
    </cfRule>
  </conditionalFormatting>
  <conditionalFormatting sqref="E42">
    <cfRule type="expression" dxfId="639" priority="39">
      <formula>$E$41="No"</formula>
    </cfRule>
    <cfRule type="expression" dxfId="638" priority="40">
      <formula>$E$41="Yes"</formula>
    </cfRule>
  </conditionalFormatting>
  <conditionalFormatting sqref="E56">
    <cfRule type="expression" dxfId="637" priority="37">
      <formula>$E$55="Yes"</formula>
    </cfRule>
    <cfRule type="expression" dxfId="636" priority="38">
      <formula>$E$55="No"</formula>
    </cfRule>
  </conditionalFormatting>
  <conditionalFormatting sqref="E70">
    <cfRule type="expression" dxfId="635" priority="35">
      <formula>$E$69="Yes"</formula>
    </cfRule>
    <cfRule type="expression" dxfId="634" priority="36">
      <formula>$E$69="No"</formula>
    </cfRule>
  </conditionalFormatting>
  <conditionalFormatting sqref="E98">
    <cfRule type="expression" dxfId="633" priority="33">
      <formula>$E$97="Yes"</formula>
    </cfRule>
    <cfRule type="expression" dxfId="632" priority="34">
      <formula>$E$97="No"</formula>
    </cfRule>
  </conditionalFormatting>
  <conditionalFormatting sqref="E84">
    <cfRule type="expression" dxfId="631" priority="31">
      <formula>$E$83="Yes"</formula>
    </cfRule>
    <cfRule type="expression" dxfId="630" priority="32">
      <formula>$E$83="No"</formula>
    </cfRule>
  </conditionalFormatting>
  <conditionalFormatting sqref="E112">
    <cfRule type="expression" dxfId="629" priority="30">
      <formula>$E$111="Yes"</formula>
    </cfRule>
  </conditionalFormatting>
  <conditionalFormatting sqref="E152">
    <cfRule type="expression" dxfId="628" priority="29">
      <formula>$E$151="Yes"</formula>
    </cfRule>
  </conditionalFormatting>
  <conditionalFormatting sqref="E160">
    <cfRule type="expression" dxfId="627" priority="28">
      <formula>$E$159="Yes"</formula>
    </cfRule>
  </conditionalFormatting>
  <conditionalFormatting sqref="E168">
    <cfRule type="expression" dxfId="626" priority="27">
      <formula>$E$167="Yes"</formula>
    </cfRule>
  </conditionalFormatting>
  <conditionalFormatting sqref="E176">
    <cfRule type="expression" dxfId="625" priority="26">
      <formula>$E$175="Yes"</formula>
    </cfRule>
  </conditionalFormatting>
  <conditionalFormatting sqref="E184">
    <cfRule type="expression" dxfId="624" priority="25">
      <formula>$E$183="Yes"</formula>
    </cfRule>
  </conditionalFormatting>
  <conditionalFormatting sqref="E195">
    <cfRule type="expression" dxfId="623" priority="24">
      <formula>$E$194="Yes"</formula>
    </cfRule>
  </conditionalFormatting>
  <conditionalFormatting sqref="E207">
    <cfRule type="expression" dxfId="622" priority="23">
      <formula>$E$206="Yes"</formula>
    </cfRule>
  </conditionalFormatting>
  <conditionalFormatting sqref="E120">
    <cfRule type="expression" dxfId="621" priority="22">
      <formula>$E$119="Yes"</formula>
    </cfRule>
  </conditionalFormatting>
  <conditionalFormatting sqref="E128">
    <cfRule type="expression" dxfId="620" priority="21">
      <formula>$E$127="Yes"</formula>
    </cfRule>
  </conditionalFormatting>
  <conditionalFormatting sqref="E144">
    <cfRule type="expression" dxfId="619" priority="20">
      <formula>$E$143="Yes"</formula>
    </cfRule>
  </conditionalFormatting>
  <conditionalFormatting sqref="E136">
    <cfRule type="expression" dxfId="618" priority="19">
      <formula>$E$135="Yes"</formula>
    </cfRule>
  </conditionalFormatting>
  <conditionalFormatting sqref="O12:P16">
    <cfRule type="notContainsBlanks" dxfId="617" priority="18">
      <formula>LEN(TRIM(O12))&gt;0</formula>
    </cfRule>
  </conditionalFormatting>
  <conditionalFormatting sqref="O26:P30">
    <cfRule type="notContainsBlanks" dxfId="616" priority="17">
      <formula>LEN(TRIM(O26))&gt;0</formula>
    </cfRule>
  </conditionalFormatting>
  <conditionalFormatting sqref="O40:P44">
    <cfRule type="notContainsBlanks" dxfId="615" priority="16">
      <formula>LEN(TRIM(O40))&gt;0</formula>
    </cfRule>
  </conditionalFormatting>
  <conditionalFormatting sqref="O54:P58">
    <cfRule type="notContainsBlanks" dxfId="614" priority="15">
      <formula>LEN(TRIM(O54))&gt;0</formula>
    </cfRule>
  </conditionalFormatting>
  <conditionalFormatting sqref="O68:P72">
    <cfRule type="notContainsBlanks" dxfId="613" priority="14">
      <formula>LEN(TRIM(O68))&gt;0</formula>
    </cfRule>
  </conditionalFormatting>
  <conditionalFormatting sqref="O82:P86">
    <cfRule type="notContainsBlanks" dxfId="612" priority="13">
      <formula>LEN(TRIM(O82))&gt;0</formula>
    </cfRule>
  </conditionalFormatting>
  <conditionalFormatting sqref="O96:P100">
    <cfRule type="notContainsBlanks" dxfId="611" priority="12">
      <formula>LEN(TRIM(O96))&gt;0</formula>
    </cfRule>
  </conditionalFormatting>
  <conditionalFormatting sqref="N110:P113">
    <cfRule type="notContainsBlanks" dxfId="610" priority="11">
      <formula>LEN(TRIM(N110))&gt;0</formula>
    </cfRule>
  </conditionalFormatting>
  <conditionalFormatting sqref="N118:P121">
    <cfRule type="notContainsBlanks" dxfId="609" priority="10">
      <formula>LEN(TRIM(N118))&gt;0</formula>
    </cfRule>
  </conditionalFormatting>
  <conditionalFormatting sqref="N126:P129">
    <cfRule type="notContainsBlanks" dxfId="608" priority="9">
      <formula>LEN(TRIM(N126))&gt;0</formula>
    </cfRule>
  </conditionalFormatting>
  <conditionalFormatting sqref="N134:P137">
    <cfRule type="notContainsBlanks" dxfId="607" priority="8">
      <formula>LEN(TRIM(N134))&gt;0</formula>
    </cfRule>
  </conditionalFormatting>
  <conditionalFormatting sqref="N142:P145">
    <cfRule type="notContainsBlanks" dxfId="606" priority="7">
      <formula>LEN(TRIM(N142))&gt;0</formula>
    </cfRule>
  </conditionalFormatting>
  <conditionalFormatting sqref="N150:P153">
    <cfRule type="notContainsBlanks" dxfId="605" priority="6">
      <formula>LEN(TRIM(N150))&gt;0</formula>
    </cfRule>
  </conditionalFormatting>
  <conditionalFormatting sqref="O174:P176">
    <cfRule type="notContainsBlanks" dxfId="604" priority="5">
      <formula>LEN(TRIM(O174))&gt;0</formula>
    </cfRule>
  </conditionalFormatting>
  <conditionalFormatting sqref="N158:P161">
    <cfRule type="expression" dxfId="603" priority="3">
      <formula>AND($G$163&lt;100000,$G163&gt;=10000)</formula>
    </cfRule>
    <cfRule type="expression" dxfId="602" priority="4">
      <formula>$G163&gt;=100000</formula>
    </cfRule>
  </conditionalFormatting>
  <conditionalFormatting sqref="N166:P169">
    <cfRule type="expression" dxfId="601" priority="1">
      <formula>AND($G$171&lt;100000,$G171&gt;=10000)</formula>
    </cfRule>
    <cfRule type="expression" dxfId="600" priority="2">
      <formula>$G171&gt;=100000</formula>
    </cfRule>
  </conditionalFormatting>
  <dataValidations count="40">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error="Value cannot be more than Maximum Units" sqref="G90:G93 G104:G107" xr:uid="{335192AE-2244-46C0-8BC4-F47DF8F63067}">
      <formula1>AND(G90&lt;I90,G90&gt;G89)</formula1>
    </dataValidation>
    <dataValidation type="decimal" operator="lessThan" allowBlank="1" showInputMessage="1" showErrorMessage="1" error="Value cannot be more than Maximum Units" sqref="G89 G103" xr:uid="{6F70848D-AD71-4D68-A323-22408A9BEAF3}">
      <formula1>I89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4" t="s">
        <v>210</v>
      </c>
      <c r="D2" s="1634"/>
      <c r="E2" s="1634"/>
      <c r="F2" s="437"/>
      <c r="G2" s="172"/>
      <c r="H2" s="172"/>
      <c r="I2" s="172"/>
      <c r="J2" s="172"/>
      <c r="K2" s="172"/>
      <c r="L2" s="175"/>
    </row>
    <row r="3" spans="2:23" x14ac:dyDescent="0.25">
      <c r="B3" s="178"/>
      <c r="C3" s="1639" t="s">
        <v>1164</v>
      </c>
      <c r="D3" s="1640"/>
      <c r="E3" s="323" t="str">
        <f>Welcome!$D$8</f>
        <v>Please Select</v>
      </c>
      <c r="F3" s="326"/>
      <c r="G3" s="410" t="s">
        <v>110</v>
      </c>
      <c r="H3" s="1637" t="str">
        <f>IFERROR(VLOOKUP($H$4,'Market Geography'!$D:$G,4,FALSE),"Select Market")</f>
        <v>Select Market</v>
      </c>
      <c r="I3" s="1637"/>
      <c r="J3" s="1637"/>
      <c r="K3" s="1638"/>
      <c r="L3" s="179"/>
    </row>
    <row r="4" spans="2:23" x14ac:dyDescent="0.25">
      <c r="B4" s="178"/>
      <c r="C4" s="1626" t="s">
        <v>1165</v>
      </c>
      <c r="D4" s="1627"/>
      <c r="E4" s="292" t="str">
        <f>Welcome!$D$12</f>
        <v>Select Term</v>
      </c>
      <c r="F4" s="438"/>
      <c r="G4" s="411" t="s">
        <v>844</v>
      </c>
      <c r="H4" s="1622">
        <f>Welcome!$D$4</f>
        <v>0</v>
      </c>
      <c r="I4" s="1622"/>
      <c r="J4" s="1622"/>
      <c r="K4" s="1623"/>
      <c r="L4" s="179"/>
    </row>
    <row r="5" spans="2:23" x14ac:dyDescent="0.25">
      <c r="B5" s="178"/>
      <c r="C5" s="1626" t="s">
        <v>1170</v>
      </c>
      <c r="D5" s="1627"/>
      <c r="E5" s="143">
        <f>'PIM Model'!$G$31</f>
        <v>0</v>
      </c>
      <c r="F5" s="439"/>
      <c r="G5" s="411" t="s">
        <v>107</v>
      </c>
      <c r="H5" s="1622" t="str">
        <f>'Multi-Customer'!$S$49</f>
        <v>Enter Customer(s)</v>
      </c>
      <c r="I5" s="1622"/>
      <c r="J5" s="1622"/>
      <c r="K5" s="1623"/>
      <c r="L5" s="179"/>
    </row>
    <row r="6" spans="2:23" x14ac:dyDescent="0.25">
      <c r="B6" s="178"/>
      <c r="C6" s="1626" t="s">
        <v>1171</v>
      </c>
      <c r="D6" s="1627"/>
      <c r="E6" s="144">
        <f>'PIM Model'!$E$6</f>
        <v>0</v>
      </c>
      <c r="F6" s="326"/>
      <c r="G6" s="411" t="s">
        <v>1180</v>
      </c>
      <c r="H6" s="1622" t="str">
        <f>IF('Multi-Customer'!$AH$40 = "MULTIPLE MENU TYPES","MULTIPLE TYPES",'Multi-Customer'!$AH$40)</f>
        <v>MULTIPLE TYPES</v>
      </c>
      <c r="I6" s="1622"/>
      <c r="J6" s="1622"/>
      <c r="K6" s="1623"/>
      <c r="L6" s="179"/>
      <c r="R6" s="440"/>
    </row>
    <row r="7" spans="2:23" ht="15.75" thickBot="1" x14ac:dyDescent="0.3">
      <c r="B7" s="178"/>
      <c r="C7" s="1628" t="s">
        <v>1172</v>
      </c>
      <c r="D7" s="1629"/>
      <c r="E7" s="324">
        <f>IFERROR('PIM Ranges'!$AU$3,0)</f>
        <v>0</v>
      </c>
      <c r="F7" s="177"/>
      <c r="G7" s="412" t="s">
        <v>1173</v>
      </c>
      <c r="H7" s="1624" t="s">
        <v>206</v>
      </c>
      <c r="I7" s="1624"/>
      <c r="J7" s="1624"/>
      <c r="K7" s="1625"/>
      <c r="L7" s="179"/>
      <c r="P7" s="177"/>
      <c r="Q7" s="153"/>
      <c r="R7" s="441"/>
      <c r="S7" s="134"/>
      <c r="T7" s="153"/>
      <c r="U7" s="177"/>
      <c r="V7" s="153"/>
      <c r="W7" s="177"/>
    </row>
    <row r="8" spans="2:23" ht="13.9" customHeight="1" x14ac:dyDescent="0.25">
      <c r="B8" s="178"/>
      <c r="D8" s="136"/>
      <c r="E8" s="1558"/>
      <c r="F8" s="1558"/>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30" t="s">
        <v>847</v>
      </c>
      <c r="J10" s="1630"/>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31" t="str">
        <f>IFERROR($E11/$E$5,"")</f>
        <v/>
      </c>
      <c r="J11" s="1631"/>
      <c r="K11" s="244"/>
      <c r="L11" s="179"/>
      <c r="R11" s="440"/>
    </row>
    <row r="12" spans="2:23" ht="36" customHeight="1" x14ac:dyDescent="0.25">
      <c r="B12" s="178"/>
      <c r="C12" s="243"/>
      <c r="D12" s="1632" t="s">
        <v>678</v>
      </c>
      <c r="E12" s="1632"/>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31" t="str">
        <f>IFERROR(E13/E5,"")</f>
        <v/>
      </c>
      <c r="J13" s="1631"/>
      <c r="K13" s="244"/>
      <c r="L13" s="179"/>
    </row>
    <row r="14" spans="2:23" s="661" customFormat="1" ht="36.6" customHeight="1" x14ac:dyDescent="0.25">
      <c r="B14" s="178"/>
      <c r="C14" s="243"/>
      <c r="D14" s="1632" t="s">
        <v>1104</v>
      </c>
      <c r="E14" s="1632"/>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31" t="str">
        <f>IFERROR($E15/$E$5,"")</f>
        <v/>
      </c>
      <c r="J15" s="1631"/>
      <c r="K15" s="244"/>
      <c r="L15" s="179"/>
    </row>
    <row r="16" spans="2:23" ht="26.45" customHeight="1" x14ac:dyDescent="0.25">
      <c r="B16" s="178"/>
      <c r="C16" s="243"/>
      <c r="D16" s="1621" t="s">
        <v>680</v>
      </c>
      <c r="E16" s="1621"/>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31" t="str">
        <f>IFERROR($E17/$E$5,"")</f>
        <v/>
      </c>
      <c r="J17" s="1631"/>
      <c r="K17" s="244"/>
      <c r="L17" s="179"/>
    </row>
    <row r="18" spans="2:12" ht="25.9" customHeight="1" x14ac:dyDescent="0.25">
      <c r="B18" s="178"/>
      <c r="C18" s="243"/>
      <c r="D18" s="1621" t="s">
        <v>679</v>
      </c>
      <c r="E18" s="1633"/>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35" t="str">
        <f>IFERROR($E19/$E$5,"")</f>
        <v/>
      </c>
      <c r="J19" s="163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31" t="str">
        <f>IFERROR($E23/$E$5,"")</f>
        <v/>
      </c>
      <c r="J23" s="1631"/>
      <c r="K23" s="244"/>
      <c r="L23" s="179"/>
    </row>
    <row r="24" spans="2:12" ht="16.149999999999999" customHeight="1" x14ac:dyDescent="0.25">
      <c r="B24" s="178"/>
      <c r="C24" s="243"/>
      <c r="D24" s="1636" t="s">
        <v>884</v>
      </c>
      <c r="E24" s="1636"/>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30" t="s">
        <v>847</v>
      </c>
      <c r="J28" s="1630"/>
      <c r="K28" s="244"/>
      <c r="L28" s="179"/>
    </row>
    <row r="29" spans="2:12" ht="25.15" customHeight="1" x14ac:dyDescent="0.25">
      <c r="B29" s="178"/>
      <c r="C29" s="243"/>
      <c r="D29" s="461" t="s">
        <v>221</v>
      </c>
      <c r="E29" s="462">
        <f>IFERROR('EB_CM (Back)'!$F$47,0)</f>
        <v>0</v>
      </c>
      <c r="F29" s="188"/>
      <c r="G29" s="449">
        <f>IFERROR(E29/'PIM Model'!$H$31,0)</f>
        <v>0</v>
      </c>
      <c r="H29" s="188"/>
      <c r="I29" s="1631" t="str">
        <f>IFERROR($E29/$E$5,"")</f>
        <v/>
      </c>
      <c r="J29" s="1631"/>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1" t="str">
        <f>IFERROR($E30/$E$5,"")</f>
        <v/>
      </c>
      <c r="J30" s="1631"/>
      <c r="K30" s="244"/>
      <c r="L30" s="179"/>
    </row>
    <row r="31" spans="2:12" ht="27.6" customHeight="1" x14ac:dyDescent="0.25">
      <c r="B31" s="178"/>
      <c r="C31" s="467"/>
      <c r="D31" s="1621" t="s">
        <v>2107</v>
      </c>
      <c r="E31" s="1621"/>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21"/>
      <c r="E37" s="1621"/>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39" t="s">
        <v>1164</v>
      </c>
      <c r="D4" s="1640"/>
      <c r="E4" s="577" t="str">
        <f>Welcome!$D$8</f>
        <v>Please Select</v>
      </c>
      <c r="F4" s="139"/>
      <c r="G4" s="410" t="s">
        <v>110</v>
      </c>
      <c r="H4" s="1565" t="str">
        <f>IFERROR(VLOOKUP($H$5,'Market Geography'!$D:$G,4,FALSE),"Select Market")</f>
        <v>Select Market</v>
      </c>
      <c r="I4" s="1566"/>
      <c r="J4" s="1567"/>
      <c r="K4" s="768"/>
      <c r="L4" s="768"/>
      <c r="M4" s="768"/>
      <c r="N4" s="768"/>
      <c r="O4" s="768"/>
      <c r="P4" s="680"/>
      <c r="Q4" s="682"/>
      <c r="R4" s="650"/>
      <c r="S4" s="473"/>
    </row>
    <row r="5" spans="1:31" x14ac:dyDescent="0.25">
      <c r="B5" s="178"/>
      <c r="C5" s="1626" t="s">
        <v>1165</v>
      </c>
      <c r="D5" s="1627"/>
      <c r="E5" s="292" t="str">
        <f>Welcome!$D$12</f>
        <v>Select Term</v>
      </c>
      <c r="F5" s="139"/>
      <c r="G5" s="411" t="s">
        <v>844</v>
      </c>
      <c r="H5" s="1562">
        <f>Welcome!$D$4</f>
        <v>0</v>
      </c>
      <c r="I5" s="1563"/>
      <c r="J5" s="1564"/>
      <c r="K5" s="768"/>
      <c r="L5" s="768"/>
      <c r="M5" s="768"/>
      <c r="N5" s="768"/>
      <c r="O5" s="768"/>
      <c r="P5" s="680"/>
      <c r="Q5" s="682"/>
      <c r="R5" s="650"/>
      <c r="S5" s="473"/>
    </row>
    <row r="6" spans="1:31" x14ac:dyDescent="0.25">
      <c r="B6" s="178"/>
      <c r="C6" s="1626" t="s">
        <v>1170</v>
      </c>
      <c r="D6" s="1627"/>
      <c r="E6" s="293">
        <f>IFERROR('PIM Model'!$G$31,0)</f>
        <v>0</v>
      </c>
      <c r="F6" s="325"/>
      <c r="G6" s="411" t="s">
        <v>107</v>
      </c>
      <c r="H6" s="1562" t="str">
        <f>'Multi-Customer'!$S$49</f>
        <v>Enter Customer(s)</v>
      </c>
      <c r="I6" s="1563"/>
      <c r="J6" s="1564"/>
      <c r="K6" s="768"/>
      <c r="L6" s="768"/>
      <c r="M6" s="768"/>
      <c r="N6" s="768"/>
      <c r="O6" s="768"/>
      <c r="P6" s="680"/>
      <c r="Q6" s="682"/>
      <c r="R6" s="650"/>
      <c r="S6" s="473"/>
    </row>
    <row r="7" spans="1:31" x14ac:dyDescent="0.25">
      <c r="B7" s="178"/>
      <c r="C7" s="1626" t="s">
        <v>1171</v>
      </c>
      <c r="D7" s="1627"/>
      <c r="E7" s="474">
        <f>IFERROR('Variable Costs (Back)'!$K$26,0)</f>
        <v>0</v>
      </c>
      <c r="F7" s="177"/>
      <c r="G7" s="411" t="s">
        <v>1180</v>
      </c>
      <c r="H7" s="1562" t="str">
        <f>'Multi-Customer'!$AH$40</f>
        <v>MULTIPLE TYPES</v>
      </c>
      <c r="I7" s="1563"/>
      <c r="J7" s="1564"/>
      <c r="K7" s="768"/>
      <c r="L7" s="768"/>
      <c r="M7" s="768"/>
      <c r="N7" s="768"/>
      <c r="O7" s="768"/>
      <c r="P7" s="680"/>
      <c r="Q7" s="682"/>
      <c r="R7" s="650"/>
      <c r="S7" s="473"/>
    </row>
    <row r="8" spans="1:31" ht="15.75" thickBot="1" x14ac:dyDescent="0.3">
      <c r="B8" s="178"/>
      <c r="C8" s="1628" t="s">
        <v>1172</v>
      </c>
      <c r="D8" s="1629"/>
      <c r="E8" s="324">
        <f>IFERROR('PIM Ranges'!$AU$3,0)</f>
        <v>0</v>
      </c>
      <c r="F8" s="326"/>
      <c r="G8" s="412" t="s">
        <v>1173</v>
      </c>
      <c r="H8" s="1641" t="s">
        <v>206</v>
      </c>
      <c r="I8" s="1642"/>
      <c r="J8" s="1643"/>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0" t="s">
        <v>1136</v>
      </c>
      <c r="R11" s="1650"/>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48" t="s">
        <v>1136</v>
      </c>
      <c r="R21" s="1649"/>
      <c r="S21" s="179"/>
      <c r="T21" s="5"/>
    </row>
    <row r="22" spans="2:21" s="1111" customFormat="1" ht="21" customHeight="1" x14ac:dyDescent="0.25">
      <c r="B22" s="178"/>
      <c r="C22" s="243"/>
      <c r="D22" s="1119" t="s">
        <v>1745</v>
      </c>
      <c r="E22" s="1129">
        <f>IFERROR(Incentives!O225*-1,0)</f>
        <v>0</v>
      </c>
      <c r="F22" s="483"/>
      <c r="G22" s="1128"/>
      <c r="H22" s="483"/>
      <c r="I22" s="485"/>
      <c r="J22" s="485"/>
      <c r="K22" s="479"/>
      <c r="L22" s="479"/>
      <c r="M22" s="479"/>
      <c r="N22" s="485"/>
      <c r="O22" s="484"/>
      <c r="P22" s="1110"/>
      <c r="Q22" s="1112"/>
      <c r="R22" s="1113"/>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3">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7" t="s">
        <v>2107</v>
      </c>
      <c r="E33" s="1647"/>
      <c r="F33" s="1647"/>
      <c r="G33" s="1647"/>
      <c r="H33" s="492"/>
      <c r="I33" s="1646" t="str">
        <f>IF($J$34=0,IF($N$34=0,"","Customer EB % Missing"),IF($N$34=0,"Customer Drops/Wk Missing","Customer EB % &amp; Drops/Wk Missing"))</f>
        <v/>
      </c>
      <c r="J33" s="1646"/>
      <c r="K33" s="1646"/>
      <c r="L33" s="1646"/>
      <c r="M33" s="1646"/>
      <c r="N33" s="1646"/>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8">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5">
        <f>IFERROR(E35/($E$7*Welcome!$D$14*52),0)</f>
        <v>0</v>
      </c>
      <c r="L35" s="188"/>
      <c r="M35" s="835">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4" t="s">
        <v>1136</v>
      </c>
      <c r="R38" s="1644"/>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5">
        <f>IFERROR(E39/($E$7*Welcome!$D$14*52),0)</f>
        <v>0</v>
      </c>
      <c r="L39" s="188"/>
      <c r="M39" s="835">
        <f>IFERROR(E39/(Welcome!$D$14*52),0)</f>
        <v>0</v>
      </c>
      <c r="N39" s="494" t="str">
        <f>IFERROR(IF($Q$39="Yes","Approve",IF(H39&gt;0,"Reject","Approve")),"Reject")</f>
        <v>Reject</v>
      </c>
      <c r="O39" s="190"/>
      <c r="P39" s="767"/>
      <c r="Q39" s="1175"/>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5"/>
      <c r="C42" s="1645"/>
      <c r="D42" s="1645"/>
      <c r="N42" s="1590"/>
      <c r="O42" s="1590"/>
      <c r="P42" s="1590"/>
      <c r="Q42" s="1590"/>
      <c r="R42" s="1590"/>
      <c r="S42" s="1590"/>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56" t="s">
        <v>645</v>
      </c>
      <c r="D2" s="1657"/>
      <c r="E2" s="1657"/>
      <c r="F2" s="1657"/>
      <c r="G2" s="1657"/>
      <c r="H2" s="1657"/>
      <c r="I2" s="1657"/>
      <c r="J2" s="1657"/>
      <c r="K2" s="1657"/>
      <c r="L2" s="1657"/>
      <c r="M2" s="1657"/>
      <c r="N2" s="1657"/>
      <c r="O2" s="1657"/>
      <c r="P2" s="1658"/>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59"/>
      <c r="G4" s="1659"/>
      <c r="P4" s="545"/>
      <c r="T4" s="1" t="s">
        <v>480</v>
      </c>
    </row>
    <row r="5" spans="3:23" x14ac:dyDescent="0.25">
      <c r="C5" s="137"/>
      <c r="E5" s="333"/>
      <c r="P5" s="138"/>
    </row>
    <row r="6" spans="3:23" x14ac:dyDescent="0.25">
      <c r="C6" s="137"/>
      <c r="E6" s="136" t="s">
        <v>1181</v>
      </c>
      <c r="F6" s="1659"/>
      <c r="G6" s="1659"/>
      <c r="P6" s="138"/>
    </row>
    <row r="7" spans="3:23" x14ac:dyDescent="0.25">
      <c r="C7" s="137"/>
      <c r="E7" s="136"/>
      <c r="P7" s="138"/>
    </row>
    <row r="8" spans="3:23" x14ac:dyDescent="0.25">
      <c r="C8" s="137"/>
      <c r="E8" s="136" t="s">
        <v>1182</v>
      </c>
      <c r="F8" s="1659"/>
      <c r="G8" s="1659"/>
      <c r="P8" s="138"/>
    </row>
    <row r="9" spans="3:23" x14ac:dyDescent="0.25">
      <c r="C9" s="137"/>
      <c r="E9" s="136" t="s">
        <v>1183</v>
      </c>
      <c r="F9" s="1659"/>
      <c r="G9" s="1659"/>
      <c r="P9" s="138"/>
    </row>
    <row r="10" spans="3:23" x14ac:dyDescent="0.25">
      <c r="C10" s="137"/>
      <c r="E10" s="136" t="s">
        <v>840</v>
      </c>
      <c r="F10" s="1659"/>
      <c r="G10" s="1659"/>
      <c r="P10" s="138"/>
    </row>
    <row r="11" spans="3:23" x14ac:dyDescent="0.25">
      <c r="C11" s="137"/>
      <c r="E11" s="136" t="s">
        <v>799</v>
      </c>
      <c r="F11" s="1659"/>
      <c r="G11" s="1659"/>
      <c r="P11" s="138"/>
    </row>
    <row r="12" spans="3:23" x14ac:dyDescent="0.25">
      <c r="C12" s="137"/>
      <c r="E12" s="136" t="s">
        <v>1184</v>
      </c>
      <c r="F12" s="1659"/>
      <c r="G12" s="1659"/>
      <c r="P12" s="138"/>
    </row>
    <row r="13" spans="3:23" x14ac:dyDescent="0.25">
      <c r="C13" s="137"/>
      <c r="E13" s="136"/>
      <c r="F13" s="1661"/>
      <c r="G13" s="1661"/>
      <c r="P13" s="138"/>
    </row>
    <row r="14" spans="3:23" x14ac:dyDescent="0.25">
      <c r="C14" s="137"/>
      <c r="E14" s="136" t="s">
        <v>1185</v>
      </c>
      <c r="F14" s="1660"/>
      <c r="G14" s="1660"/>
      <c r="H14" s="554"/>
      <c r="P14" s="138"/>
      <c r="Q14" s="666">
        <f>WEEKDAY(F14,2)</f>
        <v>6</v>
      </c>
    </row>
    <row r="15" spans="3:23" s="733" customFormat="1" ht="13.5" customHeight="1" x14ac:dyDescent="0.25">
      <c r="C15" s="137"/>
      <c r="F15" s="1035" t="s">
        <v>962</v>
      </c>
      <c r="G15" s="1035"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2" t="str">
        <f>IF(F14="","",F14+(364*IF(OR(Welcome!D12="Select Term",Welcome!D12=""),0,Welcome!D12))+6)</f>
        <v/>
      </c>
      <c r="G17" s="1662"/>
      <c r="O17" s="782"/>
      <c r="P17" s="138"/>
    </row>
    <row r="18" spans="1:17" ht="13.5" customHeight="1" x14ac:dyDescent="0.25">
      <c r="C18" s="137"/>
      <c r="P18" s="138"/>
    </row>
    <row r="19" spans="1:17" s="665" customFormat="1" ht="14.25" customHeight="1" x14ac:dyDescent="0.25">
      <c r="C19" s="137"/>
      <c r="E19" s="136" t="s">
        <v>1187</v>
      </c>
      <c r="F19" s="1654" t="str">
        <f>Welcome!D8</f>
        <v>Please Select</v>
      </c>
      <c r="G19" s="1655"/>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88" t="str">
        <f>IF($F$14 = "","",$F$14)</f>
        <v/>
      </c>
      <c r="L23" s="1388"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89" t="str">
        <f t="shared" ref="K24:K32" si="2">IF($F$14 = "","",$F$14)</f>
        <v/>
      </c>
      <c r="L24" s="1389" t="str">
        <f t="shared" si="1"/>
        <v/>
      </c>
      <c r="M24" s="638"/>
      <c r="N24" s="638" t="s">
        <v>647</v>
      </c>
      <c r="O24" s="821"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89" t="str">
        <f t="shared" si="2"/>
        <v/>
      </c>
      <c r="L25" s="1389" t="str">
        <f t="shared" si="1"/>
        <v/>
      </c>
      <c r="M25" s="638"/>
      <c r="N25" s="638" t="s">
        <v>647</v>
      </c>
      <c r="O25" s="821"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89" t="str">
        <f t="shared" si="2"/>
        <v/>
      </c>
      <c r="L26" s="1389" t="str">
        <f t="shared" si="1"/>
        <v/>
      </c>
      <c r="M26" s="638"/>
      <c r="N26" s="638" t="s">
        <v>647</v>
      </c>
      <c r="O26" s="821"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89" t="str">
        <f t="shared" si="2"/>
        <v/>
      </c>
      <c r="L27" s="1389" t="str">
        <f t="shared" si="1"/>
        <v/>
      </c>
      <c r="M27" s="638"/>
      <c r="N27" s="638" t="s">
        <v>647</v>
      </c>
      <c r="O27" s="821"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89" t="str">
        <f t="shared" si="2"/>
        <v/>
      </c>
      <c r="L28" s="1389" t="str">
        <f t="shared" si="1"/>
        <v/>
      </c>
      <c r="M28" s="638"/>
      <c r="N28" s="638" t="s">
        <v>647</v>
      </c>
      <c r="O28" s="821"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89" t="str">
        <f t="shared" si="2"/>
        <v/>
      </c>
      <c r="L29" s="1389" t="str">
        <f t="shared" si="1"/>
        <v/>
      </c>
      <c r="M29" s="638"/>
      <c r="N29" s="638" t="s">
        <v>647</v>
      </c>
      <c r="O29" s="821"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89" t="str">
        <f t="shared" si="2"/>
        <v/>
      </c>
      <c r="L30" s="1389" t="str">
        <f t="shared" si="1"/>
        <v/>
      </c>
      <c r="M30" s="638"/>
      <c r="N30" s="638" t="s">
        <v>647</v>
      </c>
      <c r="O30" s="821"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89" t="str">
        <f t="shared" si="2"/>
        <v/>
      </c>
      <c r="L31" s="1389" t="str">
        <f t="shared" si="1"/>
        <v/>
      </c>
      <c r="M31" s="638"/>
      <c r="N31" s="638" t="s">
        <v>647</v>
      </c>
      <c r="O31" s="821"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89" t="str">
        <f t="shared" si="2"/>
        <v/>
      </c>
      <c r="L32" s="1389" t="str">
        <f>IF($F$17 = "","",$F$17)</f>
        <v/>
      </c>
      <c r="M32" s="638"/>
      <c r="N32" s="638" t="s">
        <v>647</v>
      </c>
      <c r="O32" s="821" t="s">
        <v>647</v>
      </c>
      <c r="P32" s="138"/>
    </row>
    <row r="33" spans="3:16" ht="15.75" thickBot="1" x14ac:dyDescent="0.3">
      <c r="C33" s="255"/>
      <c r="D33" s="592"/>
      <c r="E33" s="593"/>
      <c r="F33" s="1385"/>
      <c r="G33" s="1386"/>
      <c r="H33" s="1386"/>
      <c r="I33" s="1386"/>
      <c r="J33" s="1386"/>
      <c r="K33" s="1386"/>
      <c r="L33" s="1386"/>
      <c r="M33" s="1386"/>
      <c r="N33" s="1386"/>
      <c r="O33" s="1386"/>
      <c r="P33" s="1387"/>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1" t="s">
        <v>1483</v>
      </c>
      <c r="G44" s="1652"/>
      <c r="H44" s="1653"/>
    </row>
    <row r="45" spans="3:16" hidden="1" x14ac:dyDescent="0.25">
      <c r="F45" s="900" t="s">
        <v>1429</v>
      </c>
      <c r="G45" s="901" t="s">
        <v>1484</v>
      </c>
      <c r="H45" s="902" t="s">
        <v>1485</v>
      </c>
    </row>
    <row r="46" spans="3:16" ht="15.75" hidden="1" thickBot="1" x14ac:dyDescent="0.3">
      <c r="F46" s="903"/>
      <c r="G46" s="904"/>
      <c r="H46" s="905"/>
    </row>
    <row r="47" spans="3:16" hidden="1" x14ac:dyDescent="0.25"/>
    <row r="48" spans="3:16" hidden="1" x14ac:dyDescent="0.25"/>
    <row r="49" hidden="1" x14ac:dyDescent="0.25"/>
    <row r="50" hidden="1" x14ac:dyDescent="0.25"/>
    <row r="51" hidden="1" x14ac:dyDescent="0.25"/>
  </sheetData>
  <sheetProtection algorithmName="SHA-512" hashValue="mO2e+qDg/A2zQBNTOydgOCRQhOMnijbPJRUMv6zCFrQCGfDFXd53axJQKactWIqAimnRb27/OTxd+OPKQhDbbg==" saltValue="71REJD0Le5sWq4D/QUmoQ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31: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4" t="s">
        <v>1207</v>
      </c>
      <c r="C2" s="1670"/>
      <c r="D2" s="1670"/>
      <c r="E2" s="1670"/>
      <c r="F2" s="1670"/>
      <c r="G2" s="1670"/>
      <c r="H2" s="1670"/>
      <c r="I2" s="1670"/>
      <c r="J2" s="1670"/>
      <c r="K2" s="1671"/>
      <c r="L2" s="752"/>
      <c r="M2" s="1663" t="s">
        <v>1208</v>
      </c>
      <c r="N2" s="1663"/>
      <c r="O2" s="1663"/>
      <c r="P2" s="752"/>
      <c r="Q2" s="752"/>
      <c r="R2" s="752"/>
      <c r="S2" s="745"/>
    </row>
    <row r="3" spans="1:19" ht="15.75" thickBot="1" x14ac:dyDescent="0.3">
      <c r="A3" s="752"/>
      <c r="B3" s="1114"/>
      <c r="C3" s="1115"/>
      <c r="D3" s="1115"/>
      <c r="E3" s="1115"/>
      <c r="F3" s="1115"/>
      <c r="G3" s="1115"/>
      <c r="H3" s="1115"/>
      <c r="I3" s="1116"/>
      <c r="J3" s="1456"/>
      <c r="K3" s="1457"/>
      <c r="L3" s="752"/>
      <c r="M3" s="753" t="s">
        <v>1209</v>
      </c>
      <c r="N3" s="753">
        <v>500</v>
      </c>
      <c r="O3" s="753">
        <v>25</v>
      </c>
      <c r="P3" s="752"/>
      <c r="Q3" s="752" t="s">
        <v>1209</v>
      </c>
      <c r="R3" s="752"/>
      <c r="S3" s="745"/>
    </row>
    <row r="4" spans="1:19" ht="25.5" x14ac:dyDescent="0.25">
      <c r="A4" s="752"/>
      <c r="B4" s="1155" t="s">
        <v>374</v>
      </c>
      <c r="C4" s="1156" t="s">
        <v>1210</v>
      </c>
      <c r="D4" s="1156" t="s">
        <v>1211</v>
      </c>
      <c r="E4" s="1156" t="s">
        <v>1212</v>
      </c>
      <c r="F4" s="1156" t="s">
        <v>1213</v>
      </c>
      <c r="G4" s="1157" t="s">
        <v>1214</v>
      </c>
      <c r="H4" s="1157" t="s">
        <v>1215</v>
      </c>
      <c r="I4" s="1158" t="s">
        <v>1216</v>
      </c>
      <c r="J4" s="1158" t="s">
        <v>1742</v>
      </c>
      <c r="K4" s="1458"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59"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4" t="s">
        <v>1221</v>
      </c>
      <c r="C7" s="1665"/>
      <c r="D7" s="1665"/>
      <c r="E7" s="1665"/>
      <c r="F7" s="1665"/>
      <c r="G7" s="1665"/>
      <c r="H7" s="1665"/>
      <c r="I7" s="1666"/>
      <c r="J7" s="752"/>
      <c r="K7" s="752"/>
      <c r="L7" s="752"/>
      <c r="M7" s="753" t="s">
        <v>1220</v>
      </c>
      <c r="N7" s="753">
        <v>600</v>
      </c>
      <c r="O7" s="753">
        <v>35</v>
      </c>
      <c r="P7" s="752"/>
      <c r="Q7" s="752" t="s">
        <v>1222</v>
      </c>
      <c r="R7" s="752"/>
      <c r="S7" s="745"/>
    </row>
    <row r="8" spans="1:19" x14ac:dyDescent="0.25">
      <c r="A8" s="752"/>
      <c r="B8" s="823"/>
      <c r="C8" s="824"/>
      <c r="D8" s="824"/>
      <c r="E8" s="824"/>
      <c r="F8" s="824"/>
      <c r="G8" s="824"/>
      <c r="H8" s="824"/>
      <c r="I8" s="825"/>
      <c r="J8" s="752"/>
      <c r="K8" s="752"/>
      <c r="L8" s="752"/>
      <c r="M8" s="753" t="s">
        <v>1222</v>
      </c>
      <c r="N8" s="753">
        <v>600</v>
      </c>
      <c r="O8" s="753">
        <v>50</v>
      </c>
      <c r="P8" s="752"/>
      <c r="Q8" s="752" t="s">
        <v>1223</v>
      </c>
      <c r="R8" s="752"/>
      <c r="S8" s="745"/>
    </row>
    <row r="9" spans="1:19" ht="65.25" customHeight="1" x14ac:dyDescent="0.25">
      <c r="A9" s="752"/>
      <c r="B9" s="1159" t="s">
        <v>1224</v>
      </c>
      <c r="C9" s="1160" t="s">
        <v>1225</v>
      </c>
      <c r="D9" s="1160" t="s">
        <v>1226</v>
      </c>
      <c r="E9" s="1160" t="s">
        <v>1227</v>
      </c>
      <c r="F9" s="1160" t="s">
        <v>1228</v>
      </c>
      <c r="G9" s="1160" t="s">
        <v>1229</v>
      </c>
      <c r="H9" s="1160" t="s">
        <v>1230</v>
      </c>
      <c r="I9" s="1161"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6"/>
      <c r="C11" s="784"/>
      <c r="D11" s="784"/>
      <c r="E11" s="827"/>
      <c r="F11" s="827"/>
      <c r="G11" s="784"/>
      <c r="H11" s="827"/>
      <c r="I11" s="822"/>
      <c r="J11" s="752"/>
      <c r="K11" s="752"/>
      <c r="L11" s="752"/>
      <c r="M11" s="753"/>
      <c r="N11" s="753"/>
      <c r="O11" s="753"/>
      <c r="P11" s="752"/>
      <c r="Q11" s="752" t="s">
        <v>1235</v>
      </c>
      <c r="R11" s="752"/>
      <c r="S11" s="745"/>
    </row>
    <row r="12" spans="1:19" ht="48.75" customHeight="1" x14ac:dyDescent="0.25">
      <c r="A12" s="752"/>
      <c r="B12" s="1159" t="s">
        <v>1236</v>
      </c>
      <c r="C12" s="1160" t="s">
        <v>1237</v>
      </c>
      <c r="D12" s="1160" t="s">
        <v>1238</v>
      </c>
      <c r="E12" s="1160" t="s">
        <v>1239</v>
      </c>
      <c r="F12" s="1160" t="s">
        <v>1240</v>
      </c>
      <c r="G12" s="1160" t="s">
        <v>1241</v>
      </c>
      <c r="H12" s="1160" t="s">
        <v>1242</v>
      </c>
      <c r="I12" s="1161"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67" t="s">
        <v>1248</v>
      </c>
      <c r="C15" s="1668"/>
      <c r="D15" s="1668"/>
      <c r="E15" s="1668"/>
      <c r="F15" s="1668"/>
      <c r="G15" s="1668"/>
      <c r="H15" s="1668"/>
      <c r="I15" s="1669"/>
      <c r="J15" s="752"/>
      <c r="K15" s="752"/>
      <c r="L15" s="752"/>
      <c r="M15" s="753" t="s">
        <v>1249</v>
      </c>
      <c r="N15" s="753">
        <v>1500</v>
      </c>
      <c r="O15" s="753">
        <v>35</v>
      </c>
      <c r="P15" s="752"/>
      <c r="Q15" s="752"/>
      <c r="R15" s="752"/>
      <c r="S15" s="745"/>
    </row>
    <row r="16" spans="1:19" ht="15.75" thickBot="1" x14ac:dyDescent="0.3">
      <c r="A16" s="752"/>
      <c r="B16" s="1114"/>
      <c r="C16" s="1115"/>
      <c r="D16" s="1115"/>
      <c r="E16" s="1115"/>
      <c r="F16" s="1115"/>
      <c r="G16" s="1115"/>
      <c r="H16" s="1117"/>
      <c r="I16" s="1118"/>
      <c r="J16" s="752"/>
      <c r="K16" s="752"/>
      <c r="L16" s="752"/>
      <c r="M16" s="753" t="s">
        <v>1246</v>
      </c>
      <c r="N16" s="753">
        <v>1500</v>
      </c>
      <c r="O16" s="753">
        <v>50</v>
      </c>
      <c r="P16" s="752"/>
      <c r="Q16" s="752"/>
      <c r="R16" s="752"/>
      <c r="S16" s="745"/>
    </row>
    <row r="17" spans="1:19" ht="51" customHeight="1" x14ac:dyDescent="0.25">
      <c r="A17" s="752"/>
      <c r="B17" s="1162" t="s">
        <v>1254</v>
      </c>
      <c r="C17" s="1163" t="s">
        <v>1250</v>
      </c>
      <c r="D17" s="1163" t="s">
        <v>1251</v>
      </c>
      <c r="E17" s="1163" t="s">
        <v>1255</v>
      </c>
      <c r="F17" s="1164" t="s">
        <v>1252</v>
      </c>
      <c r="G17" s="1158" t="s">
        <v>1256</v>
      </c>
      <c r="H17" s="1165" t="s">
        <v>1274</v>
      </c>
      <c r="I17" s="1166"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7" sqref="G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2" t="s">
        <v>1276</v>
      </c>
      <c r="C2" s="1673"/>
      <c r="D2" s="1673"/>
      <c r="E2" s="1673"/>
      <c r="F2" s="1673"/>
      <c r="G2" s="1673"/>
      <c r="H2" s="1673"/>
      <c r="I2" s="1673"/>
      <c r="J2" s="1673"/>
      <c r="K2" s="1673"/>
      <c r="L2" s="1673"/>
      <c r="M2" s="1673"/>
      <c r="N2" s="1674"/>
      <c r="O2" s="584"/>
      <c r="U2" s="815">
        <f>IF(ISNA(U4),0,1)</f>
        <v>0</v>
      </c>
    </row>
    <row r="3" spans="1:21" ht="15.75" thickBot="1" x14ac:dyDescent="0.3">
      <c r="A3" s="584"/>
      <c r="B3" s="784"/>
      <c r="C3" s="784"/>
      <c r="D3" s="784"/>
      <c r="E3" s="784"/>
      <c r="F3" s="784"/>
      <c r="G3" s="784"/>
      <c r="H3" s="784"/>
      <c r="I3" s="784"/>
      <c r="J3" s="784"/>
      <c r="K3" s="784"/>
      <c r="L3" s="784"/>
      <c r="M3" s="784"/>
      <c r="N3" s="784"/>
      <c r="O3" s="584"/>
      <c r="U3" s="815">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5"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1872" t="str">
        <f>'Required Info to Submit'!F17</f>
        <v/>
      </c>
      <c r="N5" s="789" t="s">
        <v>649</v>
      </c>
      <c r="O5" s="584"/>
      <c r="U5" s="816"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5" t="s">
        <v>1291</v>
      </c>
      <c r="C8" s="1673"/>
      <c r="D8" s="1673"/>
      <c r="E8" s="1673"/>
      <c r="F8" s="1673"/>
      <c r="G8" s="1673"/>
      <c r="H8" s="1673"/>
      <c r="I8" s="1673"/>
      <c r="J8" s="1673"/>
      <c r="K8" s="1673"/>
      <c r="L8" s="1673"/>
      <c r="M8" s="1673"/>
      <c r="N8" s="1674"/>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2" t="s">
        <v>1277</v>
      </c>
      <c r="C10" s="787" t="s">
        <v>1292</v>
      </c>
      <c r="D10" s="787" t="s">
        <v>1293</v>
      </c>
      <c r="E10" s="787" t="s">
        <v>1294</v>
      </c>
      <c r="F10" s="793" t="s">
        <v>1295</v>
      </c>
      <c r="G10" s="793" t="s">
        <v>1296</v>
      </c>
      <c r="H10" s="787" t="s">
        <v>1257</v>
      </c>
      <c r="I10" s="787" t="s">
        <v>1297</v>
      </c>
      <c r="J10" s="787" t="s">
        <v>1298</v>
      </c>
      <c r="K10" s="787" t="s">
        <v>1299</v>
      </c>
      <c r="L10" s="787" t="s">
        <v>1300</v>
      </c>
      <c r="M10" s="787" t="s">
        <v>1238</v>
      </c>
      <c r="N10" s="788" t="s">
        <v>1301</v>
      </c>
      <c r="O10" s="584"/>
    </row>
    <row r="11" spans="1:21" x14ac:dyDescent="0.25">
      <c r="A11" s="584"/>
      <c r="B11" s="794">
        <v>1</v>
      </c>
      <c r="C11" s="795">
        <v>15</v>
      </c>
      <c r="D11" s="796"/>
      <c r="E11" s="760"/>
      <c r="F11" s="805"/>
      <c r="G11" s="760"/>
      <c r="H11" s="796" t="s">
        <v>479</v>
      </c>
      <c r="I11" s="830" t="s">
        <v>649</v>
      </c>
      <c r="J11" s="806">
        <v>2.25</v>
      </c>
      <c r="K11" s="760" t="s">
        <v>649</v>
      </c>
      <c r="L11" s="806">
        <v>30</v>
      </c>
      <c r="M11" s="808" t="s">
        <v>479</v>
      </c>
      <c r="N11" s="810" t="s">
        <v>103</v>
      </c>
      <c r="O11" s="584"/>
      <c r="P11">
        <f>'Agreement Worksheet'!$F$13</f>
        <v>2.25</v>
      </c>
    </row>
    <row r="12" spans="1:21" x14ac:dyDescent="0.25">
      <c r="A12" s="584"/>
      <c r="B12" s="797">
        <v>1</v>
      </c>
      <c r="C12" s="795">
        <v>16</v>
      </c>
      <c r="D12" s="798"/>
      <c r="E12" s="760"/>
      <c r="F12" s="802"/>
      <c r="G12" s="760"/>
      <c r="H12" s="796" t="s">
        <v>479</v>
      </c>
      <c r="I12" s="830" t="s">
        <v>649</v>
      </c>
      <c r="J12" s="806">
        <v>2.25</v>
      </c>
      <c r="K12" s="760" t="s">
        <v>649</v>
      </c>
      <c r="L12" s="806">
        <v>30</v>
      </c>
      <c r="M12" s="808" t="s">
        <v>479</v>
      </c>
      <c r="N12" s="811" t="s">
        <v>102</v>
      </c>
      <c r="O12" s="584"/>
      <c r="P12" s="782">
        <f>'Agreement Worksheet'!$C$13</f>
        <v>30</v>
      </c>
    </row>
    <row r="13" spans="1:21" ht="26.25" x14ac:dyDescent="0.25">
      <c r="A13" s="584"/>
      <c r="B13" s="794">
        <v>1</v>
      </c>
      <c r="C13" s="795">
        <v>17</v>
      </c>
      <c r="D13" s="796"/>
      <c r="E13" s="760"/>
      <c r="F13" s="802"/>
      <c r="G13" s="760"/>
      <c r="H13" s="796" t="s">
        <v>479</v>
      </c>
      <c r="I13" s="830" t="s">
        <v>649</v>
      </c>
      <c r="J13" s="806">
        <v>2.25</v>
      </c>
      <c r="K13" s="760" t="s">
        <v>649</v>
      </c>
      <c r="L13" s="806">
        <v>30</v>
      </c>
      <c r="M13" s="808" t="s">
        <v>479</v>
      </c>
      <c r="N13" s="811" t="s">
        <v>101</v>
      </c>
      <c r="O13" s="584"/>
      <c r="P13" s="782" t="str">
        <f>'Agreement Worksheet'!$D$13</f>
        <v>%</v>
      </c>
    </row>
    <row r="14" spans="1:21" x14ac:dyDescent="0.25">
      <c r="A14" s="584"/>
      <c r="B14" s="794">
        <v>1</v>
      </c>
      <c r="C14" s="795">
        <v>18</v>
      </c>
      <c r="D14" s="799"/>
      <c r="E14" s="760"/>
      <c r="F14" s="802"/>
      <c r="G14" s="790"/>
      <c r="H14" s="796" t="s">
        <v>479</v>
      </c>
      <c r="I14" s="830" t="s">
        <v>649</v>
      </c>
      <c r="J14" s="806">
        <v>2.25</v>
      </c>
      <c r="K14" s="760" t="s">
        <v>649</v>
      </c>
      <c r="L14" s="806">
        <v>30</v>
      </c>
      <c r="M14" s="808" t="s">
        <v>479</v>
      </c>
      <c r="N14" s="811" t="s">
        <v>100</v>
      </c>
      <c r="O14" s="584"/>
    </row>
    <row r="15" spans="1:21" ht="26.25" x14ac:dyDescent="0.25">
      <c r="A15" s="584"/>
      <c r="B15" s="794">
        <v>1</v>
      </c>
      <c r="C15" s="795">
        <v>19</v>
      </c>
      <c r="D15" s="799"/>
      <c r="E15" s="760"/>
      <c r="F15" s="802"/>
      <c r="G15" s="790"/>
      <c r="H15" s="796" t="s">
        <v>479</v>
      </c>
      <c r="I15" s="830" t="s">
        <v>649</v>
      </c>
      <c r="J15" s="806">
        <v>2.25</v>
      </c>
      <c r="K15" s="760" t="s">
        <v>649</v>
      </c>
      <c r="L15" s="806">
        <v>30</v>
      </c>
      <c r="M15" s="808" t="s">
        <v>479</v>
      </c>
      <c r="N15" s="811" t="s">
        <v>104</v>
      </c>
      <c r="O15" s="584"/>
    </row>
    <row r="16" spans="1:21" ht="26.25" x14ac:dyDescent="0.25">
      <c r="A16" s="584"/>
      <c r="B16" s="794">
        <v>1</v>
      </c>
      <c r="C16" s="795">
        <v>20</v>
      </c>
      <c r="D16" s="799"/>
      <c r="E16" s="760"/>
      <c r="F16" s="802"/>
      <c r="G16" s="790"/>
      <c r="H16" s="796" t="s">
        <v>479</v>
      </c>
      <c r="I16" s="830" t="s">
        <v>649</v>
      </c>
      <c r="J16" s="806">
        <v>2.25</v>
      </c>
      <c r="K16" s="760" t="s">
        <v>649</v>
      </c>
      <c r="L16" s="806">
        <v>30</v>
      </c>
      <c r="M16" s="808" t="s">
        <v>479</v>
      </c>
      <c r="N16" s="811" t="s">
        <v>99</v>
      </c>
      <c r="O16" s="584"/>
    </row>
    <row r="17" spans="1:15" x14ac:dyDescent="0.25">
      <c r="A17" s="584"/>
      <c r="B17" s="794">
        <v>1</v>
      </c>
      <c r="C17" s="795">
        <v>21</v>
      </c>
      <c r="D17" s="799"/>
      <c r="E17" s="760"/>
      <c r="F17" s="802"/>
      <c r="G17" s="790"/>
      <c r="H17" s="796" t="s">
        <v>479</v>
      </c>
      <c r="I17" s="830" t="s">
        <v>649</v>
      </c>
      <c r="J17" s="806">
        <v>2.25</v>
      </c>
      <c r="K17" s="760" t="s">
        <v>649</v>
      </c>
      <c r="L17" s="806">
        <v>30</v>
      </c>
      <c r="M17" s="808" t="s">
        <v>479</v>
      </c>
      <c r="N17" s="811" t="s">
        <v>98</v>
      </c>
      <c r="O17" s="584"/>
    </row>
    <row r="18" spans="1:15" x14ac:dyDescent="0.25">
      <c r="A18" s="584"/>
      <c r="B18" s="794">
        <v>1</v>
      </c>
      <c r="C18" s="795">
        <v>22</v>
      </c>
      <c r="D18" s="799"/>
      <c r="E18" s="760"/>
      <c r="F18" s="802"/>
      <c r="G18" s="790"/>
      <c r="H18" s="796" t="s">
        <v>479</v>
      </c>
      <c r="I18" s="830" t="s">
        <v>649</v>
      </c>
      <c r="J18" s="806">
        <v>2.25</v>
      </c>
      <c r="K18" s="760" t="s">
        <v>649</v>
      </c>
      <c r="L18" s="806">
        <v>30</v>
      </c>
      <c r="M18" s="808" t="s">
        <v>479</v>
      </c>
      <c r="N18" s="811" t="s">
        <v>97</v>
      </c>
      <c r="O18" s="584"/>
    </row>
    <row r="19" spans="1:15" x14ac:dyDescent="0.25">
      <c r="A19" s="584"/>
      <c r="B19" s="794">
        <v>1</v>
      </c>
      <c r="C19" s="795">
        <v>23</v>
      </c>
      <c r="D19" s="799"/>
      <c r="E19" s="760"/>
      <c r="F19" s="802"/>
      <c r="G19" s="790"/>
      <c r="H19" s="796" t="s">
        <v>479</v>
      </c>
      <c r="I19" s="830" t="s">
        <v>649</v>
      </c>
      <c r="J19" s="806">
        <v>2.25</v>
      </c>
      <c r="K19" s="760" t="s">
        <v>649</v>
      </c>
      <c r="L19" s="806">
        <v>30</v>
      </c>
      <c r="M19" s="808" t="s">
        <v>479</v>
      </c>
      <c r="N19" s="811" t="s">
        <v>96</v>
      </c>
      <c r="O19" s="584"/>
    </row>
    <row r="20" spans="1:15" x14ac:dyDescent="0.25">
      <c r="A20" s="584"/>
      <c r="B20" s="794">
        <v>1</v>
      </c>
      <c r="C20" s="795">
        <v>24</v>
      </c>
      <c r="D20" s="799"/>
      <c r="E20" s="760"/>
      <c r="F20" s="802"/>
      <c r="G20" s="790"/>
      <c r="H20" s="796" t="s">
        <v>479</v>
      </c>
      <c r="I20" s="830" t="s">
        <v>649</v>
      </c>
      <c r="J20" s="806">
        <v>2.25</v>
      </c>
      <c r="K20" s="760" t="s">
        <v>649</v>
      </c>
      <c r="L20" s="806">
        <v>30</v>
      </c>
      <c r="M20" s="808" t="s">
        <v>479</v>
      </c>
      <c r="N20" s="811" t="s">
        <v>95</v>
      </c>
      <c r="O20" s="584"/>
    </row>
    <row r="21" spans="1:15" x14ac:dyDescent="0.25">
      <c r="A21" s="584"/>
      <c r="B21" s="794">
        <v>1</v>
      </c>
      <c r="C21" s="795">
        <v>25</v>
      </c>
      <c r="D21" s="799"/>
      <c r="E21" s="760" t="s">
        <v>1302</v>
      </c>
      <c r="F21" s="802"/>
      <c r="G21" s="790"/>
      <c r="H21" s="796" t="s">
        <v>479</v>
      </c>
      <c r="I21" s="830" t="s">
        <v>649</v>
      </c>
      <c r="J21" s="806">
        <v>2.25</v>
      </c>
      <c r="K21" s="760" t="s">
        <v>649</v>
      </c>
      <c r="L21" s="806">
        <v>30</v>
      </c>
      <c r="M21" s="808" t="s">
        <v>479</v>
      </c>
      <c r="N21" s="811" t="s">
        <v>94</v>
      </c>
      <c r="O21" s="584"/>
    </row>
    <row r="22" spans="1:15" x14ac:dyDescent="0.25">
      <c r="A22" s="584"/>
      <c r="B22" s="794">
        <v>1</v>
      </c>
      <c r="C22" s="795">
        <v>26</v>
      </c>
      <c r="D22" s="799"/>
      <c r="E22" s="760"/>
      <c r="F22" s="802"/>
      <c r="G22" s="790"/>
      <c r="H22" s="796" t="s">
        <v>479</v>
      </c>
      <c r="I22" s="830" t="s">
        <v>649</v>
      </c>
      <c r="J22" s="806">
        <v>2.25</v>
      </c>
      <c r="K22" s="760" t="s">
        <v>649</v>
      </c>
      <c r="L22" s="806">
        <v>30</v>
      </c>
      <c r="M22" s="808" t="s">
        <v>479</v>
      </c>
      <c r="N22" s="811" t="s">
        <v>93</v>
      </c>
      <c r="O22" s="584"/>
    </row>
    <row r="23" spans="1:15" x14ac:dyDescent="0.25">
      <c r="A23" s="584"/>
      <c r="B23" s="794">
        <v>1</v>
      </c>
      <c r="C23" s="795">
        <v>29</v>
      </c>
      <c r="D23" s="799"/>
      <c r="E23" s="760"/>
      <c r="F23" s="802"/>
      <c r="G23" s="790"/>
      <c r="H23" s="796" t="s">
        <v>479</v>
      </c>
      <c r="I23" s="830" t="s">
        <v>649</v>
      </c>
      <c r="J23" s="806">
        <v>2.25</v>
      </c>
      <c r="K23" s="760" t="s">
        <v>649</v>
      </c>
      <c r="L23" s="806">
        <v>30</v>
      </c>
      <c r="M23" s="808" t="s">
        <v>479</v>
      </c>
      <c r="N23" s="811" t="s">
        <v>92</v>
      </c>
      <c r="O23" s="584"/>
    </row>
    <row r="24" spans="1:15" x14ac:dyDescent="0.25">
      <c r="A24" s="584"/>
      <c r="B24" s="794">
        <v>1</v>
      </c>
      <c r="C24" s="795">
        <v>30</v>
      </c>
      <c r="D24" s="799"/>
      <c r="E24" s="760"/>
      <c r="F24" s="802"/>
      <c r="G24" s="790"/>
      <c r="H24" s="796" t="s">
        <v>479</v>
      </c>
      <c r="I24" s="830" t="s">
        <v>649</v>
      </c>
      <c r="J24" s="806">
        <v>2.25</v>
      </c>
      <c r="K24" s="760" t="s">
        <v>649</v>
      </c>
      <c r="L24" s="806">
        <v>30</v>
      </c>
      <c r="M24" s="808" t="s">
        <v>479</v>
      </c>
      <c r="N24" s="811" t="s">
        <v>91</v>
      </c>
      <c r="O24" s="584"/>
    </row>
    <row r="25" spans="1:15" x14ac:dyDescent="0.25">
      <c r="A25" s="584"/>
      <c r="B25" s="794">
        <v>1</v>
      </c>
      <c r="C25" s="795">
        <v>31</v>
      </c>
      <c r="D25" s="799"/>
      <c r="E25" s="760"/>
      <c r="F25" s="802"/>
      <c r="G25" s="790"/>
      <c r="H25" s="796" t="s">
        <v>479</v>
      </c>
      <c r="I25" s="830" t="s">
        <v>649</v>
      </c>
      <c r="J25" s="806">
        <v>2.25</v>
      </c>
      <c r="K25" s="760" t="s">
        <v>649</v>
      </c>
      <c r="L25" s="806">
        <v>30</v>
      </c>
      <c r="M25" s="808" t="s">
        <v>479</v>
      </c>
      <c r="N25" s="811" t="s">
        <v>90</v>
      </c>
      <c r="O25" s="584"/>
    </row>
    <row r="26" spans="1:15" x14ac:dyDescent="0.25">
      <c r="A26" s="584"/>
      <c r="B26" s="794">
        <v>1</v>
      </c>
      <c r="C26" s="795">
        <v>32</v>
      </c>
      <c r="D26" s="799"/>
      <c r="E26" s="760"/>
      <c r="F26" s="802"/>
      <c r="G26" s="790"/>
      <c r="H26" s="796" t="s">
        <v>479</v>
      </c>
      <c r="I26" s="830" t="s">
        <v>649</v>
      </c>
      <c r="J26" s="806">
        <v>2.25</v>
      </c>
      <c r="K26" s="760" t="s">
        <v>649</v>
      </c>
      <c r="L26" s="806">
        <v>30</v>
      </c>
      <c r="M26" s="808" t="s">
        <v>479</v>
      </c>
      <c r="N26" s="811" t="s">
        <v>89</v>
      </c>
      <c r="O26" s="584"/>
    </row>
    <row r="27" spans="1:15" x14ac:dyDescent="0.25">
      <c r="A27" s="584"/>
      <c r="B27" s="794">
        <v>1</v>
      </c>
      <c r="C27" s="795">
        <v>33</v>
      </c>
      <c r="D27" s="799"/>
      <c r="E27" s="760"/>
      <c r="F27" s="802"/>
      <c r="G27" s="790"/>
      <c r="H27" s="796" t="s">
        <v>479</v>
      </c>
      <c r="I27" s="830" t="s">
        <v>649</v>
      </c>
      <c r="J27" s="806">
        <v>2.25</v>
      </c>
      <c r="K27" s="760" t="s">
        <v>649</v>
      </c>
      <c r="L27" s="806">
        <v>30</v>
      </c>
      <c r="M27" s="808" t="s">
        <v>479</v>
      </c>
      <c r="N27" s="811" t="s">
        <v>88</v>
      </c>
      <c r="O27" s="584"/>
    </row>
    <row r="28" spans="1:15" x14ac:dyDescent="0.25">
      <c r="A28" s="584"/>
      <c r="B28" s="794">
        <v>1</v>
      </c>
      <c r="C28" s="795">
        <v>34</v>
      </c>
      <c r="D28" s="799"/>
      <c r="E28" s="760"/>
      <c r="F28" s="802"/>
      <c r="G28" s="790"/>
      <c r="H28" s="796" t="s">
        <v>479</v>
      </c>
      <c r="I28" s="830" t="s">
        <v>649</v>
      </c>
      <c r="J28" s="806">
        <v>2.25</v>
      </c>
      <c r="K28" s="760" t="s">
        <v>649</v>
      </c>
      <c r="L28" s="806">
        <v>30</v>
      </c>
      <c r="M28" s="808" t="s">
        <v>479</v>
      </c>
      <c r="N28" s="811" t="s">
        <v>87</v>
      </c>
      <c r="O28" s="584"/>
    </row>
    <row r="29" spans="1:15" x14ac:dyDescent="0.25">
      <c r="A29" s="584"/>
      <c r="B29" s="794">
        <v>1</v>
      </c>
      <c r="C29" s="795">
        <v>35</v>
      </c>
      <c r="D29" s="799"/>
      <c r="E29" s="760"/>
      <c r="F29" s="802"/>
      <c r="G29" s="790"/>
      <c r="H29" s="796" t="s">
        <v>479</v>
      </c>
      <c r="I29" s="830" t="s">
        <v>649</v>
      </c>
      <c r="J29" s="806">
        <v>2.25</v>
      </c>
      <c r="K29" s="760" t="s">
        <v>649</v>
      </c>
      <c r="L29" s="806">
        <v>30</v>
      </c>
      <c r="M29" s="808" t="s">
        <v>479</v>
      </c>
      <c r="N29" s="811" t="s">
        <v>86</v>
      </c>
      <c r="O29" s="584"/>
    </row>
    <row r="30" spans="1:15" ht="15.75" thickBot="1" x14ac:dyDescent="0.3">
      <c r="A30" s="584"/>
      <c r="B30" s="754">
        <v>1</v>
      </c>
      <c r="C30" s="800">
        <v>37</v>
      </c>
      <c r="D30" s="801"/>
      <c r="E30" s="746"/>
      <c r="F30" s="803"/>
      <c r="G30" s="791"/>
      <c r="H30" s="757" t="s">
        <v>479</v>
      </c>
      <c r="I30" s="831" t="s">
        <v>649</v>
      </c>
      <c r="J30" s="807">
        <v>2.25</v>
      </c>
      <c r="K30" s="746" t="s">
        <v>649</v>
      </c>
      <c r="L30" s="807">
        <v>30</v>
      </c>
      <c r="M30" s="809" t="s">
        <v>479</v>
      </c>
      <c r="N30" s="812"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75" t="s">
        <v>1303</v>
      </c>
      <c r="C32" s="1676"/>
      <c r="D32" s="1676"/>
      <c r="E32" s="1676"/>
      <c r="F32" s="1676"/>
      <c r="G32" s="1676"/>
      <c r="H32" s="1676"/>
      <c r="I32" s="1676"/>
      <c r="J32" s="1676"/>
      <c r="K32" s="1676"/>
      <c r="L32" s="1676"/>
      <c r="M32" s="1676"/>
      <c r="N32" s="1677"/>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2" t="s">
        <v>1277</v>
      </c>
      <c r="C34" s="787" t="s">
        <v>1292</v>
      </c>
      <c r="D34" s="787" t="s">
        <v>1293</v>
      </c>
      <c r="E34" s="787" t="s">
        <v>1294</v>
      </c>
      <c r="F34" s="793" t="s">
        <v>1295</v>
      </c>
      <c r="G34" s="793" t="s">
        <v>1296</v>
      </c>
      <c r="H34" s="787" t="s">
        <v>1257</v>
      </c>
      <c r="I34" s="787" t="s">
        <v>1297</v>
      </c>
      <c r="J34" s="787" t="s">
        <v>1298</v>
      </c>
      <c r="K34" s="787" t="s">
        <v>1299</v>
      </c>
      <c r="L34" s="787" t="s">
        <v>1300</v>
      </c>
      <c r="M34" s="787" t="s">
        <v>1238</v>
      </c>
      <c r="N34" s="788" t="s">
        <v>1301</v>
      </c>
      <c r="O34" s="584"/>
    </row>
    <row r="35" spans="1:15" hidden="1" x14ac:dyDescent="0.25">
      <c r="A35" s="584"/>
      <c r="B35" s="797">
        <v>1</v>
      </c>
      <c r="C35" s="795">
        <v>15</v>
      </c>
      <c r="D35" s="796"/>
      <c r="E35" s="760"/>
      <c r="F35" s="802"/>
      <c r="G35" s="760"/>
      <c r="H35" s="796" t="s">
        <v>479</v>
      </c>
      <c r="I35" s="760" t="s">
        <v>649</v>
      </c>
      <c r="J35" s="806">
        <v>2.25</v>
      </c>
      <c r="K35" s="760" t="s">
        <v>649</v>
      </c>
      <c r="L35" s="806">
        <v>30</v>
      </c>
      <c r="M35" s="806" t="s">
        <v>479</v>
      </c>
      <c r="N35" s="817" t="s">
        <v>103</v>
      </c>
      <c r="O35" s="584"/>
    </row>
    <row r="36" spans="1:15" hidden="1" x14ac:dyDescent="0.25">
      <c r="A36" s="584"/>
      <c r="B36" s="797">
        <v>1</v>
      </c>
      <c r="C36" s="795">
        <v>15</v>
      </c>
      <c r="D36" s="813">
        <v>131</v>
      </c>
      <c r="E36" s="760"/>
      <c r="F36" s="802"/>
      <c r="G36" s="760"/>
      <c r="H36" s="796" t="s">
        <v>479</v>
      </c>
      <c r="I36" s="760" t="s">
        <v>649</v>
      </c>
      <c r="J36" s="806">
        <v>2.25</v>
      </c>
      <c r="K36" s="760" t="s">
        <v>649</v>
      </c>
      <c r="L36" s="806">
        <v>30</v>
      </c>
      <c r="M36" s="806" t="s">
        <v>479</v>
      </c>
      <c r="N36" s="810" t="s">
        <v>1308</v>
      </c>
      <c r="O36" s="584"/>
    </row>
    <row r="37" spans="1:15" hidden="1" x14ac:dyDescent="0.25">
      <c r="A37" s="584"/>
      <c r="B37" s="797">
        <v>1</v>
      </c>
      <c r="C37" s="795">
        <v>15</v>
      </c>
      <c r="D37" s="813">
        <v>254</v>
      </c>
      <c r="E37" s="760"/>
      <c r="F37" s="802"/>
      <c r="G37" s="760"/>
      <c r="H37" s="796" t="s">
        <v>479</v>
      </c>
      <c r="I37" s="760" t="s">
        <v>649</v>
      </c>
      <c r="J37" s="806">
        <v>2.25</v>
      </c>
      <c r="K37" s="760" t="s">
        <v>649</v>
      </c>
      <c r="L37" s="806">
        <v>30</v>
      </c>
      <c r="M37" s="806" t="s">
        <v>479</v>
      </c>
      <c r="N37" s="810" t="s">
        <v>1308</v>
      </c>
      <c r="O37" s="584"/>
    </row>
    <row r="38" spans="1:15" hidden="1" x14ac:dyDescent="0.25">
      <c r="A38" s="584"/>
      <c r="B38" s="797">
        <v>1</v>
      </c>
      <c r="C38" s="795">
        <v>15</v>
      </c>
      <c r="D38" s="813">
        <v>373</v>
      </c>
      <c r="E38" s="760"/>
      <c r="F38" s="802"/>
      <c r="G38" s="760"/>
      <c r="H38" s="796" t="s">
        <v>479</v>
      </c>
      <c r="I38" s="760" t="s">
        <v>649</v>
      </c>
      <c r="J38" s="806">
        <v>2.25</v>
      </c>
      <c r="K38" s="760" t="s">
        <v>649</v>
      </c>
      <c r="L38" s="806">
        <v>30</v>
      </c>
      <c r="M38" s="806" t="s">
        <v>479</v>
      </c>
      <c r="N38" s="810" t="s">
        <v>1308</v>
      </c>
      <c r="O38" s="584"/>
    </row>
    <row r="39" spans="1:15" hidden="1" x14ac:dyDescent="0.25">
      <c r="A39" s="584"/>
      <c r="B39" s="797">
        <v>1</v>
      </c>
      <c r="C39" s="795">
        <v>15</v>
      </c>
      <c r="D39" s="813">
        <v>132</v>
      </c>
      <c r="E39" s="760"/>
      <c r="F39" s="802"/>
      <c r="G39" s="760"/>
      <c r="H39" s="796" t="s">
        <v>479</v>
      </c>
      <c r="I39" s="760" t="s">
        <v>649</v>
      </c>
      <c r="J39" s="806">
        <v>2.25</v>
      </c>
      <c r="K39" s="760" t="s">
        <v>649</v>
      </c>
      <c r="L39" s="806">
        <v>30</v>
      </c>
      <c r="M39" s="806" t="s">
        <v>479</v>
      </c>
      <c r="N39" s="810" t="s">
        <v>1308</v>
      </c>
      <c r="O39" s="584"/>
    </row>
    <row r="40" spans="1:15" hidden="1" x14ac:dyDescent="0.25">
      <c r="A40" s="584"/>
      <c r="B40" s="797">
        <v>1</v>
      </c>
      <c r="C40" s="795">
        <v>15</v>
      </c>
      <c r="D40" s="813">
        <v>368</v>
      </c>
      <c r="E40" s="760"/>
      <c r="F40" s="802"/>
      <c r="G40" s="760"/>
      <c r="H40" s="796" t="s">
        <v>479</v>
      </c>
      <c r="I40" s="760" t="s">
        <v>649</v>
      </c>
      <c r="J40" s="806">
        <v>2.25</v>
      </c>
      <c r="K40" s="760" t="s">
        <v>649</v>
      </c>
      <c r="L40" s="806">
        <v>30</v>
      </c>
      <c r="M40" s="806" t="s">
        <v>479</v>
      </c>
      <c r="N40" s="810" t="s">
        <v>1308</v>
      </c>
      <c r="O40" s="584"/>
    </row>
    <row r="41" spans="1:15" hidden="1" x14ac:dyDescent="0.25">
      <c r="A41" s="584"/>
      <c r="B41" s="797">
        <v>1</v>
      </c>
      <c r="C41" s="795">
        <v>15</v>
      </c>
      <c r="D41" s="813">
        <v>369</v>
      </c>
      <c r="E41" s="760"/>
      <c r="F41" s="802"/>
      <c r="G41" s="760"/>
      <c r="H41" s="796" t="s">
        <v>479</v>
      </c>
      <c r="I41" s="760" t="s">
        <v>649</v>
      </c>
      <c r="J41" s="806">
        <v>2.25</v>
      </c>
      <c r="K41" s="760" t="s">
        <v>649</v>
      </c>
      <c r="L41" s="806">
        <v>30</v>
      </c>
      <c r="M41" s="806" t="s">
        <v>479</v>
      </c>
      <c r="N41" s="810" t="s">
        <v>1308</v>
      </c>
      <c r="O41" s="584"/>
    </row>
    <row r="42" spans="1:15" hidden="1" x14ac:dyDescent="0.25">
      <c r="A42" s="584"/>
      <c r="B42" s="797">
        <v>1</v>
      </c>
      <c r="C42" s="795">
        <v>15</v>
      </c>
      <c r="D42" s="813">
        <v>384</v>
      </c>
      <c r="E42" s="760"/>
      <c r="F42" s="802"/>
      <c r="G42" s="760"/>
      <c r="H42" s="796" t="s">
        <v>479</v>
      </c>
      <c r="I42" s="760" t="s">
        <v>649</v>
      </c>
      <c r="J42" s="806">
        <v>2.25</v>
      </c>
      <c r="K42" s="760" t="s">
        <v>649</v>
      </c>
      <c r="L42" s="806">
        <v>30</v>
      </c>
      <c r="M42" s="806" t="s">
        <v>479</v>
      </c>
      <c r="N42" s="810" t="s">
        <v>1308</v>
      </c>
      <c r="O42" s="584"/>
    </row>
    <row r="43" spans="1:15" hidden="1" x14ac:dyDescent="0.25">
      <c r="A43" s="584"/>
      <c r="B43" s="797">
        <v>1</v>
      </c>
      <c r="C43" s="795">
        <v>15</v>
      </c>
      <c r="D43" s="813">
        <v>381</v>
      </c>
      <c r="E43" s="760"/>
      <c r="F43" s="802"/>
      <c r="G43" s="760"/>
      <c r="H43" s="796" t="s">
        <v>479</v>
      </c>
      <c r="I43" s="760" t="s">
        <v>649</v>
      </c>
      <c r="J43" s="806">
        <v>2.25</v>
      </c>
      <c r="K43" s="760" t="s">
        <v>649</v>
      </c>
      <c r="L43" s="806">
        <v>30</v>
      </c>
      <c r="M43" s="806" t="s">
        <v>479</v>
      </c>
      <c r="N43" s="810" t="s">
        <v>1308</v>
      </c>
      <c r="O43" s="584"/>
    </row>
    <row r="44" spans="1:15" hidden="1" x14ac:dyDescent="0.25">
      <c r="A44" s="584"/>
      <c r="B44" s="797">
        <v>1</v>
      </c>
      <c r="C44" s="795">
        <v>15</v>
      </c>
      <c r="D44" s="813">
        <v>377</v>
      </c>
      <c r="E44" s="760"/>
      <c r="F44" s="802"/>
      <c r="G44" s="760"/>
      <c r="H44" s="796" t="s">
        <v>479</v>
      </c>
      <c r="I44" s="760" t="s">
        <v>649</v>
      </c>
      <c r="J44" s="806">
        <v>2.25</v>
      </c>
      <c r="K44" s="760" t="s">
        <v>649</v>
      </c>
      <c r="L44" s="806">
        <v>30</v>
      </c>
      <c r="M44" s="806" t="s">
        <v>479</v>
      </c>
      <c r="N44" s="810" t="s">
        <v>1308</v>
      </c>
      <c r="O44" s="584"/>
    </row>
    <row r="45" spans="1:15" hidden="1" x14ac:dyDescent="0.25">
      <c r="A45" s="584"/>
      <c r="B45" s="797">
        <v>1</v>
      </c>
      <c r="C45" s="795">
        <v>15</v>
      </c>
      <c r="D45" s="813">
        <v>388</v>
      </c>
      <c r="E45" s="760"/>
      <c r="F45" s="802"/>
      <c r="G45" s="760"/>
      <c r="H45" s="796" t="s">
        <v>479</v>
      </c>
      <c r="I45" s="760" t="s">
        <v>649</v>
      </c>
      <c r="J45" s="806">
        <v>2.25</v>
      </c>
      <c r="K45" s="760" t="s">
        <v>649</v>
      </c>
      <c r="L45" s="806">
        <v>30</v>
      </c>
      <c r="M45" s="806" t="s">
        <v>479</v>
      </c>
      <c r="N45" s="810" t="s">
        <v>1308</v>
      </c>
      <c r="O45" s="584"/>
    </row>
    <row r="46" spans="1:15" hidden="1" x14ac:dyDescent="0.25">
      <c r="A46" s="584"/>
      <c r="B46" s="797">
        <v>1</v>
      </c>
      <c r="C46" s="795">
        <v>16</v>
      </c>
      <c r="D46" s="798"/>
      <c r="E46" s="760"/>
      <c r="F46" s="802"/>
      <c r="G46" s="760"/>
      <c r="H46" s="796" t="s">
        <v>479</v>
      </c>
      <c r="I46" s="760" t="s">
        <v>649</v>
      </c>
      <c r="J46" s="806">
        <v>2.25</v>
      </c>
      <c r="K46" s="760" t="s">
        <v>649</v>
      </c>
      <c r="L46" s="806">
        <v>30</v>
      </c>
      <c r="M46" s="806" t="s">
        <v>479</v>
      </c>
      <c r="N46" s="811" t="s">
        <v>102</v>
      </c>
      <c r="O46" s="584"/>
    </row>
    <row r="47" spans="1:15" ht="26.25" hidden="1" x14ac:dyDescent="0.25">
      <c r="A47" s="584"/>
      <c r="B47" s="794">
        <v>1</v>
      </c>
      <c r="C47" s="795">
        <v>17</v>
      </c>
      <c r="D47" s="796"/>
      <c r="E47" s="760"/>
      <c r="F47" s="802"/>
      <c r="G47" s="760"/>
      <c r="H47" s="796" t="s">
        <v>479</v>
      </c>
      <c r="I47" s="760" t="s">
        <v>649</v>
      </c>
      <c r="J47" s="806">
        <v>2.25</v>
      </c>
      <c r="K47" s="760" t="s">
        <v>649</v>
      </c>
      <c r="L47" s="806">
        <v>30</v>
      </c>
      <c r="M47" s="806" t="s">
        <v>479</v>
      </c>
      <c r="N47" s="811" t="s">
        <v>101</v>
      </c>
      <c r="O47" s="584"/>
    </row>
    <row r="48" spans="1:15" hidden="1" x14ac:dyDescent="0.25">
      <c r="A48" s="584"/>
      <c r="B48" s="794">
        <v>1</v>
      </c>
      <c r="C48" s="795">
        <v>18</v>
      </c>
      <c r="D48" s="799"/>
      <c r="E48" s="760"/>
      <c r="F48" s="802"/>
      <c r="G48" s="790"/>
      <c r="H48" s="796" t="s">
        <v>479</v>
      </c>
      <c r="I48" s="760" t="s">
        <v>649</v>
      </c>
      <c r="J48" s="806">
        <v>2.25</v>
      </c>
      <c r="K48" s="760" t="s">
        <v>649</v>
      </c>
      <c r="L48" s="806">
        <v>30</v>
      </c>
      <c r="M48" s="806" t="s">
        <v>479</v>
      </c>
      <c r="N48" s="811" t="s">
        <v>100</v>
      </c>
      <c r="O48" s="584"/>
    </row>
    <row r="49" spans="1:15" ht="26.25" hidden="1" x14ac:dyDescent="0.25">
      <c r="A49" s="584"/>
      <c r="B49" s="794">
        <v>1</v>
      </c>
      <c r="C49" s="795">
        <v>19</v>
      </c>
      <c r="D49" s="799"/>
      <c r="E49" s="760"/>
      <c r="F49" s="802"/>
      <c r="G49" s="790"/>
      <c r="H49" s="796" t="s">
        <v>479</v>
      </c>
      <c r="I49" s="760" t="s">
        <v>649</v>
      </c>
      <c r="J49" s="806">
        <v>2.25</v>
      </c>
      <c r="K49" s="760" t="s">
        <v>649</v>
      </c>
      <c r="L49" s="806">
        <v>30</v>
      </c>
      <c r="M49" s="806" t="s">
        <v>479</v>
      </c>
      <c r="N49" s="811" t="s">
        <v>104</v>
      </c>
      <c r="O49" s="584"/>
    </row>
    <row r="50" spans="1:15" ht="26.25" hidden="1" x14ac:dyDescent="0.25">
      <c r="A50" s="584"/>
      <c r="B50" s="794">
        <v>1</v>
      </c>
      <c r="C50" s="795">
        <v>20</v>
      </c>
      <c r="D50" s="799"/>
      <c r="E50" s="760"/>
      <c r="F50" s="802"/>
      <c r="G50" s="790"/>
      <c r="H50" s="796" t="s">
        <v>479</v>
      </c>
      <c r="I50" s="760" t="s">
        <v>649</v>
      </c>
      <c r="J50" s="806">
        <v>2.25</v>
      </c>
      <c r="K50" s="760" t="s">
        <v>649</v>
      </c>
      <c r="L50" s="806">
        <v>30</v>
      </c>
      <c r="M50" s="806" t="s">
        <v>479</v>
      </c>
      <c r="N50" s="811" t="s">
        <v>99</v>
      </c>
      <c r="O50" s="584"/>
    </row>
    <row r="51" spans="1:15" hidden="1" x14ac:dyDescent="0.25">
      <c r="A51" s="584"/>
      <c r="B51" s="794">
        <v>1</v>
      </c>
      <c r="C51" s="795">
        <v>21</v>
      </c>
      <c r="D51" s="799"/>
      <c r="E51" s="760"/>
      <c r="F51" s="802"/>
      <c r="G51" s="790"/>
      <c r="H51" s="796" t="s">
        <v>479</v>
      </c>
      <c r="I51" s="760" t="s">
        <v>649</v>
      </c>
      <c r="J51" s="806">
        <v>2.25</v>
      </c>
      <c r="K51" s="760" t="s">
        <v>649</v>
      </c>
      <c r="L51" s="806">
        <v>30</v>
      </c>
      <c r="M51" s="806" t="s">
        <v>479</v>
      </c>
      <c r="N51" s="811" t="s">
        <v>98</v>
      </c>
      <c r="O51" s="584"/>
    </row>
    <row r="52" spans="1:15" hidden="1" x14ac:dyDescent="0.25">
      <c r="A52" s="584"/>
      <c r="B52" s="794">
        <v>1</v>
      </c>
      <c r="C52" s="795">
        <v>22</v>
      </c>
      <c r="D52" s="799"/>
      <c r="E52" s="760"/>
      <c r="F52" s="802"/>
      <c r="G52" s="790"/>
      <c r="H52" s="796" t="s">
        <v>479</v>
      </c>
      <c r="I52" s="760" t="s">
        <v>649</v>
      </c>
      <c r="J52" s="806">
        <v>2.25</v>
      </c>
      <c r="K52" s="760" t="s">
        <v>649</v>
      </c>
      <c r="L52" s="806">
        <v>30</v>
      </c>
      <c r="M52" s="806" t="s">
        <v>479</v>
      </c>
      <c r="N52" s="811" t="s">
        <v>97</v>
      </c>
      <c r="O52" s="584"/>
    </row>
    <row r="53" spans="1:15" hidden="1" x14ac:dyDescent="0.25">
      <c r="A53" s="584"/>
      <c r="B53" s="794">
        <v>1</v>
      </c>
      <c r="C53" s="795">
        <v>23</v>
      </c>
      <c r="D53" s="799"/>
      <c r="E53" s="760"/>
      <c r="F53" s="802"/>
      <c r="G53" s="790"/>
      <c r="H53" s="796" t="s">
        <v>479</v>
      </c>
      <c r="I53" s="760" t="s">
        <v>649</v>
      </c>
      <c r="J53" s="806">
        <v>2.25</v>
      </c>
      <c r="K53" s="760" t="s">
        <v>649</v>
      </c>
      <c r="L53" s="806">
        <v>30</v>
      </c>
      <c r="M53" s="806" t="s">
        <v>479</v>
      </c>
      <c r="N53" s="811" t="s">
        <v>96</v>
      </c>
      <c r="O53" s="584"/>
    </row>
    <row r="54" spans="1:15" hidden="1" x14ac:dyDescent="0.25">
      <c r="A54" s="584"/>
      <c r="B54" s="794">
        <v>1</v>
      </c>
      <c r="C54" s="795">
        <v>24</v>
      </c>
      <c r="D54" s="799"/>
      <c r="E54" s="760"/>
      <c r="F54" s="802"/>
      <c r="G54" s="790"/>
      <c r="H54" s="796" t="s">
        <v>479</v>
      </c>
      <c r="I54" s="760" t="s">
        <v>649</v>
      </c>
      <c r="J54" s="806">
        <v>2.25</v>
      </c>
      <c r="K54" s="760" t="s">
        <v>649</v>
      </c>
      <c r="L54" s="806">
        <v>30</v>
      </c>
      <c r="M54" s="806" t="s">
        <v>479</v>
      </c>
      <c r="N54" s="811" t="s">
        <v>95</v>
      </c>
      <c r="O54" s="584"/>
    </row>
    <row r="55" spans="1:15" hidden="1" x14ac:dyDescent="0.25">
      <c r="A55" s="584"/>
      <c r="B55" s="794">
        <v>1</v>
      </c>
      <c r="C55" s="795">
        <v>25</v>
      </c>
      <c r="D55" s="799"/>
      <c r="E55" s="760" t="s">
        <v>1302</v>
      </c>
      <c r="F55" s="802"/>
      <c r="G55" s="790"/>
      <c r="H55" s="796" t="s">
        <v>479</v>
      </c>
      <c r="I55" s="760" t="s">
        <v>649</v>
      </c>
      <c r="J55" s="1486">
        <v>2.25</v>
      </c>
      <c r="K55" s="760" t="s">
        <v>649</v>
      </c>
      <c r="L55" s="806">
        <v>30</v>
      </c>
      <c r="M55" s="806" t="s">
        <v>479</v>
      </c>
      <c r="N55" s="811" t="s">
        <v>94</v>
      </c>
      <c r="O55" s="584"/>
    </row>
    <row r="56" spans="1:15" hidden="1" x14ac:dyDescent="0.25">
      <c r="A56" s="584"/>
      <c r="B56" s="794">
        <v>1</v>
      </c>
      <c r="C56" s="795">
        <v>26</v>
      </c>
      <c r="D56" s="799"/>
      <c r="E56" s="760"/>
      <c r="F56" s="802"/>
      <c r="G56" s="790"/>
      <c r="H56" s="796" t="s">
        <v>479</v>
      </c>
      <c r="I56" s="760" t="s">
        <v>649</v>
      </c>
      <c r="J56" s="806">
        <v>2.25</v>
      </c>
      <c r="K56" s="760" t="s">
        <v>649</v>
      </c>
      <c r="L56" s="806">
        <v>30</v>
      </c>
      <c r="M56" s="806" t="s">
        <v>479</v>
      </c>
      <c r="N56" s="811" t="s">
        <v>93</v>
      </c>
      <c r="O56" s="584"/>
    </row>
    <row r="57" spans="1:15" hidden="1" x14ac:dyDescent="0.25">
      <c r="A57" s="584"/>
      <c r="B57" s="794">
        <v>1</v>
      </c>
      <c r="C57" s="795">
        <v>29</v>
      </c>
      <c r="D57" s="799"/>
      <c r="E57" s="760"/>
      <c r="F57" s="802"/>
      <c r="G57" s="790"/>
      <c r="H57" s="796" t="s">
        <v>479</v>
      </c>
      <c r="I57" s="760" t="s">
        <v>649</v>
      </c>
      <c r="J57" s="806">
        <v>2.25</v>
      </c>
      <c r="K57" s="760" t="s">
        <v>649</v>
      </c>
      <c r="L57" s="806">
        <v>30</v>
      </c>
      <c r="M57" s="806" t="s">
        <v>479</v>
      </c>
      <c r="N57" s="811" t="s">
        <v>92</v>
      </c>
      <c r="O57" s="584"/>
    </row>
    <row r="58" spans="1:15" hidden="1" x14ac:dyDescent="0.25">
      <c r="A58" s="584"/>
      <c r="B58" s="794">
        <v>1</v>
      </c>
      <c r="C58" s="795">
        <v>30</v>
      </c>
      <c r="D58" s="799"/>
      <c r="E58" s="760"/>
      <c r="F58" s="802"/>
      <c r="G58" s="790"/>
      <c r="H58" s="796" t="s">
        <v>479</v>
      </c>
      <c r="I58" s="760" t="s">
        <v>649</v>
      </c>
      <c r="J58" s="806">
        <v>2.25</v>
      </c>
      <c r="K58" s="760" t="s">
        <v>649</v>
      </c>
      <c r="L58" s="806">
        <v>30</v>
      </c>
      <c r="M58" s="806" t="s">
        <v>479</v>
      </c>
      <c r="N58" s="811" t="s">
        <v>91</v>
      </c>
      <c r="O58" s="584"/>
    </row>
    <row r="59" spans="1:15" hidden="1" x14ac:dyDescent="0.25">
      <c r="A59" s="584"/>
      <c r="B59" s="794">
        <v>1</v>
      </c>
      <c r="C59" s="795">
        <v>31</v>
      </c>
      <c r="D59" s="799"/>
      <c r="E59" s="760"/>
      <c r="F59" s="802"/>
      <c r="G59" s="790"/>
      <c r="H59" s="796" t="s">
        <v>479</v>
      </c>
      <c r="I59" s="760" t="s">
        <v>649</v>
      </c>
      <c r="J59" s="806">
        <v>2.25</v>
      </c>
      <c r="K59" s="760" t="s">
        <v>649</v>
      </c>
      <c r="L59" s="806">
        <v>30</v>
      </c>
      <c r="M59" s="806" t="s">
        <v>479</v>
      </c>
      <c r="N59" s="811" t="s">
        <v>90</v>
      </c>
      <c r="O59" s="584"/>
    </row>
    <row r="60" spans="1:15" hidden="1" x14ac:dyDescent="0.25">
      <c r="A60" s="584"/>
      <c r="B60" s="794">
        <v>1</v>
      </c>
      <c r="C60" s="795">
        <v>32</v>
      </c>
      <c r="D60" s="799"/>
      <c r="E60" s="760"/>
      <c r="F60" s="802"/>
      <c r="G60" s="790"/>
      <c r="H60" s="796" t="s">
        <v>479</v>
      </c>
      <c r="I60" s="760" t="s">
        <v>649</v>
      </c>
      <c r="J60" s="806">
        <v>2.25</v>
      </c>
      <c r="K60" s="760" t="s">
        <v>649</v>
      </c>
      <c r="L60" s="806">
        <v>30</v>
      </c>
      <c r="M60" s="806" t="s">
        <v>479</v>
      </c>
      <c r="N60" s="811" t="s">
        <v>89</v>
      </c>
      <c r="O60" s="584"/>
    </row>
    <row r="61" spans="1:15" hidden="1" x14ac:dyDescent="0.25">
      <c r="A61" s="584"/>
      <c r="B61" s="794">
        <v>1</v>
      </c>
      <c r="C61" s="795">
        <v>33</v>
      </c>
      <c r="D61" s="799"/>
      <c r="E61" s="760"/>
      <c r="F61" s="802"/>
      <c r="G61" s="790"/>
      <c r="H61" s="796" t="s">
        <v>479</v>
      </c>
      <c r="I61" s="760" t="s">
        <v>649</v>
      </c>
      <c r="J61" s="806">
        <v>2.25</v>
      </c>
      <c r="K61" s="760" t="s">
        <v>649</v>
      </c>
      <c r="L61" s="806">
        <v>30</v>
      </c>
      <c r="M61" s="806" t="s">
        <v>479</v>
      </c>
      <c r="N61" s="811" t="s">
        <v>88</v>
      </c>
      <c r="O61" s="584"/>
    </row>
    <row r="62" spans="1:15" hidden="1" x14ac:dyDescent="0.25">
      <c r="A62" s="584"/>
      <c r="B62" s="794">
        <v>1</v>
      </c>
      <c r="C62" s="795">
        <v>34</v>
      </c>
      <c r="D62" s="799"/>
      <c r="E62" s="760"/>
      <c r="F62" s="802"/>
      <c r="G62" s="790"/>
      <c r="H62" s="796" t="s">
        <v>479</v>
      </c>
      <c r="I62" s="760" t="s">
        <v>649</v>
      </c>
      <c r="J62" s="806">
        <v>2.25</v>
      </c>
      <c r="K62" s="760" t="s">
        <v>649</v>
      </c>
      <c r="L62" s="806">
        <v>30</v>
      </c>
      <c r="M62" s="806" t="s">
        <v>479</v>
      </c>
      <c r="N62" s="811" t="s">
        <v>87</v>
      </c>
      <c r="O62" s="584"/>
    </row>
    <row r="63" spans="1:15" hidden="1" x14ac:dyDescent="0.25">
      <c r="A63" s="584"/>
      <c r="B63" s="794">
        <v>1</v>
      </c>
      <c r="C63" s="795">
        <v>35</v>
      </c>
      <c r="D63" s="799"/>
      <c r="E63" s="760"/>
      <c r="F63" s="802"/>
      <c r="G63" s="790"/>
      <c r="H63" s="796" t="s">
        <v>479</v>
      </c>
      <c r="I63" s="760" t="s">
        <v>649</v>
      </c>
      <c r="J63" s="806">
        <v>2.25</v>
      </c>
      <c r="K63" s="760" t="s">
        <v>649</v>
      </c>
      <c r="L63" s="806">
        <v>30</v>
      </c>
      <c r="M63" s="806" t="s">
        <v>479</v>
      </c>
      <c r="N63" s="811" t="s">
        <v>86</v>
      </c>
      <c r="O63" s="584"/>
    </row>
    <row r="64" spans="1:15" ht="15.75" hidden="1" thickBot="1" x14ac:dyDescent="0.3">
      <c r="A64" s="584"/>
      <c r="B64" s="754">
        <v>1</v>
      </c>
      <c r="C64" s="800">
        <v>37</v>
      </c>
      <c r="D64" s="801"/>
      <c r="E64" s="746"/>
      <c r="F64" s="803"/>
      <c r="G64" s="791"/>
      <c r="H64" s="757" t="s">
        <v>479</v>
      </c>
      <c r="I64" s="746" t="s">
        <v>649</v>
      </c>
      <c r="J64" s="807">
        <v>2.25</v>
      </c>
      <c r="K64" s="746" t="s">
        <v>649</v>
      </c>
      <c r="L64" s="807">
        <v>30</v>
      </c>
      <c r="M64" s="807" t="s">
        <v>479</v>
      </c>
      <c r="N64" s="812"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P6" sqref="P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1.5703125" style="960" hidden="1" customWidth="1"/>
    <col min="7" max="7" width="11" style="1050" customWidth="1"/>
    <col min="8" max="8" width="21.5703125" style="960" customWidth="1"/>
    <col min="9" max="9" width="3.28515625" style="960" customWidth="1"/>
    <col min="10" max="10" width="20.7109375"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0" customFormat="1" ht="24" customHeight="1" thickBot="1" x14ac:dyDescent="0.4">
      <c r="A1" s="584"/>
      <c r="B1" s="584"/>
      <c r="C1" s="584"/>
      <c r="D1" s="584"/>
      <c r="E1" s="584"/>
      <c r="F1" s="584"/>
      <c r="G1" s="1049"/>
      <c r="H1" s="584"/>
      <c r="I1" s="584"/>
      <c r="J1" s="1696"/>
      <c r="K1" s="1696"/>
      <c r="L1" s="1696"/>
      <c r="M1" s="1696"/>
      <c r="N1" s="1696"/>
      <c r="O1" s="584"/>
      <c r="P1" s="994"/>
      <c r="Q1" s="584"/>
      <c r="R1" s="994"/>
      <c r="S1" s="584"/>
      <c r="T1" s="584"/>
      <c r="U1" s="584"/>
      <c r="W1" s="1023" t="s">
        <v>1560</v>
      </c>
      <c r="X1" s="1024" t="s">
        <v>1536</v>
      </c>
      <c r="Y1" s="1025" t="s">
        <v>1537</v>
      </c>
      <c r="Z1" s="1026" t="s">
        <v>1538</v>
      </c>
      <c r="AA1" s="1084" t="s">
        <v>766</v>
      </c>
      <c r="AB1" s="1085" t="s">
        <v>1189</v>
      </c>
      <c r="AC1" s="1025" t="s">
        <v>1366</v>
      </c>
    </row>
    <row r="2" spans="1:29" s="950" customFormat="1" ht="6" customHeight="1" thickBot="1" x14ac:dyDescent="0.3">
      <c r="A2" s="584"/>
      <c r="B2" s="584"/>
      <c r="C2" s="584"/>
      <c r="D2" s="584"/>
      <c r="E2" s="584"/>
      <c r="F2" s="584"/>
      <c r="G2" s="1049"/>
      <c r="H2" s="584"/>
      <c r="I2" s="584"/>
      <c r="J2" s="584"/>
      <c r="K2" s="584"/>
      <c r="L2" s="584"/>
      <c r="M2" s="584"/>
      <c r="N2" s="584"/>
      <c r="O2" s="584"/>
      <c r="P2" s="584"/>
      <c r="Q2" s="584"/>
      <c r="R2" s="584"/>
      <c r="S2" s="584"/>
      <c r="T2" s="584"/>
      <c r="U2" s="584"/>
    </row>
    <row r="3" spans="1:29" s="950" customFormat="1" ht="21" customHeight="1" thickBot="1" x14ac:dyDescent="0.3">
      <c r="A3" s="584"/>
      <c r="B3" s="1687" t="s">
        <v>1503</v>
      </c>
      <c r="C3" s="1697"/>
      <c r="D3" s="1697"/>
      <c r="E3" s="1697"/>
      <c r="F3" s="1697"/>
      <c r="G3" s="1697"/>
      <c r="H3" s="1697"/>
      <c r="I3" s="1697"/>
      <c r="J3" s="1697"/>
      <c r="K3" s="1697"/>
      <c r="L3" s="1697"/>
      <c r="M3" s="1697"/>
      <c r="N3" s="1697"/>
      <c r="O3" s="1697"/>
      <c r="P3" s="1697"/>
      <c r="Q3" s="1697"/>
      <c r="R3" s="1697"/>
      <c r="S3" s="1697"/>
      <c r="T3" s="1697"/>
      <c r="U3" s="1698"/>
      <c r="W3" s="1021">
        <v>1201</v>
      </c>
      <c r="X3" s="956" t="s">
        <v>1504</v>
      </c>
      <c r="Y3" s="1021">
        <v>1</v>
      </c>
      <c r="Z3" s="954" t="str">
        <f>IF(Incentives!$E$13="Yes",IF(Incentives!$E$14=X3,14,IF(Incentives!$E$27="Yes",IF(Incentives!$E$28=X3,28,IF(Incentives!$E$41="Yes",IF(Incentives!$E$42=X3,42,""),"")),"")),"")</f>
        <v/>
      </c>
      <c r="AA3" s="1086" t="str">
        <f>IF(Z3&lt;&gt;"",IF(Z3=14,Incentives!E$16,IF(Z3=28,Incentives!E$30,IF(Z3=42,Incentives!E$44,""))),"")</f>
        <v/>
      </c>
      <c r="AB3" s="1086" t="str">
        <f>IF(Z3&lt;&gt;"",IF(Z3=14,Incentives!E$17,IF(Z3=28,Incentives!E$31,IF(Z3=42,Incentives!E$45,""))),"")</f>
        <v/>
      </c>
      <c r="AC3" s="1095">
        <v>3</v>
      </c>
    </row>
    <row r="4" spans="1:29" s="950" customFormat="1" ht="20.25" customHeight="1" thickBot="1" x14ac:dyDescent="0.3">
      <c r="A4" s="584"/>
      <c r="B4" s="995"/>
      <c r="C4" s="995"/>
      <c r="D4" s="995"/>
      <c r="E4" s="995"/>
      <c r="F4" s="995"/>
      <c r="G4" s="1045"/>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IF(Z4&lt;&gt;"",IF(Z4=14,Incentives!E$16,IF(Z4=28,Incentives!E$30,IF(Z4=42,Incentives!E$44,""))),"")</f>
        <v/>
      </c>
      <c r="AB4" s="1086" t="str">
        <f>IF(Z4&lt;&gt;"",IF(Z4=14,Incentives!E$17,IF(Z4=28,Incentives!E$31,IF(Z4=42,Incentives!E$45,""))),"")</f>
        <v/>
      </c>
      <c r="AC4" s="1095">
        <v>17</v>
      </c>
    </row>
    <row r="5" spans="1:29" s="950" customFormat="1" ht="30" customHeight="1" thickBot="1" x14ac:dyDescent="0.3">
      <c r="A5" s="432"/>
      <c r="B5" s="995"/>
      <c r="C5" s="1007" t="s">
        <v>1400</v>
      </c>
      <c r="D5" s="1681" t="s">
        <v>1504</v>
      </c>
      <c r="E5" s="1682"/>
      <c r="F5" s="995"/>
      <c r="G5" s="1045"/>
      <c r="H5" s="1010" t="s">
        <v>1397</v>
      </c>
      <c r="I5" s="995"/>
      <c r="J5" s="1010" t="s">
        <v>1398</v>
      </c>
      <c r="K5" s="995"/>
      <c r="L5" s="1010" t="s">
        <v>1414</v>
      </c>
      <c r="M5" s="995"/>
      <c r="N5" s="1011" t="s">
        <v>1399</v>
      </c>
      <c r="O5" s="995"/>
      <c r="P5" s="1010" t="s">
        <v>1505</v>
      </c>
      <c r="Q5" s="995"/>
      <c r="R5" s="1010" t="s">
        <v>1506</v>
      </c>
      <c r="S5" s="995"/>
      <c r="T5" s="1012" t="s">
        <v>1507</v>
      </c>
      <c r="U5" s="995"/>
      <c r="W5" s="1016">
        <v>1401</v>
      </c>
      <c r="X5" s="1018" t="s">
        <v>1519</v>
      </c>
      <c r="Y5" s="1017">
        <v>1</v>
      </c>
      <c r="Z5" s="954" t="str">
        <f>IF(Incentives!$E$13="Yes",IF(Incentives!$E$14=X5,14,IF(Incentives!$E$27="Yes",IF(Incentives!$E$28=X5,28,IF(Incentives!$E$41="Yes",IF(Incentives!$E$42=X5,42,""),"")),"")),"")</f>
        <v/>
      </c>
      <c r="AA5" s="1086" t="str">
        <f>IF(Z5&lt;&gt;"",IF(Z5=14,Incentives!E$16,IF(Z5=28,Incentives!E$30,IF(Z5=42,Incentives!E$44,""))),"")</f>
        <v/>
      </c>
      <c r="AB5" s="1086" t="str">
        <f>IF(Z5&lt;&gt;"",IF(Z5=14,Incentives!E$17,IF(Z5=28,Incentives!E$31,IF(Z5=42,Incentives!E$45,""))),"")</f>
        <v/>
      </c>
      <c r="AC5" s="1095">
        <v>31</v>
      </c>
    </row>
    <row r="6" spans="1:29" s="950" customFormat="1" ht="18" customHeight="1" thickBot="1" x14ac:dyDescent="0.3">
      <c r="A6" s="584"/>
      <c r="B6" s="995"/>
      <c r="C6" s="995"/>
      <c r="D6" s="995"/>
      <c r="E6" s="995"/>
      <c r="F6" s="995"/>
      <c r="G6" s="1045"/>
      <c r="H6" s="952"/>
      <c r="I6" s="995"/>
      <c r="J6" s="1000"/>
      <c r="K6" s="1002"/>
      <c r="L6" s="1000"/>
      <c r="M6" s="1002"/>
      <c r="N6" s="1044"/>
      <c r="O6" s="995"/>
      <c r="P6" s="953" t="s">
        <v>1508</v>
      </c>
      <c r="Q6" s="995"/>
      <c r="R6" s="953" t="s">
        <v>1509</v>
      </c>
      <c r="S6" s="995"/>
      <c r="T6" s="996" t="s">
        <v>649</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IF(Z6&lt;&gt;"",IF(Z6=14,Incentives!E$16,IF(Z6=28,Incentives!E$30,IF(Z6=42,Incentives!E$44,""))),"")</f>
        <v/>
      </c>
      <c r="AB6" s="1086" t="str">
        <f>IF(Z6&lt;&gt;"",IF(Z6=14,Incentives!E$17,IF(Z6=28,Incentives!E$31,IF(Z6=42,Incentives!E$45,""))),"")</f>
        <v/>
      </c>
      <c r="AC6" s="1095">
        <v>45</v>
      </c>
    </row>
    <row r="7" spans="1:29" s="950" customFormat="1" ht="30" customHeight="1" thickBot="1" x14ac:dyDescent="0.3">
      <c r="A7" s="584"/>
      <c r="B7" s="995"/>
      <c r="C7" s="1007" t="s">
        <v>1510</v>
      </c>
      <c r="D7" s="1683">
        <v>1201</v>
      </c>
      <c r="E7" s="1684"/>
      <c r="F7" s="995"/>
      <c r="G7" s="1045"/>
      <c r="H7" s="995"/>
      <c r="I7" s="995"/>
      <c r="J7" s="995"/>
      <c r="K7" s="995"/>
      <c r="L7" s="995"/>
      <c r="M7" s="995"/>
      <c r="N7" s="995"/>
      <c r="O7" s="995"/>
      <c r="P7" s="995"/>
      <c r="Q7" s="995"/>
      <c r="R7" s="995"/>
      <c r="S7" s="995"/>
      <c r="T7" s="995"/>
      <c r="U7" s="995"/>
      <c r="W7" s="1016">
        <v>1501</v>
      </c>
      <c r="X7" s="1018" t="s">
        <v>1532</v>
      </c>
      <c r="Y7" s="1017">
        <v>1</v>
      </c>
      <c r="Z7" s="954" t="str">
        <f>IF(Incentives!$E$13="Yes",IF(Incentives!$E$14=X7,14,IF(Incentives!$E$27="Yes",IF(Incentives!$E$28=X7,28,IF(Incentives!$E$41="Yes",IF(Incentives!$E$42=X7,42,""),"")),"")),"")</f>
        <v/>
      </c>
      <c r="AA7" s="1086" t="str">
        <f>IF(Z7&lt;&gt;"",IF(Z7=14,Incentives!E$16,IF(Z7=28,Incentives!E$30,IF(Z7=42,Incentives!E$44,""))),"")</f>
        <v/>
      </c>
      <c r="AB7" s="1086" t="str">
        <f>IF(Z7&lt;&gt;"",IF(Z7=14,Incentives!E$17,IF(Z7=28,Incentives!E$31,IF(Z7=42,Incentives!E$45,""))),"")</f>
        <v/>
      </c>
      <c r="AC7" s="1095">
        <v>59</v>
      </c>
    </row>
    <row r="8" spans="1:29" s="950" customFormat="1" ht="17.25" customHeight="1" thickBot="1" x14ac:dyDescent="0.3">
      <c r="A8" s="584"/>
      <c r="B8" s="995"/>
      <c r="C8" s="995"/>
      <c r="D8" s="995"/>
      <c r="E8" s="995"/>
      <c r="F8" s="995"/>
      <c r="G8" s="1045"/>
      <c r="H8" s="995"/>
      <c r="I8" s="995"/>
      <c r="J8" s="995"/>
      <c r="K8" s="995"/>
      <c r="L8" s="1010" t="s">
        <v>1406</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IF(Z8&lt;&gt;"",IF(Z8=14,Incentives!E$16,IF(Z8=28,Incentives!E$30,IF(Z8=42,Incentives!E$44,""))),"")</f>
        <v/>
      </c>
      <c r="AB8" s="1086" t="str">
        <f>IF(Z8&lt;&gt;"",IF(Z8=14,Incentives!E$17,IF(Z8=28,Incentives!E$31,IF(Z8=42,Incentives!E$45,""))),"")</f>
        <v/>
      </c>
      <c r="AC8" s="1095">
        <v>75</v>
      </c>
    </row>
    <row r="9" spans="1:29" s="950" customFormat="1" ht="18" customHeight="1" thickBot="1" x14ac:dyDescent="0.3">
      <c r="A9" s="584"/>
      <c r="B9" s="995"/>
      <c r="C9" s="1007" t="s">
        <v>1402</v>
      </c>
      <c r="D9" s="1685" t="str">
        <f>AA3</f>
        <v/>
      </c>
      <c r="E9" s="1686"/>
      <c r="F9" s="995"/>
      <c r="G9" s="1045"/>
      <c r="H9" s="995"/>
      <c r="I9" s="995"/>
      <c r="J9" s="995"/>
      <c r="K9" s="995"/>
      <c r="L9" s="1000"/>
      <c r="M9" s="995"/>
      <c r="N9" s="995"/>
      <c r="O9" s="995"/>
      <c r="P9" s="995"/>
      <c r="Q9" s="995"/>
      <c r="R9" s="995"/>
      <c r="S9" s="995"/>
      <c r="T9" s="995"/>
      <c r="U9" s="995"/>
      <c r="W9" s="1016">
        <v>5501</v>
      </c>
      <c r="X9" s="1022" t="s">
        <v>1541</v>
      </c>
      <c r="Y9" s="1019">
        <v>1</v>
      </c>
      <c r="Z9" s="954" t="str">
        <f>IF(Incentives!$E$55="Yes",IF(Incentives!$E$56=X9,56,IF(Incentives!$E$69="Yes",IF(Incentives!$E$70=X9,70,""),"")),"")</f>
        <v/>
      </c>
      <c r="AA9" s="1086" t="str">
        <f>IF(Z9&lt;&gt;"",IF(Z9=56,Incentives!E$58,IF(Z9=70,Incentives!E$72,"")),"")</f>
        <v/>
      </c>
      <c r="AB9" s="1086" t="str">
        <f>IF(Z9&lt;&gt;"",IF(Z9=56,Incentives!E$59,IF(Z9=70,Incentives!E$73,"")),"")</f>
        <v/>
      </c>
      <c r="AC9" s="1095">
        <v>91</v>
      </c>
    </row>
    <row r="10" spans="1:29" s="950" customFormat="1" ht="18" customHeight="1" thickBot="1" x14ac:dyDescent="0.3">
      <c r="A10" s="584"/>
      <c r="B10" s="995"/>
      <c r="C10" s="995"/>
      <c r="D10" s="995"/>
      <c r="E10" s="995"/>
      <c r="F10" s="995"/>
      <c r="G10" s="1045"/>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IF(Z10&lt;&gt;"",IF(Z10=56,Incentives!E$58,IF(Z10=70,Incentives!E$72,"")),"")</f>
        <v/>
      </c>
      <c r="AB10" s="1086" t="str">
        <f>IF(Z10&lt;&gt;"",IF(Z10=56,Incentives!E$59,IF(Z10=70,Incentives!E$73,"")),"")</f>
        <v/>
      </c>
      <c r="AC10" s="1095">
        <v>105</v>
      </c>
    </row>
    <row r="11" spans="1:29" s="950" customFormat="1" ht="30" customHeight="1" thickBot="1" x14ac:dyDescent="0.3">
      <c r="A11" s="584"/>
      <c r="B11" s="995"/>
      <c r="C11" s="1007" t="s">
        <v>1403</v>
      </c>
      <c r="D11" s="1685" t="str">
        <f>AB3</f>
        <v/>
      </c>
      <c r="E11" s="1686"/>
      <c r="F11" s="995"/>
      <c r="G11" s="1045"/>
      <c r="H11" s="1009" t="s">
        <v>1511</v>
      </c>
      <c r="I11" s="995"/>
      <c r="J11" s="995"/>
      <c r="K11" s="995"/>
      <c r="L11" s="1010" t="s">
        <v>1512</v>
      </c>
      <c r="M11" s="995"/>
      <c r="N11" s="995"/>
      <c r="O11" s="995"/>
      <c r="P11" s="995"/>
      <c r="Q11" s="995"/>
      <c r="R11" s="995"/>
      <c r="S11" s="995"/>
      <c r="T11" s="1087" t="s">
        <v>1618</v>
      </c>
      <c r="U11" s="995"/>
      <c r="W11" s="1016">
        <v>2801</v>
      </c>
      <c r="X11" s="1022" t="s">
        <v>1542</v>
      </c>
      <c r="Y11" s="1017">
        <v>1</v>
      </c>
      <c r="Z11" s="954" t="str">
        <f>IF(Incentives!$E$55="Yes",IF(Incentives!$E$56=X11,56,IF(Incentives!$E$69="Yes",IF(Incentives!$E$70=X11,70,""),"")),"")</f>
        <v/>
      </c>
      <c r="AA11" s="1086" t="str">
        <f>IF(Z11&lt;&gt;"",IF(Z11=56,Incentives!E$58,IF(Z11=70,Incentives!E$72,"")),"")</f>
        <v/>
      </c>
      <c r="AB11" s="1086" t="str">
        <f>IF(Z11&lt;&gt;"",IF(Z11=56,Incentives!E$59,IF(Z11=70,Incentives!E$73,"")),"")</f>
        <v/>
      </c>
      <c r="AC11" s="1095">
        <v>119</v>
      </c>
    </row>
    <row r="12" spans="1:29" s="950" customFormat="1" ht="18" customHeight="1" thickBot="1" x14ac:dyDescent="0.3">
      <c r="A12" s="584"/>
      <c r="B12" s="995"/>
      <c r="C12" s="995"/>
      <c r="D12" s="995"/>
      <c r="E12" s="995"/>
      <c r="F12" s="995"/>
      <c r="G12" s="1045"/>
      <c r="H12" s="996" t="s">
        <v>647</v>
      </c>
      <c r="I12" s="995"/>
      <c r="J12" s="995"/>
      <c r="K12" s="995"/>
      <c r="L12" s="968" t="s">
        <v>1513</v>
      </c>
      <c r="M12" s="995"/>
      <c r="N12" s="995"/>
      <c r="O12" s="995"/>
      <c r="P12" s="995"/>
      <c r="Q12" s="995"/>
      <c r="R12" s="995"/>
      <c r="S12" s="995"/>
      <c r="T12" s="1088" t="s">
        <v>647</v>
      </c>
      <c r="U12" s="995"/>
      <c r="W12" s="1016">
        <v>2802</v>
      </c>
      <c r="X12" s="1022"/>
      <c r="Y12" s="1020"/>
      <c r="Z12" s="955" t="str">
        <f>IF(AND(Incentives!$E$55="Yes",Incentives!$E$56=X11),IF(Incentives!$E$69="Yes",IF(Incentives!$E$70=X11,70,""),""),"")</f>
        <v/>
      </c>
      <c r="AA12" s="1086" t="str">
        <f>IF(Z12&lt;&gt;"",IF(Z12=56,Incentives!E$58,IF(Z12=70,Incentives!E$72,"")),"")</f>
        <v/>
      </c>
      <c r="AB12" s="1086" t="str">
        <f>IF(Z12&lt;&gt;"",IF(Z12=56,Incentives!E$59,IF(Z12=70,Incentives!E$73,"")),"")</f>
        <v/>
      </c>
      <c r="AC12" s="1095">
        <v>135</v>
      </c>
    </row>
    <row r="13" spans="1:29" s="950" customFormat="1" ht="30" customHeight="1" thickBot="1" x14ac:dyDescent="0.3">
      <c r="A13" s="584"/>
      <c r="B13" s="995"/>
      <c r="C13" s="1008" t="s">
        <v>1514</v>
      </c>
      <c r="D13" s="1673" t="s">
        <v>647</v>
      </c>
      <c r="E13" s="1674"/>
      <c r="F13" s="995"/>
      <c r="G13" s="1045"/>
      <c r="H13" s="995"/>
      <c r="I13" s="995"/>
      <c r="J13" s="995"/>
      <c r="K13" s="995"/>
      <c r="L13" s="995"/>
      <c r="M13" s="995"/>
      <c r="N13" s="995"/>
      <c r="O13" s="995"/>
      <c r="P13" s="995"/>
      <c r="Q13" s="995"/>
      <c r="R13" s="995"/>
      <c r="S13" s="995"/>
      <c r="T13" s="995"/>
      <c r="U13" s="995"/>
      <c r="W13" s="1016">
        <v>3401</v>
      </c>
      <c r="X13" s="1022" t="s">
        <v>1549</v>
      </c>
      <c r="Y13" s="1021">
        <v>1</v>
      </c>
      <c r="Z13" s="954" t="str">
        <f>IF(Incentives!$E$83="Yes",IF(Incentives!$E$84=X13,84,IF(Incentives!$E$97="Yes",IF(Incentives!$E$98=X13,98,""),"")),"")</f>
        <v/>
      </c>
      <c r="AA13" s="1086" t="str">
        <f>IF(Z13&lt;&gt;"",IF(Z13=84,Incentives!E$86,IF(Z13=98,Incentives!E$100,"")),"")</f>
        <v/>
      </c>
      <c r="AB13" s="1086" t="str">
        <f>IF(Z13&lt;&gt;"",IF(Z13=84,Incentives!E$87,IF(Z13=98,Incentives!E$101,"")),"")</f>
        <v/>
      </c>
      <c r="AC13" s="1095">
        <v>151</v>
      </c>
    </row>
    <row r="14" spans="1:29" s="950" customFormat="1" ht="18" customHeight="1" thickBot="1" x14ac:dyDescent="0.3">
      <c r="A14" s="584"/>
      <c r="B14" s="995"/>
      <c r="C14" s="995"/>
      <c r="D14" s="995"/>
      <c r="E14" s="995"/>
      <c r="F14" s="995"/>
      <c r="G14" s="1045"/>
      <c r="H14" s="995"/>
      <c r="I14" s="995"/>
      <c r="J14" s="995"/>
      <c r="K14" s="995"/>
      <c r="L14" s="995"/>
      <c r="M14" s="995"/>
      <c r="N14" s="995"/>
      <c r="O14" s="995"/>
      <c r="P14" s="995"/>
      <c r="Q14" s="995"/>
      <c r="R14" s="995"/>
      <c r="S14" s="995"/>
      <c r="T14" s="1010" t="s">
        <v>524</v>
      </c>
      <c r="U14" s="995"/>
      <c r="W14" s="1016">
        <v>3402</v>
      </c>
      <c r="X14" s="1022"/>
      <c r="Y14" s="1021">
        <v>2</v>
      </c>
      <c r="Z14" s="955" t="str">
        <f>IF(AND(Incentives!$E$83="Yes",Incentives!$E$84=X13),IF(Incentives!$E$97="Yes",IF(Incentives!$E$98=X13,98,""),""),"")</f>
        <v/>
      </c>
      <c r="AA14" s="1086" t="str">
        <f>IF(Z14&lt;&gt;"",IF(Z14=84,Incentives!E$86,IF(Z14=98,Incentives!E$100,"")),"")</f>
        <v/>
      </c>
      <c r="AB14" s="1086" t="str">
        <f>IF(Z14&lt;&gt;"",IF(Z14=84,Incentives!E$87,IF(Z14=98,Incentives!E$101,"")),"")</f>
        <v/>
      </c>
      <c r="AC14" s="1095">
        <v>165</v>
      </c>
    </row>
    <row r="15" spans="1:29" s="950" customFormat="1" ht="18" customHeight="1" thickBot="1" x14ac:dyDescent="0.3">
      <c r="A15" s="584"/>
      <c r="B15" s="995"/>
      <c r="C15" s="1007" t="s">
        <v>1515</v>
      </c>
      <c r="D15" s="1683" t="s">
        <v>1516</v>
      </c>
      <c r="E15" s="1684"/>
      <c r="F15" s="995"/>
      <c r="G15" s="1045"/>
      <c r="H15" s="995"/>
      <c r="I15" s="995"/>
      <c r="J15" s="995"/>
      <c r="K15" s="995"/>
      <c r="L15" s="995"/>
      <c r="M15" s="995"/>
      <c r="N15" s="995"/>
      <c r="O15" s="995"/>
      <c r="P15" s="995"/>
      <c r="Q15" s="995"/>
      <c r="R15" s="995"/>
      <c r="S15" s="995"/>
      <c r="T15" s="1040" t="str">
        <f>IF(Z3&lt;&gt;"","Yes","No")</f>
        <v>No</v>
      </c>
      <c r="U15" s="995"/>
      <c r="W15" s="1016">
        <v>3501</v>
      </c>
      <c r="X15" s="1022" t="s">
        <v>1553</v>
      </c>
      <c r="Y15" s="1021">
        <v>1</v>
      </c>
      <c r="Z15" s="954" t="str">
        <f>IF(Incentives!$E$83="Yes",IF(Incentives!$E$84=X15,84,IF(Incentives!$E$97="Yes",IF(Incentives!$E$98=X15,98,""),"")),"")</f>
        <v/>
      </c>
      <c r="AA15" s="1086" t="str">
        <f>IF(Z15&lt;&gt;"",IF(Z15=84,Incentives!E$86,IF(Z15=98,Incentives!E$100,"")),"")</f>
        <v/>
      </c>
      <c r="AB15" s="1086" t="str">
        <f>IF(Z15&lt;&gt;"",IF(Z15=84,Incentives!E$87,IF(Z15=98,Incentives!E$101,"")),"")</f>
        <v/>
      </c>
      <c r="AC15" s="1095">
        <v>179</v>
      </c>
    </row>
    <row r="16" spans="1:29" s="950" customFormat="1" ht="21" customHeight="1" thickBot="1" x14ac:dyDescent="0.3">
      <c r="A16" s="584"/>
      <c r="B16" s="995"/>
      <c r="C16" s="995"/>
      <c r="D16" s="995"/>
      <c r="E16" s="995"/>
      <c r="F16" s="995"/>
      <c r="G16" s="1045"/>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IF(Z16&lt;&gt;"",IF(Z16=84,Incentives!E$86,IF(Z16=98,Incentives!E$100,"")),"")</f>
        <v/>
      </c>
      <c r="AB16" s="1086" t="str">
        <f>IF(Z16&lt;&gt;"",IF(Z16=84,Incentives!E$87,IF(Z16=98,Incentives!E$101,"")),"")</f>
        <v/>
      </c>
      <c r="AC16" s="1095">
        <v>193</v>
      </c>
    </row>
    <row r="17" spans="1:29" s="950" customFormat="1" ht="21" customHeight="1" thickBot="1" x14ac:dyDescent="0.3">
      <c r="A17" s="584"/>
      <c r="B17" s="1687" t="s">
        <v>1517</v>
      </c>
      <c r="C17" s="1697"/>
      <c r="D17" s="1697"/>
      <c r="E17" s="1697"/>
      <c r="F17" s="1697"/>
      <c r="G17" s="1697"/>
      <c r="H17" s="1697"/>
      <c r="I17" s="1697"/>
      <c r="J17" s="1697"/>
      <c r="K17" s="1697"/>
      <c r="L17" s="1697"/>
      <c r="M17" s="1697"/>
      <c r="N17" s="1697"/>
      <c r="O17" s="1697"/>
      <c r="P17" s="1697"/>
      <c r="Q17" s="1697"/>
      <c r="R17" s="1697"/>
      <c r="S17" s="1697"/>
      <c r="T17" s="1697"/>
      <c r="U17" s="1698"/>
      <c r="W17" s="1016">
        <v>3601</v>
      </c>
      <c r="X17" s="1022" t="s">
        <v>1556</v>
      </c>
      <c r="Y17" s="1021">
        <v>1</v>
      </c>
      <c r="Z17" s="954" t="str">
        <f>IF(Incentives!$E$83="Yes",IF(Incentives!$E$84=X17,84,IF(Incentives!$E$97="Yes",IF(Incentives!$E$98=X17,98,""),"")),"")</f>
        <v/>
      </c>
      <c r="AA17" s="1086" t="str">
        <f>IF(Z17&lt;&gt;"",IF(Z17=84,Incentives!E$86,IF(Z17=98,Incentives!E$100,"")),"")</f>
        <v/>
      </c>
      <c r="AB17" s="1086" t="str">
        <f>IF(Z17&lt;&gt;"",IF(Z17=84,Incentives!E$87,IF(Z17=98,Incentives!E$101,"")),"")</f>
        <v/>
      </c>
      <c r="AC17" s="1095">
        <v>207</v>
      </c>
    </row>
    <row r="18" spans="1:29" s="950" customFormat="1" ht="21" customHeight="1" thickBot="1" x14ac:dyDescent="0.3">
      <c r="A18" s="584"/>
      <c r="B18" s="995"/>
      <c r="C18" s="995"/>
      <c r="D18" s="995"/>
      <c r="E18" s="995"/>
      <c r="F18" s="995"/>
      <c r="G18" s="1045"/>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IF(Z18&lt;&gt;"",IF(Z18=84,Incentives!E$86,IF(Z18=98,Incentives!E$100,"")),"")</f>
        <v/>
      </c>
      <c r="AB18" s="1086" t="str">
        <f>IF(Z18&lt;&gt;"",IF(Z18=84,Incentives!E$87,IF(Z18=98,Incentives!E$101,"")),"")</f>
        <v/>
      </c>
      <c r="AC18" s="1095">
        <v>223</v>
      </c>
    </row>
    <row r="19" spans="1:29" s="950" customFormat="1" ht="30" customHeight="1" thickBot="1" x14ac:dyDescent="0.3">
      <c r="A19" s="432"/>
      <c r="B19" s="995"/>
      <c r="C19" s="1007" t="s">
        <v>1400</v>
      </c>
      <c r="D19" s="1681" t="s">
        <v>1504</v>
      </c>
      <c r="E19" s="1682"/>
      <c r="F19" s="995"/>
      <c r="G19" s="1045"/>
      <c r="H19" s="1010" t="s">
        <v>1397</v>
      </c>
      <c r="I19" s="995"/>
      <c r="J19" s="1010" t="s">
        <v>1398</v>
      </c>
      <c r="K19" s="995"/>
      <c r="L19" s="1010" t="s">
        <v>1414</v>
      </c>
      <c r="M19" s="995"/>
      <c r="N19" s="1010" t="s">
        <v>1399</v>
      </c>
      <c r="O19" s="995"/>
      <c r="P19" s="1010" t="s">
        <v>1505</v>
      </c>
      <c r="Q19" s="995"/>
      <c r="R19" s="1010" t="s">
        <v>1506</v>
      </c>
      <c r="S19" s="995"/>
      <c r="T19" s="1010" t="s">
        <v>1507</v>
      </c>
      <c r="U19" s="995"/>
      <c r="W19" s="1016">
        <v>1301</v>
      </c>
      <c r="X19" s="1022" t="s">
        <v>1558</v>
      </c>
      <c r="Y19" s="1021">
        <v>1</v>
      </c>
      <c r="Z19" s="954" t="str">
        <f>IF(Incentives!$E$111="Yes",112,"")</f>
        <v/>
      </c>
      <c r="AA19" s="1086" t="str">
        <f>IF(Z19&lt;&gt;"",IF(Z19=112,Incentives!E$114,""),"")</f>
        <v/>
      </c>
      <c r="AB19" s="1086" t="str">
        <f>IF(Z19&lt;&gt;"",IF(Z19=112,Incentives!E$115,""),"")</f>
        <v/>
      </c>
      <c r="AC19" s="1097">
        <v>239</v>
      </c>
    </row>
    <row r="20" spans="1:29" s="950" customFormat="1" ht="18" customHeight="1" thickBot="1" x14ac:dyDescent="0.3">
      <c r="A20" s="584"/>
      <c r="B20" s="995"/>
      <c r="C20" s="995"/>
      <c r="D20" s="995"/>
      <c r="E20" s="995"/>
      <c r="F20" s="995"/>
      <c r="G20" s="1045"/>
      <c r="H20" s="952"/>
      <c r="I20" s="995"/>
      <c r="J20" s="1000"/>
      <c r="K20" s="995"/>
      <c r="L20" s="1000"/>
      <c r="M20" s="995"/>
      <c r="N20" s="1044"/>
      <c r="O20" s="995"/>
      <c r="P20" s="953" t="s">
        <v>1508</v>
      </c>
      <c r="Q20" s="995"/>
      <c r="R20" s="953" t="s">
        <v>1509</v>
      </c>
      <c r="S20" s="995"/>
      <c r="T20" s="996" t="s">
        <v>649</v>
      </c>
      <c r="U20" s="995"/>
      <c r="W20" s="1016">
        <v>1302</v>
      </c>
      <c r="X20" s="1022" t="s">
        <v>1558</v>
      </c>
      <c r="Y20" s="1020">
        <v>2</v>
      </c>
      <c r="Z20" s="954" t="str">
        <f>IF(Incentives!$E$119="Yes",120,"")</f>
        <v/>
      </c>
      <c r="AA20" s="1086" t="str">
        <f>IF(Z20&lt;&gt;"",IF(Z20=120,Incentives!E$122,""),"")</f>
        <v/>
      </c>
      <c r="AB20" s="1086" t="str">
        <f>IF(Z20&lt;&gt;"",IF(Z20=120,Incentives!E$123,""),"")</f>
        <v/>
      </c>
      <c r="AC20" s="1097">
        <v>253</v>
      </c>
    </row>
    <row r="21" spans="1:29" s="950" customFormat="1" ht="30.75" customHeight="1" thickBot="1" x14ac:dyDescent="0.3">
      <c r="A21" s="584"/>
      <c r="B21" s="995"/>
      <c r="C21" s="1007" t="s">
        <v>1510</v>
      </c>
      <c r="D21" s="1683">
        <v>1202</v>
      </c>
      <c r="E21" s="1684"/>
      <c r="F21" s="995"/>
      <c r="G21" s="1045"/>
      <c r="H21" s="995"/>
      <c r="I21" s="995"/>
      <c r="J21" s="995"/>
      <c r="K21" s="995"/>
      <c r="L21" s="995"/>
      <c r="M21" s="995"/>
      <c r="N21" s="995"/>
      <c r="O21" s="995"/>
      <c r="P21" s="995"/>
      <c r="Q21" s="995"/>
      <c r="R21" s="995"/>
      <c r="S21" s="995"/>
      <c r="T21" s="995"/>
      <c r="U21" s="995"/>
      <c r="W21" s="1016">
        <v>1303</v>
      </c>
      <c r="X21" s="1022" t="s">
        <v>1558</v>
      </c>
      <c r="Y21" s="1063">
        <v>3</v>
      </c>
      <c r="Z21" s="954" t="str">
        <f>IF(Incentives!$E$127="Yes",128,"")</f>
        <v/>
      </c>
      <c r="AA21" s="1086" t="str">
        <f>IF(Z21&lt;&gt;"",IF(Z21=128,Incentives!E$130,""),"")</f>
        <v/>
      </c>
      <c r="AB21" s="1086" t="str">
        <f>IF(Z21&lt;&gt;"",IF(Z21=128,Incentives!E$131,""),"")</f>
        <v/>
      </c>
      <c r="AC21" s="1097">
        <v>267</v>
      </c>
    </row>
    <row r="22" spans="1:29" s="950" customFormat="1" ht="18" customHeight="1" thickBot="1" x14ac:dyDescent="0.3">
      <c r="A22" s="584"/>
      <c r="B22" s="995"/>
      <c r="C22" s="995"/>
      <c r="D22" s="995"/>
      <c r="E22" s="995"/>
      <c r="F22" s="995"/>
      <c r="G22" s="1045"/>
      <c r="H22" s="995"/>
      <c r="I22" s="995"/>
      <c r="J22" s="995"/>
      <c r="K22" s="995"/>
      <c r="L22" s="1010" t="s">
        <v>1406</v>
      </c>
      <c r="M22" s="995"/>
      <c r="N22" s="995"/>
      <c r="O22" s="995"/>
      <c r="P22" s="995"/>
      <c r="Q22" s="995"/>
      <c r="R22" s="995"/>
      <c r="S22" s="995"/>
      <c r="T22" s="995"/>
      <c r="U22" s="995"/>
      <c r="W22" s="1016">
        <v>1304</v>
      </c>
      <c r="X22" s="1022" t="s">
        <v>1558</v>
      </c>
      <c r="Y22" s="1063">
        <v>4</v>
      </c>
      <c r="Z22" s="954" t="str">
        <f>IF(Incentives!$E$135="Yes",136,"")</f>
        <v/>
      </c>
      <c r="AA22" s="1086" t="str">
        <f>IF(Z22&lt;&gt;"",IF(Z22=136,Incentives!E$138,""),"")</f>
        <v/>
      </c>
      <c r="AB22" s="1086" t="str">
        <f>IF(Z22&lt;&gt;"",IF(Z22=136,Incentives!E$139,""),"")</f>
        <v/>
      </c>
      <c r="AC22" s="1097">
        <v>281</v>
      </c>
    </row>
    <row r="23" spans="1:29" s="950" customFormat="1" ht="18" customHeight="1" thickBot="1" x14ac:dyDescent="0.3">
      <c r="A23" s="584"/>
      <c r="B23" s="995"/>
      <c r="C23" s="1007" t="s">
        <v>1402</v>
      </c>
      <c r="D23" s="1685" t="str">
        <f>AA4</f>
        <v/>
      </c>
      <c r="E23" s="1686"/>
      <c r="F23" s="995"/>
      <c r="G23" s="1045"/>
      <c r="H23" s="995"/>
      <c r="I23" s="995"/>
      <c r="J23" s="995"/>
      <c r="K23" s="995"/>
      <c r="L23" s="1001"/>
      <c r="M23" s="995"/>
      <c r="N23" s="995"/>
      <c r="O23" s="995"/>
      <c r="P23" s="995"/>
      <c r="Q23" s="995"/>
      <c r="R23" s="995"/>
      <c r="S23" s="995"/>
      <c r="T23" s="995"/>
      <c r="U23" s="995"/>
      <c r="W23" s="1016">
        <v>1305</v>
      </c>
      <c r="X23" s="1022" t="s">
        <v>1558</v>
      </c>
      <c r="Y23" s="1063">
        <v>5</v>
      </c>
      <c r="Z23" s="954" t="str">
        <f>IF(Incentives!$E$143="Yes",144,"")</f>
        <v/>
      </c>
      <c r="AA23" s="1086" t="str">
        <f>IF(Z23&lt;&gt;"",IF(Z23=144,Incentives!E$146,""),"")</f>
        <v/>
      </c>
      <c r="AB23" s="1086" t="str">
        <f>IF(Z23&lt;&gt;"",IF(Z23=144,Incentives!E$147,""),"")</f>
        <v/>
      </c>
      <c r="AC23" s="1097">
        <v>295</v>
      </c>
    </row>
    <row r="24" spans="1:29" s="950" customFormat="1" ht="15.75" thickBot="1" x14ac:dyDescent="0.3">
      <c r="A24" s="584"/>
      <c r="B24" s="995"/>
      <c r="C24" s="995"/>
      <c r="D24" s="995"/>
      <c r="E24" s="995"/>
      <c r="F24" s="995"/>
      <c r="G24" s="1045"/>
      <c r="H24" s="995"/>
      <c r="I24" s="995"/>
      <c r="J24" s="995"/>
      <c r="K24" s="995"/>
      <c r="L24" s="995"/>
      <c r="M24" s="995"/>
      <c r="N24" s="995"/>
      <c r="O24" s="995"/>
      <c r="P24" s="995"/>
      <c r="Q24" s="995"/>
      <c r="R24" s="995"/>
      <c r="S24" s="995"/>
      <c r="T24" s="995"/>
      <c r="U24" s="995"/>
      <c r="W24" s="1016">
        <v>4001</v>
      </c>
      <c r="X24" s="1022" t="s">
        <v>1559</v>
      </c>
      <c r="Y24" s="1020">
        <v>1</v>
      </c>
      <c r="Z24" s="954" t="str">
        <f>IF(Incentives!$E$151="Yes",152,"")</f>
        <v/>
      </c>
      <c r="AA24" s="1086" t="str">
        <f>IF(Z24&lt;&gt;"",IF(Z24=152,Incentives!E$154,""),"")</f>
        <v/>
      </c>
      <c r="AB24" s="1086" t="str">
        <f>IF(Z24&lt;&gt;"",IF(Z24=152,Incentives!E$155,""),"")</f>
        <v/>
      </c>
      <c r="AC24" s="1097">
        <v>309</v>
      </c>
    </row>
    <row r="25" spans="1:29" s="950" customFormat="1" ht="30" customHeight="1" thickBot="1" x14ac:dyDescent="0.3">
      <c r="A25" s="584"/>
      <c r="B25" s="995"/>
      <c r="C25" s="1007" t="s">
        <v>1403</v>
      </c>
      <c r="D25" s="1685" t="str">
        <f>AB4</f>
        <v/>
      </c>
      <c r="E25" s="1686"/>
      <c r="F25" s="995"/>
      <c r="G25" s="1045"/>
      <c r="H25" s="1009" t="s">
        <v>1511</v>
      </c>
      <c r="I25" s="995"/>
      <c r="J25" s="995"/>
      <c r="K25" s="995"/>
      <c r="L25" s="1010" t="s">
        <v>1512</v>
      </c>
      <c r="M25" s="995"/>
      <c r="N25" s="995"/>
      <c r="O25" s="995"/>
      <c r="P25" s="995"/>
      <c r="Q25" s="995"/>
      <c r="R25" s="995"/>
      <c r="S25" s="995"/>
      <c r="T25" s="1087" t="s">
        <v>1618</v>
      </c>
      <c r="U25" s="995"/>
      <c r="W25" s="1062">
        <v>4601</v>
      </c>
      <c r="X25" s="1064" t="s">
        <v>1619</v>
      </c>
      <c r="Y25" s="1063">
        <v>1</v>
      </c>
      <c r="Z25" s="1094" t="str">
        <f>IF(Incentives!$E$159="Yes",IF(Incentives!$E$160=X25,160,IF(Incentives!$E$167="Yes",IF(Incentives!$E$168=X25,168,""),"")),"")</f>
        <v/>
      </c>
      <c r="AA25" s="1086" t="str">
        <f>IF(Z25&lt;&gt;"",IF(Z25=160,Incentives!E$162,IF(Z25=168,Incentives!E$170,"")),"")</f>
        <v/>
      </c>
      <c r="AB25" s="1086" t="str">
        <f>IF(Z25&lt;&gt;"",IF(Z25=160,Incentives!E$163,IF(Z25=168,Incentives!E$171,"")),"")</f>
        <v/>
      </c>
      <c r="AC25" s="1097">
        <v>323</v>
      </c>
    </row>
    <row r="26" spans="1:29" s="950" customFormat="1" ht="18" customHeight="1" thickBot="1" x14ac:dyDescent="0.3">
      <c r="A26" s="584"/>
      <c r="B26" s="995"/>
      <c r="C26" s="995"/>
      <c r="D26" s="995"/>
      <c r="E26" s="995"/>
      <c r="F26" s="995"/>
      <c r="G26" s="1045"/>
      <c r="H26" s="996" t="s">
        <v>647</v>
      </c>
      <c r="I26" s="995"/>
      <c r="J26" s="995"/>
      <c r="K26" s="995"/>
      <c r="L26" s="968" t="s">
        <v>1513</v>
      </c>
      <c r="M26" s="995"/>
      <c r="N26" s="995"/>
      <c r="O26" s="995"/>
      <c r="P26" s="995"/>
      <c r="Q26" s="995"/>
      <c r="R26" s="995"/>
      <c r="S26" s="995"/>
      <c r="T26" s="1088" t="s">
        <v>647</v>
      </c>
      <c r="U26" s="995"/>
      <c r="W26" s="1062">
        <v>4602</v>
      </c>
      <c r="X26" s="1064"/>
      <c r="Y26" s="1063">
        <v>2</v>
      </c>
      <c r="Z26" s="1094" t="str">
        <f>IF(AND(Incentives!$E$159="Yes",Incentives!$E$160=X25),IF(Incentives!$E$167="Yes",IF(Incentives!$E$168=X25,168,""),""),"")</f>
        <v/>
      </c>
      <c r="AA26" s="1086" t="str">
        <f>IF(Z26&lt;&gt;"",IF(Z26=160,Incentives!E$162,IF(Z26=168,Incentives!E$170,"")),"")</f>
        <v/>
      </c>
      <c r="AB26" s="1086" t="str">
        <f>IF(Z26&lt;&gt;"",IF(Z26=160,Incentives!E$163,IF(Z26=168,Incentives!E$171,"")),"")</f>
        <v/>
      </c>
      <c r="AC26" s="1097">
        <v>337</v>
      </c>
    </row>
    <row r="27" spans="1:29" s="950" customFormat="1" ht="30" customHeight="1" thickBot="1" x14ac:dyDescent="0.3">
      <c r="A27" s="584"/>
      <c r="B27" s="995"/>
      <c r="C27" s="1013" t="s">
        <v>1514</v>
      </c>
      <c r="D27" s="1673" t="s">
        <v>647</v>
      </c>
      <c r="E27" s="1674"/>
      <c r="F27" s="995"/>
      <c r="G27" s="1045"/>
      <c r="H27" s="995"/>
      <c r="I27" s="995"/>
      <c r="J27" s="995"/>
      <c r="K27" s="995"/>
      <c r="L27" s="995"/>
      <c r="M27" s="995"/>
      <c r="N27" s="995"/>
      <c r="O27" s="995"/>
      <c r="P27" s="995"/>
      <c r="Q27" s="995"/>
      <c r="R27" s="995"/>
      <c r="S27" s="995"/>
      <c r="T27" s="995"/>
      <c r="U27" s="995"/>
      <c r="W27" s="1062">
        <v>4901</v>
      </c>
      <c r="X27" s="1064" t="s">
        <v>1649</v>
      </c>
      <c r="Y27" s="1063">
        <v>1</v>
      </c>
      <c r="Z27" s="1094" t="str">
        <f>IF(Incentives!$E$159="Yes",IF(Incentives!$E$160=X27,160,IF(Incentives!$E$167="Yes",IF(Incentives!$E$168=X27,168,""),"")),"")</f>
        <v/>
      </c>
      <c r="AA27" s="1086" t="str">
        <f>IF(Z27&lt;&gt;"",IF(Z27=160,Incentives!E$162,IF(Z27=168,Incentives!E$170,"")),"")</f>
        <v/>
      </c>
      <c r="AB27" s="1086" t="str">
        <f>IF(Z27&lt;&gt;"",IF(Z27=160,Incentives!E$163,IF(Z27=168,Incentives!E$171,"")),"")</f>
        <v/>
      </c>
      <c r="AC27" s="1097">
        <v>351</v>
      </c>
    </row>
    <row r="28" spans="1:29" s="950" customFormat="1" ht="18" customHeight="1" thickBot="1" x14ac:dyDescent="0.3">
      <c r="A28" s="584"/>
      <c r="B28" s="995"/>
      <c r="C28" s="995"/>
      <c r="D28" s="995"/>
      <c r="E28" s="995"/>
      <c r="F28" s="995"/>
      <c r="G28" s="1045"/>
      <c r="H28" s="995"/>
      <c r="I28" s="995"/>
      <c r="J28" s="995"/>
      <c r="K28" s="995"/>
      <c r="L28" s="995"/>
      <c r="M28" s="995"/>
      <c r="N28" s="995"/>
      <c r="O28" s="995"/>
      <c r="P28" s="995"/>
      <c r="Q28" s="995"/>
      <c r="R28" s="995"/>
      <c r="S28" s="995"/>
      <c r="T28" s="194" t="s">
        <v>524</v>
      </c>
      <c r="U28" s="995"/>
      <c r="W28" s="1062">
        <v>5001</v>
      </c>
      <c r="X28" s="1064" t="s">
        <v>1627</v>
      </c>
      <c r="Y28" s="1063">
        <v>1</v>
      </c>
      <c r="Z28" s="1094" t="str">
        <f>IF(Incentives!$E$175="Yes",176,"")</f>
        <v/>
      </c>
      <c r="AA28" s="1086" t="str">
        <f>IF(Z28&lt;&gt;"",IF(Z28=176,Incentives!E$178,""),"")</f>
        <v/>
      </c>
      <c r="AB28" s="1086" t="str">
        <f>IF(Z28&lt;&gt;"",IF(Z28=176,Incentives!E$179,""),"")</f>
        <v/>
      </c>
      <c r="AC28" s="1097">
        <v>365</v>
      </c>
    </row>
    <row r="29" spans="1:29" s="950" customFormat="1" ht="18" customHeight="1" thickBot="1" x14ac:dyDescent="0.3">
      <c r="A29" s="584"/>
      <c r="B29" s="995"/>
      <c r="C29" s="1007" t="s">
        <v>1515</v>
      </c>
      <c r="D29" s="1683" t="s">
        <v>1516</v>
      </c>
      <c r="E29" s="1684"/>
      <c r="F29" s="995"/>
      <c r="G29" s="1045"/>
      <c r="H29" s="995"/>
      <c r="I29" s="995"/>
      <c r="J29" s="995"/>
      <c r="K29" s="995"/>
      <c r="L29" s="995"/>
      <c r="M29" s="995"/>
      <c r="N29" s="995"/>
      <c r="O29" s="995"/>
      <c r="P29" s="995"/>
      <c r="Q29" s="995"/>
      <c r="R29" s="995"/>
      <c r="S29" s="995"/>
      <c r="T29" s="1040" t="str">
        <f>IF(Z4&lt;&gt;"","Yes","No")</f>
        <v>No</v>
      </c>
      <c r="U29" s="995"/>
      <c r="W29" s="1062">
        <v>801</v>
      </c>
      <c r="X29" s="1064" t="s">
        <v>1139</v>
      </c>
      <c r="Y29" s="1063">
        <v>1</v>
      </c>
      <c r="Z29" s="954" t="str">
        <f>IF(Incentives!$E$183="Yes",IF(Incentives!$E$184=X29,184,""),"")</f>
        <v/>
      </c>
      <c r="AA29" s="1086" t="str">
        <f>IF(Z29&lt;&gt;"",IF(Z29=184,Incentives!E$186,""),"")</f>
        <v/>
      </c>
      <c r="AB29" s="1086" t="str">
        <f>IF(Z29&lt;&gt;"",IF(Z29=184,Incentives!E$187,""),"")</f>
        <v/>
      </c>
      <c r="AC29" s="1095">
        <v>379</v>
      </c>
    </row>
    <row r="30" spans="1:29" s="950" customFormat="1" ht="20.25" customHeight="1" thickBot="1" x14ac:dyDescent="0.3">
      <c r="A30" s="584"/>
      <c r="B30" s="995"/>
      <c r="C30" s="995"/>
      <c r="D30" s="995"/>
      <c r="E30" s="995"/>
      <c r="F30" s="995"/>
      <c r="G30" s="1045"/>
      <c r="H30" s="995"/>
      <c r="I30" s="995"/>
      <c r="J30" s="995"/>
      <c r="K30" s="995"/>
      <c r="L30" s="995"/>
      <c r="M30" s="995"/>
      <c r="N30" s="995"/>
      <c r="O30" s="995"/>
      <c r="P30" s="995"/>
      <c r="Q30" s="995"/>
      <c r="R30" s="995"/>
      <c r="S30" s="995"/>
      <c r="T30" s="995"/>
      <c r="U30" s="995"/>
      <c r="W30" s="1062">
        <v>901</v>
      </c>
      <c r="X30" s="1064" t="s">
        <v>1631</v>
      </c>
      <c r="Y30" s="1063">
        <v>1</v>
      </c>
      <c r="Z30" s="954" t="str">
        <f>IF(Incentives!$E$183="Yes",IF(Incentives!$E$184=X30,184,""),"")</f>
        <v/>
      </c>
      <c r="AA30" s="1086" t="str">
        <f>IF(Z30&lt;&gt;"",IF(Z30=184,Incentives!E$186,""),"")</f>
        <v/>
      </c>
      <c r="AB30" s="1086" t="str">
        <f>IF(Z30&lt;&gt;"",IF(Z30=184,Incentives!E$187,""),"")</f>
        <v/>
      </c>
      <c r="AC30" s="1095">
        <v>393</v>
      </c>
    </row>
    <row r="31" spans="1:29" s="950" customFormat="1" ht="20.25" customHeight="1" thickBot="1" x14ac:dyDescent="0.3">
      <c r="A31" s="584"/>
      <c r="B31" s="1687" t="s">
        <v>1518</v>
      </c>
      <c r="C31" s="1697"/>
      <c r="D31" s="1697"/>
      <c r="E31" s="1697"/>
      <c r="F31" s="1697"/>
      <c r="G31" s="1697"/>
      <c r="H31" s="1697"/>
      <c r="I31" s="1697"/>
      <c r="J31" s="1697"/>
      <c r="K31" s="1697"/>
      <c r="L31" s="1697"/>
      <c r="M31" s="1697"/>
      <c r="N31" s="1697"/>
      <c r="O31" s="1697"/>
      <c r="P31" s="1697"/>
      <c r="Q31" s="1697"/>
      <c r="R31" s="1697"/>
      <c r="S31" s="1697"/>
      <c r="T31" s="1697"/>
      <c r="U31" s="1698"/>
      <c r="W31" s="1062">
        <v>501</v>
      </c>
      <c r="X31" s="1064" t="s">
        <v>1633</v>
      </c>
      <c r="Y31" s="1063">
        <v>1</v>
      </c>
      <c r="Z31" s="954" t="str">
        <f>IF(Incentives!$E$194="Yes",IF(Incentives!$E$195=X31,195,IF(Incentives!$E$206="Yes",IF(Incentives!$E$207=X31,207,""),"")),"")</f>
        <v/>
      </c>
      <c r="AA31" s="1086" t="str">
        <f>IF(Z31&lt;&gt;"",IF(Z31=195,Incentives!E$197,IF(Z31=207,Incentives!E$209,"")),"")</f>
        <v/>
      </c>
      <c r="AB31" s="1086" t="str">
        <f>IF(Z31&lt;&gt;"",IF(Z31=195,Incentives!E$198,IF(Z31=207,Incentives!E$210,"")),"")</f>
        <v/>
      </c>
      <c r="AC31" s="1095">
        <v>407</v>
      </c>
    </row>
    <row r="32" spans="1:29" s="950" customFormat="1" ht="20.25" customHeight="1" thickBot="1" x14ac:dyDescent="0.3">
      <c r="A32" s="584"/>
      <c r="B32" s="995"/>
      <c r="C32" s="995"/>
      <c r="D32" s="995"/>
      <c r="E32" s="995"/>
      <c r="F32" s="995"/>
      <c r="G32" s="1045"/>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IF(Z32&lt;&gt;"",IF(Z32=195,Incentives!E$197,IF(Z32=207,Incentives!E$209,"")),"")</f>
        <v/>
      </c>
      <c r="AB32" s="1086" t="str">
        <f>IF(Z32&lt;&gt;"",IF(Z32=195,Incentives!E$198,IF(Z32=207,Incentives!E$210,"")),"")</f>
        <v/>
      </c>
      <c r="AC32" s="1095">
        <v>421</v>
      </c>
    </row>
    <row r="33" spans="1:29" s="950" customFormat="1" ht="30" customHeight="1" thickBot="1" x14ac:dyDescent="0.3">
      <c r="A33" s="432"/>
      <c r="B33" s="995"/>
      <c r="C33" s="1007" t="s">
        <v>1400</v>
      </c>
      <c r="D33" s="1681" t="s">
        <v>1519</v>
      </c>
      <c r="E33" s="1682"/>
      <c r="F33" s="995"/>
      <c r="G33" s="1045"/>
      <c r="H33" s="1010" t="s">
        <v>1397</v>
      </c>
      <c r="I33" s="995"/>
      <c r="J33" s="1010" t="s">
        <v>1398</v>
      </c>
      <c r="K33" s="995"/>
      <c r="L33" s="1010" t="s">
        <v>1414</v>
      </c>
      <c r="M33" s="995"/>
      <c r="N33" s="1010" t="s">
        <v>1399</v>
      </c>
      <c r="O33" s="995"/>
      <c r="P33" s="1010" t="s">
        <v>1505</v>
      </c>
      <c r="Q33" s="995"/>
      <c r="R33" s="1010" t="s">
        <v>1506</v>
      </c>
      <c r="S33" s="995"/>
      <c r="T33" s="1010" t="s">
        <v>1507</v>
      </c>
      <c r="U33" s="995"/>
      <c r="W33" s="1062">
        <v>5401</v>
      </c>
      <c r="X33" s="1064" t="s">
        <v>1636</v>
      </c>
      <c r="Y33" s="1063">
        <v>1</v>
      </c>
      <c r="Z33" s="954" t="str">
        <f>IF(Incentives!$E$194="Yes",IF(Incentives!$E$195=X33,195,IF(Incentives!$E$206="Yes",IF(Incentives!$E$207=X33,207,""),"")),"")</f>
        <v/>
      </c>
      <c r="AA33" s="1086" t="str">
        <f>IF(Z33&lt;&gt;"",IF(Z33=195,Incentives!E$197,IF(Z33=207,Incentives!E$209,"")),"")</f>
        <v/>
      </c>
      <c r="AB33" s="1086" t="str">
        <f>IF(Z33&lt;&gt;"",IF(Z33=195,Incentives!E$198,IF(Z33=207,Incentives!E$210,"")),"")</f>
        <v/>
      </c>
      <c r="AC33" s="1095">
        <v>435</v>
      </c>
    </row>
    <row r="34" spans="1:29" s="950" customFormat="1" ht="18" customHeight="1" thickBot="1" x14ac:dyDescent="0.3">
      <c r="A34" s="584"/>
      <c r="B34" s="995"/>
      <c r="C34" s="997"/>
      <c r="D34" s="995"/>
      <c r="E34" s="995"/>
      <c r="F34" s="995"/>
      <c r="G34" s="1045"/>
      <c r="H34" s="952"/>
      <c r="I34" s="995"/>
      <c r="J34" s="1000"/>
      <c r="K34" s="995"/>
      <c r="L34" s="1000"/>
      <c r="M34" s="995"/>
      <c r="N34" s="1044"/>
      <c r="O34" s="995"/>
      <c r="P34" s="953" t="s">
        <v>1508</v>
      </c>
      <c r="Q34" s="995"/>
      <c r="R34" s="953" t="s">
        <v>1509</v>
      </c>
      <c r="S34" s="995"/>
      <c r="T34" s="996" t="s">
        <v>649</v>
      </c>
      <c r="U34" s="995"/>
      <c r="W34" s="1062">
        <v>5402</v>
      </c>
      <c r="X34" s="1064"/>
      <c r="Y34" s="1063">
        <v>2</v>
      </c>
      <c r="Z34" s="955" t="str">
        <f>IF(AND(Incentives!$E$194="Yes",Incentives!$E$195=X33),IF(Incentives!$E$206="Yes",IF(Incentives!$E$207=X33,207,""),""),"")</f>
        <v/>
      </c>
      <c r="AA34" s="1086" t="str">
        <f>IF(Z34&lt;&gt;"",IF(Z34=195,Incentives!E$197,IF(Z34=207,Incentives!E$209,"")),"")</f>
        <v/>
      </c>
      <c r="AB34" s="1086" t="str">
        <f>IF(Z34&lt;&gt;"",IF(Z34=195,Incentives!E$198,IF(Z34=207,Incentives!E$210,"")),"")</f>
        <v/>
      </c>
      <c r="AC34" s="1095">
        <v>449</v>
      </c>
    </row>
    <row r="35" spans="1:29" s="950" customFormat="1" ht="30.75" customHeight="1" thickBot="1" x14ac:dyDescent="0.3">
      <c r="A35" s="584"/>
      <c r="B35" s="995"/>
      <c r="C35" s="1007" t="s">
        <v>1510</v>
      </c>
      <c r="D35" s="1683">
        <v>1401</v>
      </c>
      <c r="E35" s="1684"/>
      <c r="F35" s="995"/>
      <c r="G35" s="1045"/>
      <c r="H35" s="995"/>
      <c r="I35" s="995"/>
      <c r="J35" s="995"/>
      <c r="K35" s="995"/>
      <c r="L35" s="995"/>
      <c r="M35" s="995"/>
      <c r="N35" s="995"/>
      <c r="O35" s="995"/>
      <c r="P35" s="995"/>
      <c r="Q35" s="995"/>
      <c r="R35" s="995"/>
      <c r="S35" s="995"/>
      <c r="T35" s="995"/>
      <c r="U35" s="995"/>
      <c r="W35" s="1062">
        <v>601</v>
      </c>
      <c r="X35" s="1064" t="s">
        <v>1639</v>
      </c>
      <c r="Y35" s="1063">
        <v>1</v>
      </c>
      <c r="Z35" s="954" t="str">
        <f>IF(Incentives!$E$194="Yes",IF(Incentives!$E$195=X35,195,IF(Incentives!$E$206="Yes",IF(Incentives!$E$207=X35,207,""),"")),"")</f>
        <v/>
      </c>
      <c r="AA35" s="1086" t="str">
        <f>IF(Z35&lt;&gt;"",IF(Z35=195,Incentives!E$197,IF(Z35=207,Incentives!E$209,"")),"")</f>
        <v/>
      </c>
      <c r="AB35" s="1086" t="str">
        <f>IF(Z35&lt;&gt;"",IF(Z35=195,Incentives!E$198,IF(Z35=207,Incentives!E$210,"")),"")</f>
        <v/>
      </c>
      <c r="AC35" s="1095">
        <v>463</v>
      </c>
    </row>
    <row r="36" spans="1:29" s="950" customFormat="1" ht="30" customHeight="1" thickBot="1" x14ac:dyDescent="0.3">
      <c r="A36" s="584"/>
      <c r="B36" s="995"/>
      <c r="C36" s="997"/>
      <c r="D36" s="995"/>
      <c r="E36" s="995"/>
      <c r="F36" s="995"/>
      <c r="G36" s="1045"/>
      <c r="H36" s="1011" t="s">
        <v>1404</v>
      </c>
      <c r="I36" s="995"/>
      <c r="J36" s="1010" t="s">
        <v>1405</v>
      </c>
      <c r="K36" s="995"/>
      <c r="L36" s="1010" t="s">
        <v>1406</v>
      </c>
      <c r="M36" s="995"/>
      <c r="N36" s="1010" t="s">
        <v>1520</v>
      </c>
      <c r="O36" s="995"/>
      <c r="P36" s="1010" t="s">
        <v>1521</v>
      </c>
      <c r="Q36" s="995"/>
      <c r="R36" s="1010" t="s">
        <v>1522</v>
      </c>
      <c r="S36" s="995"/>
      <c r="T36" s="995"/>
      <c r="U36" s="995"/>
      <c r="W36" s="1062">
        <v>602</v>
      </c>
      <c r="X36" s="1064"/>
      <c r="Y36" s="1063">
        <v>2</v>
      </c>
      <c r="Z36" s="955" t="str">
        <f>IF(AND(Incentives!$E$194="Yes",Incentives!$E$195=X35),IF(Incentives!$E$206="Yes",IF(Incentives!$E$207=X35,207,""),""),"")</f>
        <v/>
      </c>
      <c r="AA36" s="1086" t="str">
        <f>IF(Z36&lt;&gt;"",IF(Z36=195,Incentives!E$197,IF(Z36=207,Incentives!E$209,"")),"")</f>
        <v/>
      </c>
      <c r="AB36" s="1086" t="str">
        <f>IF(Z36&lt;&gt;"",IF(Z36=195,Incentives!E$198,IF(Z36=207,Incentives!E$210,"")),"")</f>
        <v/>
      </c>
      <c r="AC36" s="1095">
        <v>477</v>
      </c>
    </row>
    <row r="37" spans="1:29" s="950" customFormat="1" ht="18" customHeight="1" thickBot="1" x14ac:dyDescent="0.3">
      <c r="A37" s="584"/>
      <c r="B37" s="995"/>
      <c r="C37" s="1007" t="s">
        <v>1402</v>
      </c>
      <c r="D37" s="1685" t="str">
        <f>AA5</f>
        <v/>
      </c>
      <c r="E37" s="1686"/>
      <c r="F37" s="995"/>
      <c r="G37" s="1045" t="s">
        <v>1003</v>
      </c>
      <c r="H37" s="1001"/>
      <c r="I37" s="995"/>
      <c r="J37" s="1001">
        <v>999999999.99000001</v>
      </c>
      <c r="K37" s="995"/>
      <c r="L37" s="1001"/>
      <c r="M37" s="995"/>
      <c r="N37" s="968" t="s">
        <v>479</v>
      </c>
      <c r="O37" s="995"/>
      <c r="P37" s="968" t="s">
        <v>1523</v>
      </c>
      <c r="Q37" s="995"/>
      <c r="R37" s="968" t="s">
        <v>1524</v>
      </c>
      <c r="S37" s="995"/>
      <c r="T37" s="995"/>
      <c r="U37" s="995"/>
      <c r="W37" s="1062">
        <v>1001</v>
      </c>
      <c r="X37" s="1064" t="s">
        <v>1648</v>
      </c>
      <c r="Y37" s="1063">
        <v>1</v>
      </c>
      <c r="Z37" s="954" t="str">
        <f>IF(Incentives!$E$218="Yes",IF(Incentives!$E$219=X37,219,""),"")</f>
        <v/>
      </c>
      <c r="AA37" s="1086" t="str">
        <f>IF(Z37&lt;&gt;"",IF(Z37=219,Incentives!E$221,""),"")</f>
        <v/>
      </c>
      <c r="AB37" s="1086" t="str">
        <f>IF(Z37&lt;&gt;"",IF(Z37=219,Incentives!E$222,""),"")</f>
        <v/>
      </c>
      <c r="AC37" s="1095">
        <v>491</v>
      </c>
    </row>
    <row r="38" spans="1:29" s="950" customFormat="1" ht="15.75" thickBot="1" x14ac:dyDescent="0.3">
      <c r="A38" s="584"/>
      <c r="B38" s="995"/>
      <c r="C38" s="997"/>
      <c r="D38" s="995"/>
      <c r="E38" s="995"/>
      <c r="F38" s="995"/>
      <c r="G38" s="1045"/>
      <c r="H38" s="995"/>
      <c r="I38" s="995"/>
      <c r="J38" s="995"/>
      <c r="K38" s="995"/>
      <c r="L38" s="995"/>
      <c r="M38" s="995"/>
      <c r="N38" s="995"/>
      <c r="O38" s="995"/>
      <c r="P38" s="995"/>
      <c r="Q38" s="995"/>
      <c r="R38" s="995"/>
      <c r="S38" s="995"/>
      <c r="T38" s="995"/>
      <c r="U38" s="995"/>
    </row>
    <row r="39" spans="1:29" s="950" customFormat="1" ht="30" customHeight="1" thickBot="1" x14ac:dyDescent="0.3">
      <c r="A39" s="584"/>
      <c r="B39" s="995"/>
      <c r="C39" s="1007" t="s">
        <v>1403</v>
      </c>
      <c r="D39" s="1685" t="str">
        <f>AB5</f>
        <v/>
      </c>
      <c r="E39" s="1686"/>
      <c r="F39" s="995"/>
      <c r="G39" s="1045"/>
      <c r="H39" s="1009" t="s">
        <v>1511</v>
      </c>
      <c r="I39" s="995"/>
      <c r="J39" s="1010" t="s">
        <v>1525</v>
      </c>
      <c r="K39" s="995"/>
      <c r="L39" s="1010" t="s">
        <v>1512</v>
      </c>
      <c r="M39" s="995"/>
      <c r="N39" s="1010" t="s">
        <v>1526</v>
      </c>
      <c r="O39" s="995"/>
      <c r="P39" s="1010" t="s">
        <v>1527</v>
      </c>
      <c r="Q39" s="995"/>
      <c r="R39" s="1010" t="s">
        <v>1528</v>
      </c>
      <c r="S39" s="995"/>
      <c r="T39" s="1087" t="s">
        <v>1618</v>
      </c>
      <c r="U39" s="995"/>
    </row>
    <row r="40" spans="1:29" s="950" customFormat="1" ht="18" customHeight="1" thickBot="1" x14ac:dyDescent="0.3">
      <c r="A40" s="584"/>
      <c r="B40" s="995"/>
      <c r="C40" s="997"/>
      <c r="D40" s="995"/>
      <c r="E40" s="995"/>
      <c r="F40" s="995"/>
      <c r="G40" s="1045"/>
      <c r="H40" s="996" t="s">
        <v>647</v>
      </c>
      <c r="I40" s="995"/>
      <c r="J40" s="953" t="s">
        <v>1513</v>
      </c>
      <c r="K40" s="995"/>
      <c r="L40" s="968" t="s">
        <v>1513</v>
      </c>
      <c r="M40" s="995"/>
      <c r="N40" s="968" t="s">
        <v>647</v>
      </c>
      <c r="O40" s="995"/>
      <c r="P40" s="996" t="s">
        <v>647</v>
      </c>
      <c r="Q40" s="995"/>
      <c r="R40" s="968" t="s">
        <v>1529</v>
      </c>
      <c r="S40" s="995"/>
      <c r="T40" s="1088" t="s">
        <v>647</v>
      </c>
      <c r="U40" s="995"/>
    </row>
    <row r="41" spans="1:29" s="950" customFormat="1" ht="30" customHeight="1" thickBot="1" x14ac:dyDescent="0.3">
      <c r="A41" s="584"/>
      <c r="B41" s="995"/>
      <c r="C41" s="1013" t="s">
        <v>1514</v>
      </c>
      <c r="D41" s="1673" t="s">
        <v>647</v>
      </c>
      <c r="E41" s="1674"/>
      <c r="F41" s="995"/>
      <c r="G41" s="1045"/>
      <c r="H41" s="995"/>
      <c r="I41" s="995"/>
      <c r="J41" s="995"/>
      <c r="K41" s="995"/>
      <c r="L41" s="995"/>
      <c r="M41" s="995"/>
      <c r="N41" s="995"/>
      <c r="O41" s="995"/>
      <c r="P41" s="995"/>
      <c r="Q41" s="995"/>
      <c r="R41" s="995"/>
      <c r="S41" s="995"/>
      <c r="T41" s="995"/>
      <c r="U41" s="995"/>
    </row>
    <row r="42" spans="1:29" s="950" customFormat="1" ht="18" customHeight="1" thickBot="1" x14ac:dyDescent="0.3">
      <c r="A42" s="584"/>
      <c r="B42" s="995"/>
      <c r="C42" s="997"/>
      <c r="D42" s="995"/>
      <c r="E42" s="995"/>
      <c r="F42" s="995"/>
      <c r="G42" s="1045"/>
      <c r="H42" s="995"/>
      <c r="I42" s="995"/>
      <c r="J42" s="995"/>
      <c r="K42" s="995"/>
      <c r="L42" s="995"/>
      <c r="M42" s="995"/>
      <c r="N42" s="995"/>
      <c r="O42" s="995"/>
      <c r="P42" s="995"/>
      <c r="Q42" s="995"/>
      <c r="R42" s="995"/>
      <c r="S42" s="995"/>
      <c r="T42" s="1010" t="s">
        <v>524</v>
      </c>
      <c r="U42" s="995"/>
    </row>
    <row r="43" spans="1:29" s="950" customFormat="1" ht="18" customHeight="1" thickBot="1" x14ac:dyDescent="0.3">
      <c r="A43" s="584"/>
      <c r="B43" s="995"/>
      <c r="C43" s="1007" t="s">
        <v>1515</v>
      </c>
      <c r="D43" s="1683" t="s">
        <v>1516</v>
      </c>
      <c r="E43" s="1684"/>
      <c r="F43" s="995"/>
      <c r="G43" s="1045"/>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4"/>
      <c r="B44" s="995"/>
      <c r="C44" s="995"/>
      <c r="D44" s="995"/>
      <c r="E44" s="995"/>
      <c r="F44" s="995"/>
      <c r="G44" s="1045"/>
      <c r="H44" s="995"/>
      <c r="I44" s="995"/>
      <c r="J44" s="995"/>
      <c r="K44" s="995"/>
      <c r="L44" s="995"/>
      <c r="M44" s="995"/>
      <c r="N44" s="995"/>
      <c r="O44" s="995"/>
      <c r="P44" s="995"/>
      <c r="Q44" s="995"/>
      <c r="R44" s="995"/>
      <c r="S44" s="995"/>
      <c r="T44" s="995"/>
      <c r="U44" s="995"/>
    </row>
    <row r="45" spans="1:29" s="950" customFormat="1" ht="15.75" customHeight="1" thickBot="1" x14ac:dyDescent="0.3">
      <c r="A45" s="584"/>
      <c r="B45" s="1687" t="s">
        <v>1530</v>
      </c>
      <c r="C45" s="1697"/>
      <c r="D45" s="1697"/>
      <c r="E45" s="1697"/>
      <c r="F45" s="1697"/>
      <c r="G45" s="1697"/>
      <c r="H45" s="1697"/>
      <c r="I45" s="1697"/>
      <c r="J45" s="1697"/>
      <c r="K45" s="1697"/>
      <c r="L45" s="1697"/>
      <c r="M45" s="1697"/>
      <c r="N45" s="1697"/>
      <c r="O45" s="1697"/>
      <c r="P45" s="1697"/>
      <c r="Q45" s="1697"/>
      <c r="R45" s="1697"/>
      <c r="S45" s="1697"/>
      <c r="T45" s="1697"/>
      <c r="U45" s="1698"/>
    </row>
    <row r="46" spans="1:29" s="950" customFormat="1" ht="20.25" customHeight="1" thickBot="1" x14ac:dyDescent="0.3">
      <c r="A46" s="584"/>
      <c r="B46" s="995"/>
      <c r="C46" s="995"/>
      <c r="D46" s="995"/>
      <c r="E46" s="995"/>
      <c r="F46" s="995"/>
      <c r="G46" s="1045"/>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1400</v>
      </c>
      <c r="D47" s="1681" t="s">
        <v>1519</v>
      </c>
      <c r="E47" s="1682"/>
      <c r="F47" s="995"/>
      <c r="G47" s="1045"/>
      <c r="H47" s="1010" t="s">
        <v>1397</v>
      </c>
      <c r="I47" s="995"/>
      <c r="J47" s="1010" t="s">
        <v>1398</v>
      </c>
      <c r="K47" s="995"/>
      <c r="L47" s="1010" t="s">
        <v>1414</v>
      </c>
      <c r="M47" s="995"/>
      <c r="N47" s="1010" t="s">
        <v>1399</v>
      </c>
      <c r="O47" s="995"/>
      <c r="P47" s="1010" t="s">
        <v>1505</v>
      </c>
      <c r="Q47" s="995"/>
      <c r="R47" s="1010" t="s">
        <v>1506</v>
      </c>
      <c r="S47" s="995"/>
      <c r="T47" s="1010" t="s">
        <v>1507</v>
      </c>
      <c r="U47" s="995"/>
    </row>
    <row r="48" spans="1:29" s="950" customFormat="1" ht="18" customHeight="1" thickBot="1" x14ac:dyDescent="0.3">
      <c r="A48" s="584"/>
      <c r="B48" s="995"/>
      <c r="C48" s="995"/>
      <c r="D48" s="995"/>
      <c r="E48" s="995"/>
      <c r="F48" s="995"/>
      <c r="G48" s="1045"/>
      <c r="H48" s="952"/>
      <c r="I48" s="995"/>
      <c r="J48" s="1000"/>
      <c r="K48" s="995"/>
      <c r="L48" s="1000"/>
      <c r="M48" s="995"/>
      <c r="N48" s="1044"/>
      <c r="O48" s="995"/>
      <c r="P48" s="953" t="s">
        <v>1508</v>
      </c>
      <c r="Q48" s="995"/>
      <c r="R48" s="953" t="s">
        <v>1509</v>
      </c>
      <c r="S48" s="995"/>
      <c r="T48" s="996" t="s">
        <v>649</v>
      </c>
      <c r="U48" s="995"/>
    </row>
    <row r="49" spans="1:21" s="950" customFormat="1" ht="30.75" customHeight="1" thickBot="1" x14ac:dyDescent="0.3">
      <c r="A49" s="584"/>
      <c r="B49" s="995"/>
      <c r="C49" s="1007" t="s">
        <v>1510</v>
      </c>
      <c r="D49" s="1683">
        <v>1402</v>
      </c>
      <c r="E49" s="1684"/>
      <c r="F49" s="995"/>
      <c r="G49" s="1045"/>
      <c r="H49" s="995"/>
      <c r="I49" s="995"/>
      <c r="J49" s="1002"/>
      <c r="K49" s="995"/>
      <c r="L49" s="995"/>
      <c r="M49" s="995"/>
      <c r="N49" s="995"/>
      <c r="O49" s="995"/>
      <c r="P49" s="995"/>
      <c r="Q49" s="995"/>
      <c r="R49" s="995"/>
      <c r="S49" s="995"/>
      <c r="T49" s="995"/>
      <c r="U49" s="995"/>
    </row>
    <row r="50" spans="1:21" s="950" customFormat="1" ht="30" customHeight="1" thickBot="1" x14ac:dyDescent="0.3">
      <c r="A50" s="584"/>
      <c r="B50" s="995"/>
      <c r="C50" s="995"/>
      <c r="D50" s="995"/>
      <c r="E50" s="995"/>
      <c r="F50" s="995"/>
      <c r="G50" s="1045"/>
      <c r="H50" s="1011" t="s">
        <v>1404</v>
      </c>
      <c r="I50" s="995"/>
      <c r="J50" s="1010" t="s">
        <v>1405</v>
      </c>
      <c r="K50" s="995"/>
      <c r="L50" s="1010" t="s">
        <v>1406</v>
      </c>
      <c r="M50" s="995"/>
      <c r="N50" s="1010" t="s">
        <v>1520</v>
      </c>
      <c r="O50" s="995"/>
      <c r="P50" s="1010" t="s">
        <v>1521</v>
      </c>
      <c r="Q50" s="995"/>
      <c r="R50" s="1010" t="s">
        <v>1522</v>
      </c>
      <c r="S50" s="995"/>
      <c r="T50" s="995"/>
      <c r="U50" s="995"/>
    </row>
    <row r="51" spans="1:21" s="950" customFormat="1" ht="18" customHeight="1" thickBot="1" x14ac:dyDescent="0.3">
      <c r="A51" s="584"/>
      <c r="B51" s="995"/>
      <c r="C51" s="1007" t="s">
        <v>1402</v>
      </c>
      <c r="D51" s="1685" t="str">
        <f>AA6</f>
        <v/>
      </c>
      <c r="E51" s="1686"/>
      <c r="F51" s="995"/>
      <c r="G51" s="1045" t="s">
        <v>1003</v>
      </c>
      <c r="H51" s="1001"/>
      <c r="I51" s="995"/>
      <c r="J51" s="1001">
        <v>999999999.99000001</v>
      </c>
      <c r="K51" s="995"/>
      <c r="L51" s="1001"/>
      <c r="M51" s="995"/>
      <c r="N51" s="968" t="s">
        <v>479</v>
      </c>
      <c r="O51" s="995"/>
      <c r="P51" s="968" t="s">
        <v>1523</v>
      </c>
      <c r="Q51" s="995"/>
      <c r="R51" s="968" t="s">
        <v>1524</v>
      </c>
      <c r="S51" s="995"/>
      <c r="T51" s="995"/>
      <c r="U51" s="995"/>
    </row>
    <row r="52" spans="1:21" s="950" customFormat="1" ht="18" customHeight="1" thickBot="1" x14ac:dyDescent="0.3">
      <c r="A52" s="584"/>
      <c r="B52" s="995"/>
      <c r="C52" s="995"/>
      <c r="D52" s="995"/>
      <c r="E52" s="995"/>
      <c r="F52" s="995"/>
      <c r="G52" s="1045"/>
      <c r="H52" s="995"/>
      <c r="I52" s="995"/>
      <c r="J52" s="995"/>
      <c r="K52" s="995"/>
      <c r="L52" s="995"/>
      <c r="M52" s="995"/>
      <c r="N52" s="995"/>
      <c r="O52" s="995"/>
      <c r="P52" s="995"/>
      <c r="Q52" s="995"/>
      <c r="R52" s="995"/>
      <c r="S52" s="995"/>
      <c r="T52" s="995"/>
      <c r="U52" s="995"/>
    </row>
    <row r="53" spans="1:21" s="950" customFormat="1" ht="30" customHeight="1" thickBot="1" x14ac:dyDescent="0.3">
      <c r="A53" s="584"/>
      <c r="B53" s="995"/>
      <c r="C53" s="1007" t="s">
        <v>1403</v>
      </c>
      <c r="D53" s="1685" t="str">
        <f>AB6</f>
        <v/>
      </c>
      <c r="E53" s="1686"/>
      <c r="F53" s="995"/>
      <c r="G53" s="1045"/>
      <c r="H53" s="1009" t="s">
        <v>1511</v>
      </c>
      <c r="I53" s="995"/>
      <c r="J53" s="1010" t="s">
        <v>1525</v>
      </c>
      <c r="K53" s="995"/>
      <c r="L53" s="1010" t="s">
        <v>1512</v>
      </c>
      <c r="M53" s="995"/>
      <c r="N53" s="1010" t="s">
        <v>1526</v>
      </c>
      <c r="O53" s="995"/>
      <c r="P53" s="1010" t="s">
        <v>1527</v>
      </c>
      <c r="Q53" s="995"/>
      <c r="R53" s="1010" t="s">
        <v>1528</v>
      </c>
      <c r="S53" s="995"/>
      <c r="T53" s="1087" t="s">
        <v>1618</v>
      </c>
      <c r="U53" s="995"/>
    </row>
    <row r="54" spans="1:21" s="950" customFormat="1" ht="18" customHeight="1" thickBot="1" x14ac:dyDescent="0.3">
      <c r="A54" s="584"/>
      <c r="B54" s="995"/>
      <c r="C54" s="995"/>
      <c r="D54" s="995"/>
      <c r="E54" s="995"/>
      <c r="F54" s="995"/>
      <c r="G54" s="1045"/>
      <c r="H54" s="996" t="s">
        <v>647</v>
      </c>
      <c r="I54" s="995"/>
      <c r="J54" s="953" t="s">
        <v>1513</v>
      </c>
      <c r="K54" s="995"/>
      <c r="L54" s="968" t="s">
        <v>1513</v>
      </c>
      <c r="M54" s="995"/>
      <c r="N54" s="968" t="s">
        <v>647</v>
      </c>
      <c r="O54" s="995"/>
      <c r="P54" s="996" t="s">
        <v>647</v>
      </c>
      <c r="Q54" s="995"/>
      <c r="R54" s="968" t="s">
        <v>1529</v>
      </c>
      <c r="S54" s="995"/>
      <c r="T54" s="1088" t="s">
        <v>647</v>
      </c>
      <c r="U54" s="995"/>
    </row>
    <row r="55" spans="1:21" s="950" customFormat="1" ht="30" customHeight="1" thickBot="1" x14ac:dyDescent="0.3">
      <c r="A55" s="584"/>
      <c r="B55" s="995"/>
      <c r="C55" s="1013" t="s">
        <v>1514</v>
      </c>
      <c r="D55" s="1673" t="s">
        <v>647</v>
      </c>
      <c r="E55" s="1674"/>
      <c r="F55" s="995"/>
      <c r="G55" s="1045"/>
      <c r="H55" s="995"/>
      <c r="I55" s="995"/>
      <c r="J55" s="995"/>
      <c r="K55" s="995"/>
      <c r="L55" s="995"/>
      <c r="M55" s="995"/>
      <c r="N55" s="995"/>
      <c r="O55" s="995"/>
      <c r="P55" s="995"/>
      <c r="Q55" s="995"/>
      <c r="R55" s="995"/>
      <c r="S55" s="995"/>
      <c r="T55" s="995"/>
      <c r="U55" s="995"/>
    </row>
    <row r="56" spans="1:21" s="950" customFormat="1" ht="18" customHeight="1" thickBot="1" x14ac:dyDescent="0.3">
      <c r="A56" s="584"/>
      <c r="B56" s="995"/>
      <c r="C56" s="995"/>
      <c r="D56" s="995"/>
      <c r="E56" s="995"/>
      <c r="F56" s="995"/>
      <c r="G56" s="1045"/>
      <c r="H56" s="995"/>
      <c r="I56" s="995"/>
      <c r="J56" s="995"/>
      <c r="K56" s="995"/>
      <c r="L56" s="995"/>
      <c r="M56" s="995"/>
      <c r="N56" s="995"/>
      <c r="O56" s="995"/>
      <c r="P56" s="995"/>
      <c r="Q56" s="995"/>
      <c r="R56" s="995"/>
      <c r="S56" s="995"/>
      <c r="T56" s="1010" t="s">
        <v>524</v>
      </c>
      <c r="U56" s="995"/>
    </row>
    <row r="57" spans="1:21" s="950" customFormat="1" ht="18" customHeight="1" thickBot="1" x14ac:dyDescent="0.3">
      <c r="A57" s="584"/>
      <c r="B57" s="995"/>
      <c r="C57" s="1007" t="s">
        <v>1515</v>
      </c>
      <c r="D57" s="1683" t="s">
        <v>1516</v>
      </c>
      <c r="E57" s="1684"/>
      <c r="F57" s="995"/>
      <c r="G57" s="1045"/>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4"/>
      <c r="B58" s="995"/>
      <c r="C58" s="995"/>
      <c r="D58" s="995"/>
      <c r="E58" s="995"/>
      <c r="F58" s="995"/>
      <c r="G58" s="1045"/>
      <c r="H58" s="995"/>
      <c r="I58" s="995"/>
      <c r="J58" s="995"/>
      <c r="K58" s="995"/>
      <c r="L58" s="995"/>
      <c r="M58" s="995"/>
      <c r="N58" s="995"/>
      <c r="O58" s="995"/>
      <c r="P58" s="995"/>
      <c r="Q58" s="995"/>
      <c r="R58" s="995"/>
      <c r="S58" s="995"/>
      <c r="T58" s="995"/>
      <c r="U58" s="995"/>
    </row>
    <row r="59" spans="1:21" s="950" customFormat="1" ht="20.25" customHeight="1" thickBot="1" x14ac:dyDescent="0.3">
      <c r="A59" s="584"/>
      <c r="B59" s="1687" t="s">
        <v>1531</v>
      </c>
      <c r="C59" s="1697"/>
      <c r="D59" s="1697"/>
      <c r="E59" s="1697"/>
      <c r="F59" s="1697"/>
      <c r="G59" s="1697"/>
      <c r="H59" s="1697"/>
      <c r="I59" s="1697"/>
      <c r="J59" s="1697"/>
      <c r="K59" s="1697"/>
      <c r="L59" s="1697"/>
      <c r="M59" s="1697"/>
      <c r="N59" s="1697"/>
      <c r="O59" s="1697"/>
      <c r="P59" s="1697"/>
      <c r="Q59" s="1697"/>
      <c r="R59" s="1697"/>
      <c r="S59" s="1697"/>
      <c r="T59" s="1697"/>
      <c r="U59" s="1698"/>
    </row>
    <row r="60" spans="1:21" s="950" customFormat="1" ht="20.25" customHeight="1" thickBot="1" x14ac:dyDescent="0.3">
      <c r="A60" s="584"/>
      <c r="B60" s="995"/>
      <c r="C60" s="995"/>
      <c r="D60" s="995"/>
      <c r="E60" s="995"/>
      <c r="F60" s="995"/>
      <c r="G60" s="1045"/>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1400</v>
      </c>
      <c r="D61" s="1681" t="s">
        <v>1532</v>
      </c>
      <c r="E61" s="1682"/>
      <c r="F61" s="995"/>
      <c r="G61" s="1045"/>
      <c r="H61" s="1010" t="s">
        <v>1397</v>
      </c>
      <c r="I61" s="1002"/>
      <c r="J61" s="1010" t="s">
        <v>1398</v>
      </c>
      <c r="K61" s="1002"/>
      <c r="L61" s="1010" t="s">
        <v>1414</v>
      </c>
      <c r="M61" s="1002"/>
      <c r="N61" s="1010" t="s">
        <v>1399</v>
      </c>
      <c r="O61" s="1002"/>
      <c r="P61" s="1010" t="s">
        <v>1505</v>
      </c>
      <c r="Q61" s="1002"/>
      <c r="R61" s="1010" t="s">
        <v>1506</v>
      </c>
      <c r="S61" s="1002"/>
      <c r="T61" s="1010" t="s">
        <v>1507</v>
      </c>
      <c r="U61" s="995"/>
    </row>
    <row r="62" spans="1:21" s="950" customFormat="1" ht="18" customHeight="1" thickBot="1" x14ac:dyDescent="0.3">
      <c r="A62" s="584"/>
      <c r="B62" s="995"/>
      <c r="C62" s="1002"/>
      <c r="D62" s="995"/>
      <c r="E62" s="995"/>
      <c r="F62" s="995"/>
      <c r="G62" s="1045"/>
      <c r="H62" s="952"/>
      <c r="I62" s="995"/>
      <c r="J62" s="1000"/>
      <c r="K62" s="995"/>
      <c r="L62" s="1000"/>
      <c r="M62" s="995"/>
      <c r="N62" s="1044"/>
      <c r="O62" s="995"/>
      <c r="P62" s="953" t="s">
        <v>1508</v>
      </c>
      <c r="Q62" s="995"/>
      <c r="R62" s="953" t="s">
        <v>1509</v>
      </c>
      <c r="S62" s="995"/>
      <c r="T62" s="996" t="s">
        <v>649</v>
      </c>
      <c r="U62" s="995"/>
    </row>
    <row r="63" spans="1:21" s="950" customFormat="1" ht="30" customHeight="1" thickBot="1" x14ac:dyDescent="0.3">
      <c r="A63" s="584"/>
      <c r="B63" s="995"/>
      <c r="C63" s="1007" t="s">
        <v>1510</v>
      </c>
      <c r="D63" s="1683">
        <v>1501</v>
      </c>
      <c r="E63" s="1684"/>
      <c r="F63" s="995"/>
      <c r="G63" s="1045"/>
      <c r="H63" s="995"/>
      <c r="I63" s="995"/>
      <c r="J63" s="995"/>
      <c r="K63" s="995"/>
      <c r="L63" s="995"/>
      <c r="M63" s="995"/>
      <c r="N63" s="995"/>
      <c r="O63" s="995"/>
      <c r="P63" s="995"/>
      <c r="Q63" s="995"/>
      <c r="R63" s="995"/>
      <c r="S63" s="995"/>
      <c r="T63" s="995"/>
      <c r="U63" s="995"/>
    </row>
    <row r="64" spans="1:21" s="950" customFormat="1" ht="30" customHeight="1" thickBot="1" x14ac:dyDescent="0.3">
      <c r="A64" s="584"/>
      <c r="B64" s="995"/>
      <c r="C64" s="1002"/>
      <c r="D64" s="995"/>
      <c r="E64" s="995"/>
      <c r="F64" s="995"/>
      <c r="G64" s="1045"/>
      <c r="H64" s="1011" t="s">
        <v>1404</v>
      </c>
      <c r="I64" s="1002"/>
      <c r="J64" s="1010" t="s">
        <v>1405</v>
      </c>
      <c r="K64" s="1002"/>
      <c r="L64" s="1010" t="s">
        <v>1406</v>
      </c>
      <c r="M64" s="1002"/>
      <c r="N64" s="1010" t="s">
        <v>1520</v>
      </c>
      <c r="O64" s="1002"/>
      <c r="P64" s="1010" t="s">
        <v>1521</v>
      </c>
      <c r="Q64" s="1002"/>
      <c r="R64" s="1010" t="s">
        <v>1522</v>
      </c>
      <c r="S64" s="995"/>
      <c r="T64" s="995"/>
      <c r="U64" s="995"/>
    </row>
    <row r="65" spans="1:21" s="950" customFormat="1" ht="18" customHeight="1" thickBot="1" x14ac:dyDescent="0.3">
      <c r="A65" s="584"/>
      <c r="B65" s="995"/>
      <c r="C65" s="1007" t="s">
        <v>1402</v>
      </c>
      <c r="D65" s="1685" t="str">
        <f>AA7</f>
        <v/>
      </c>
      <c r="E65" s="1686"/>
      <c r="F65" s="995"/>
      <c r="G65" s="1045" t="s">
        <v>1003</v>
      </c>
      <c r="H65" s="975"/>
      <c r="I65" s="998"/>
      <c r="J65" s="1003"/>
      <c r="K65" s="995"/>
      <c r="L65" s="1003"/>
      <c r="M65" s="995"/>
      <c r="N65" s="968" t="s">
        <v>479</v>
      </c>
      <c r="O65" s="995"/>
      <c r="P65" s="968" t="s">
        <v>1523</v>
      </c>
      <c r="Q65" s="995"/>
      <c r="R65" s="968" t="s">
        <v>1524</v>
      </c>
      <c r="S65" s="995"/>
      <c r="T65" s="995"/>
      <c r="U65" s="995"/>
    </row>
    <row r="66" spans="1:21" s="950" customFormat="1" ht="18" customHeight="1" thickBot="1" x14ac:dyDescent="0.3">
      <c r="A66" s="584"/>
      <c r="B66" s="995"/>
      <c r="C66" s="1002"/>
      <c r="D66" s="995"/>
      <c r="E66" s="995"/>
      <c r="F66" s="995"/>
      <c r="G66" s="1045" t="s">
        <v>1407</v>
      </c>
      <c r="H66" s="975"/>
      <c r="I66" s="998"/>
      <c r="J66" s="1003"/>
      <c r="K66" s="995"/>
      <c r="L66" s="1003"/>
      <c r="M66" s="995"/>
      <c r="N66" s="968" t="s">
        <v>479</v>
      </c>
      <c r="O66" s="995"/>
      <c r="P66" s="968" t="s">
        <v>1523</v>
      </c>
      <c r="Q66" s="995"/>
      <c r="R66" s="995"/>
      <c r="S66" s="995"/>
      <c r="T66" s="995"/>
      <c r="U66" s="995"/>
    </row>
    <row r="67" spans="1:21" s="950" customFormat="1" ht="18" customHeight="1" thickBot="1" x14ac:dyDescent="0.3">
      <c r="A67" s="584"/>
      <c r="B67" s="995"/>
      <c r="C67" s="1007" t="s">
        <v>1403</v>
      </c>
      <c r="D67" s="1685" t="str">
        <f>AB7</f>
        <v/>
      </c>
      <c r="E67" s="1686"/>
      <c r="F67" s="995"/>
      <c r="G67" s="1045" t="s">
        <v>1408</v>
      </c>
      <c r="H67" s="975"/>
      <c r="I67" s="998"/>
      <c r="J67" s="1004"/>
      <c r="K67" s="995"/>
      <c r="L67" s="1003"/>
      <c r="M67" s="995"/>
      <c r="N67" s="968" t="s">
        <v>479</v>
      </c>
      <c r="O67" s="995"/>
      <c r="P67" s="968" t="s">
        <v>1523</v>
      </c>
      <c r="Q67" s="995"/>
      <c r="R67" s="995"/>
      <c r="S67" s="995"/>
      <c r="T67" s="1087" t="s">
        <v>1618</v>
      </c>
      <c r="U67" s="995"/>
    </row>
    <row r="68" spans="1:21" s="950" customFormat="1" ht="18" customHeight="1" x14ac:dyDescent="0.25">
      <c r="A68" s="584"/>
      <c r="B68" s="995"/>
      <c r="C68" s="1002"/>
      <c r="D68" s="995"/>
      <c r="E68" s="995"/>
      <c r="F68" s="995"/>
      <c r="G68" s="1045" t="s">
        <v>1410</v>
      </c>
      <c r="H68" s="975"/>
      <c r="I68" s="998"/>
      <c r="J68" s="1004"/>
      <c r="K68" s="995"/>
      <c r="L68" s="1001"/>
      <c r="M68" s="995"/>
      <c r="N68" s="968" t="s">
        <v>479</v>
      </c>
      <c r="O68" s="995"/>
      <c r="P68" s="968" t="s">
        <v>1523</v>
      </c>
      <c r="Q68" s="995"/>
      <c r="R68" s="995"/>
      <c r="S68" s="995"/>
      <c r="T68" s="1088" t="s">
        <v>647</v>
      </c>
      <c r="U68" s="995"/>
    </row>
    <row r="69" spans="1:21" s="950" customFormat="1" ht="18" customHeight="1" x14ac:dyDescent="0.25">
      <c r="A69" s="584"/>
      <c r="B69" s="995"/>
      <c r="C69" s="1002"/>
      <c r="D69" s="995"/>
      <c r="E69" s="995"/>
      <c r="F69" s="995"/>
      <c r="G69" s="1045" t="s">
        <v>1412</v>
      </c>
      <c r="H69" s="975"/>
      <c r="I69" s="998"/>
      <c r="J69" s="1004"/>
      <c r="K69" s="995"/>
      <c r="L69" s="1001"/>
      <c r="M69" s="995"/>
      <c r="N69" s="968" t="s">
        <v>479</v>
      </c>
      <c r="O69" s="995"/>
      <c r="P69" s="968" t="s">
        <v>1523</v>
      </c>
      <c r="Q69" s="995"/>
      <c r="R69" s="995"/>
      <c r="S69" s="995"/>
      <c r="T69" s="995"/>
      <c r="U69" s="995"/>
    </row>
    <row r="70" spans="1:21" s="950" customFormat="1" ht="18" customHeight="1" thickBot="1" x14ac:dyDescent="0.3">
      <c r="A70" s="584"/>
      <c r="B70" s="995"/>
      <c r="C70" s="1002"/>
      <c r="D70" s="995"/>
      <c r="E70" s="995"/>
      <c r="F70" s="995"/>
      <c r="G70" s="1045"/>
      <c r="H70" s="995"/>
      <c r="I70" s="995"/>
      <c r="J70" s="995"/>
      <c r="K70" s="995"/>
      <c r="L70" s="995"/>
      <c r="M70" s="995"/>
      <c r="N70" s="995"/>
      <c r="O70" s="995"/>
      <c r="P70" s="995"/>
      <c r="Q70" s="995"/>
      <c r="R70" s="995"/>
      <c r="S70" s="995"/>
      <c r="T70" s="995"/>
      <c r="U70" s="995"/>
    </row>
    <row r="71" spans="1:21" s="950" customFormat="1" ht="30" customHeight="1" thickBot="1" x14ac:dyDescent="0.3">
      <c r="A71" s="584"/>
      <c r="B71" s="995"/>
      <c r="C71" s="1008" t="s">
        <v>1514</v>
      </c>
      <c r="D71" s="1673" t="s">
        <v>647</v>
      </c>
      <c r="E71" s="1674"/>
      <c r="F71" s="995"/>
      <c r="G71" s="1045"/>
      <c r="H71" s="1009" t="s">
        <v>1511</v>
      </c>
      <c r="I71" s="1002"/>
      <c r="J71" s="1010" t="s">
        <v>1525</v>
      </c>
      <c r="K71" s="1002"/>
      <c r="L71" s="1010" t="s">
        <v>1512</v>
      </c>
      <c r="M71" s="1002"/>
      <c r="N71" s="1010" t="s">
        <v>1526</v>
      </c>
      <c r="O71" s="1002"/>
      <c r="P71" s="1010" t="s">
        <v>1527</v>
      </c>
      <c r="Q71" s="1002"/>
      <c r="R71" s="1010" t="s">
        <v>1528</v>
      </c>
      <c r="S71" s="995"/>
      <c r="T71" s="1010" t="s">
        <v>524</v>
      </c>
      <c r="U71" s="995"/>
    </row>
    <row r="72" spans="1:21" s="950" customFormat="1" ht="18" customHeight="1" thickBot="1" x14ac:dyDescent="0.3">
      <c r="A72" s="584"/>
      <c r="B72" s="995"/>
      <c r="C72" s="1002"/>
      <c r="D72" s="995"/>
      <c r="E72" s="995"/>
      <c r="F72" s="995"/>
      <c r="G72" s="1045"/>
      <c r="H72" s="996" t="s">
        <v>647</v>
      </c>
      <c r="I72" s="995"/>
      <c r="J72" s="953" t="s">
        <v>1513</v>
      </c>
      <c r="K72" s="995"/>
      <c r="L72" s="968" t="s">
        <v>1513</v>
      </c>
      <c r="M72" s="995"/>
      <c r="N72" s="968" t="s">
        <v>647</v>
      </c>
      <c r="O72" s="995"/>
      <c r="P72" s="996" t="s">
        <v>647</v>
      </c>
      <c r="Q72" s="995"/>
      <c r="R72" s="968" t="s">
        <v>1529</v>
      </c>
      <c r="S72" s="995"/>
      <c r="T72" s="1040" t="str">
        <f>IF(Z7&lt;&gt;"","Yes","No")</f>
        <v>No</v>
      </c>
      <c r="U72" s="995"/>
    </row>
    <row r="73" spans="1:21" s="950" customFormat="1" ht="18" customHeight="1" thickBot="1" x14ac:dyDescent="0.3">
      <c r="A73" s="584"/>
      <c r="B73" s="995"/>
      <c r="C73" s="1007" t="s">
        <v>1515</v>
      </c>
      <c r="D73" s="1683" t="s">
        <v>1516</v>
      </c>
      <c r="E73" s="1684"/>
      <c r="F73" s="995"/>
      <c r="G73" s="1045"/>
      <c r="H73" s="995"/>
      <c r="I73" s="995"/>
      <c r="J73" s="995"/>
      <c r="K73" s="995"/>
      <c r="L73" s="995"/>
      <c r="M73" s="995"/>
      <c r="N73" s="995"/>
      <c r="O73" s="995"/>
      <c r="P73" s="995"/>
      <c r="Q73" s="995"/>
      <c r="R73" s="995"/>
      <c r="S73" s="995"/>
      <c r="T73" s="995"/>
      <c r="U73" s="995"/>
    </row>
    <row r="74" spans="1:21" s="950" customFormat="1" ht="20.25" customHeight="1" thickBot="1" x14ac:dyDescent="0.3">
      <c r="A74" s="584"/>
      <c r="B74" s="995"/>
      <c r="C74" s="995"/>
      <c r="D74" s="995"/>
      <c r="E74" s="995"/>
      <c r="F74" s="995"/>
      <c r="G74" s="1045"/>
      <c r="H74" s="995"/>
      <c r="I74" s="995"/>
      <c r="J74" s="995"/>
      <c r="K74" s="995"/>
      <c r="L74" s="995"/>
      <c r="M74" s="995"/>
      <c r="N74" s="995"/>
      <c r="O74" s="995"/>
      <c r="P74" s="995"/>
      <c r="Q74" s="995"/>
      <c r="R74" s="995"/>
      <c r="S74" s="995"/>
      <c r="T74" s="995"/>
      <c r="U74" s="995"/>
    </row>
    <row r="75" spans="1:21" s="950" customFormat="1" ht="21" customHeight="1" thickBot="1" x14ac:dyDescent="0.3">
      <c r="A75" s="584"/>
      <c r="B75" s="1687" t="s">
        <v>1533</v>
      </c>
      <c r="C75" s="1697"/>
      <c r="D75" s="1697"/>
      <c r="E75" s="1697"/>
      <c r="F75" s="1697"/>
      <c r="G75" s="1697"/>
      <c r="H75" s="1697"/>
      <c r="I75" s="1697"/>
      <c r="J75" s="1697"/>
      <c r="K75" s="1697"/>
      <c r="L75" s="1697"/>
      <c r="M75" s="1697"/>
      <c r="N75" s="1697"/>
      <c r="O75" s="1697"/>
      <c r="P75" s="1697"/>
      <c r="Q75" s="1697"/>
      <c r="R75" s="1697"/>
      <c r="S75" s="1697"/>
      <c r="T75" s="1697"/>
      <c r="U75" s="1698"/>
    </row>
    <row r="76" spans="1:21" s="950" customFormat="1" ht="20.25" customHeight="1" thickBot="1" x14ac:dyDescent="0.3">
      <c r="A76" s="584"/>
      <c r="B76" s="995"/>
      <c r="C76" s="995"/>
      <c r="D76" s="995"/>
      <c r="E76" s="995"/>
      <c r="F76" s="995"/>
      <c r="G76" s="1045"/>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1400</v>
      </c>
      <c r="D77" s="1681" t="s">
        <v>1532</v>
      </c>
      <c r="E77" s="1682"/>
      <c r="F77" s="995"/>
      <c r="G77" s="1045"/>
      <c r="H77" s="1010" t="s">
        <v>1397</v>
      </c>
      <c r="I77" s="1002"/>
      <c r="J77" s="1010" t="s">
        <v>1398</v>
      </c>
      <c r="K77" s="1002"/>
      <c r="L77" s="1010" t="s">
        <v>1414</v>
      </c>
      <c r="M77" s="1002"/>
      <c r="N77" s="1010" t="s">
        <v>1399</v>
      </c>
      <c r="O77" s="1002"/>
      <c r="P77" s="1010" t="s">
        <v>1505</v>
      </c>
      <c r="Q77" s="1002"/>
      <c r="R77" s="1010" t="s">
        <v>1506</v>
      </c>
      <c r="S77" s="1002"/>
      <c r="T77" s="1010" t="s">
        <v>1507</v>
      </c>
      <c r="U77" s="995"/>
    </row>
    <row r="78" spans="1:21" s="950" customFormat="1" ht="18" customHeight="1" thickBot="1" x14ac:dyDescent="0.3">
      <c r="A78" s="584"/>
      <c r="B78" s="995"/>
      <c r="C78" s="1002"/>
      <c r="D78" s="995"/>
      <c r="E78" s="995"/>
      <c r="F78" s="995"/>
      <c r="G78" s="1045"/>
      <c r="H78" s="952"/>
      <c r="I78" s="995"/>
      <c r="J78" s="1000"/>
      <c r="K78" s="995"/>
      <c r="L78" s="1000"/>
      <c r="M78" s="995"/>
      <c r="N78" s="1044"/>
      <c r="O78" s="995"/>
      <c r="P78" s="953" t="s">
        <v>1508</v>
      </c>
      <c r="Q78" s="995"/>
      <c r="R78" s="953" t="s">
        <v>1509</v>
      </c>
      <c r="S78" s="995"/>
      <c r="T78" s="996" t="s">
        <v>649</v>
      </c>
      <c r="U78" s="995"/>
    </row>
    <row r="79" spans="1:21" s="950" customFormat="1" ht="30" customHeight="1" thickBot="1" x14ac:dyDescent="0.3">
      <c r="A79" s="584"/>
      <c r="B79" s="995"/>
      <c r="C79" s="1007" t="s">
        <v>1510</v>
      </c>
      <c r="D79" s="1699">
        <v>1502</v>
      </c>
      <c r="E79" s="1700"/>
      <c r="F79" s="995"/>
      <c r="G79" s="1045"/>
      <c r="H79" s="995"/>
      <c r="I79" s="995"/>
      <c r="J79" s="995"/>
      <c r="K79" s="995"/>
      <c r="L79" s="995"/>
      <c r="M79" s="995"/>
      <c r="N79" s="995"/>
      <c r="O79" s="995"/>
      <c r="P79" s="995"/>
      <c r="Q79" s="995"/>
      <c r="R79" s="995"/>
      <c r="S79" s="995"/>
      <c r="T79" s="995"/>
      <c r="U79" s="995"/>
    </row>
    <row r="80" spans="1:21" s="950" customFormat="1" ht="30" customHeight="1" thickBot="1" x14ac:dyDescent="0.3">
      <c r="A80" s="584"/>
      <c r="B80" s="995"/>
      <c r="C80" s="1002"/>
      <c r="D80" s="995"/>
      <c r="E80" s="995"/>
      <c r="F80" s="995"/>
      <c r="G80" s="1045"/>
      <c r="H80" s="1011" t="s">
        <v>1404</v>
      </c>
      <c r="I80" s="1002"/>
      <c r="J80" s="1010" t="s">
        <v>1405</v>
      </c>
      <c r="K80" s="1002"/>
      <c r="L80" s="1010" t="s">
        <v>1406</v>
      </c>
      <c r="M80" s="1002"/>
      <c r="N80" s="1010" t="s">
        <v>1520</v>
      </c>
      <c r="O80" s="1002"/>
      <c r="P80" s="1010" t="s">
        <v>1521</v>
      </c>
      <c r="Q80" s="1002"/>
      <c r="R80" s="1010" t="s">
        <v>1522</v>
      </c>
      <c r="S80" s="995"/>
      <c r="T80" s="995"/>
      <c r="U80" s="995"/>
    </row>
    <row r="81" spans="1:21" s="950" customFormat="1" ht="18" customHeight="1" thickBot="1" x14ac:dyDescent="0.3">
      <c r="A81" s="584"/>
      <c r="B81" s="995"/>
      <c r="C81" s="1007" t="s">
        <v>1402</v>
      </c>
      <c r="D81" s="1685" t="str">
        <f>AA8</f>
        <v/>
      </c>
      <c r="E81" s="1686"/>
      <c r="F81" s="995"/>
      <c r="G81" s="1045" t="s">
        <v>1003</v>
      </c>
      <c r="H81" s="975"/>
      <c r="I81" s="998"/>
      <c r="J81" s="1003"/>
      <c r="K81" s="995"/>
      <c r="L81" s="1003"/>
      <c r="M81" s="995"/>
      <c r="N81" s="968" t="s">
        <v>479</v>
      </c>
      <c r="O81" s="995"/>
      <c r="P81" s="968" t="s">
        <v>1523</v>
      </c>
      <c r="Q81" s="995"/>
      <c r="R81" s="968" t="s">
        <v>1524</v>
      </c>
      <c r="S81" s="995"/>
      <c r="T81" s="995"/>
      <c r="U81" s="995"/>
    </row>
    <row r="82" spans="1:21" s="950" customFormat="1" ht="18" customHeight="1" thickBot="1" x14ac:dyDescent="0.3">
      <c r="A82" s="584"/>
      <c r="B82" s="995"/>
      <c r="C82" s="1002"/>
      <c r="D82" s="995"/>
      <c r="E82" s="995"/>
      <c r="F82" s="995"/>
      <c r="G82" s="1045" t="s">
        <v>1407</v>
      </c>
      <c r="H82" s="975"/>
      <c r="I82" s="998"/>
      <c r="J82" s="1003"/>
      <c r="K82" s="995"/>
      <c r="L82" s="1003"/>
      <c r="M82" s="995"/>
      <c r="N82" s="968" t="s">
        <v>479</v>
      </c>
      <c r="O82" s="995"/>
      <c r="P82" s="968" t="s">
        <v>1523</v>
      </c>
      <c r="Q82" s="995"/>
      <c r="R82" s="995"/>
      <c r="S82" s="995"/>
      <c r="T82" s="995"/>
      <c r="U82" s="995"/>
    </row>
    <row r="83" spans="1:21" s="950" customFormat="1" ht="18" customHeight="1" thickBot="1" x14ac:dyDescent="0.3">
      <c r="A83" s="584"/>
      <c r="B83" s="995"/>
      <c r="C83" s="1007" t="s">
        <v>1403</v>
      </c>
      <c r="D83" s="1685" t="str">
        <f>AB8</f>
        <v/>
      </c>
      <c r="E83" s="1686"/>
      <c r="F83" s="995"/>
      <c r="G83" s="1045" t="s">
        <v>1408</v>
      </c>
      <c r="H83" s="975"/>
      <c r="I83" s="998"/>
      <c r="J83" s="1004"/>
      <c r="K83" s="995"/>
      <c r="L83" s="1001"/>
      <c r="M83" s="995"/>
      <c r="N83" s="968" t="s">
        <v>479</v>
      </c>
      <c r="O83" s="995"/>
      <c r="P83" s="968" t="s">
        <v>1523</v>
      </c>
      <c r="Q83" s="995"/>
      <c r="R83" s="995"/>
      <c r="S83" s="995"/>
      <c r="T83" s="1087" t="s">
        <v>1618</v>
      </c>
      <c r="U83" s="995"/>
    </row>
    <row r="84" spans="1:21" s="950" customFormat="1" ht="18" customHeight="1" x14ac:dyDescent="0.25">
      <c r="A84" s="584"/>
      <c r="B84" s="995"/>
      <c r="C84" s="1002"/>
      <c r="D84" s="995"/>
      <c r="E84" s="995"/>
      <c r="F84" s="995"/>
      <c r="G84" s="1045" t="s">
        <v>1410</v>
      </c>
      <c r="H84" s="975"/>
      <c r="I84" s="998"/>
      <c r="J84" s="1004"/>
      <c r="K84" s="995"/>
      <c r="L84" s="1001"/>
      <c r="M84" s="995"/>
      <c r="N84" s="968" t="s">
        <v>479</v>
      </c>
      <c r="O84" s="995"/>
      <c r="P84" s="968" t="s">
        <v>1523</v>
      </c>
      <c r="Q84" s="995"/>
      <c r="R84" s="995"/>
      <c r="S84" s="995"/>
      <c r="T84" s="1088" t="s">
        <v>647</v>
      </c>
      <c r="U84" s="995"/>
    </row>
    <row r="85" spans="1:21" s="950" customFormat="1" ht="18" customHeight="1" x14ac:dyDescent="0.25">
      <c r="A85" s="584"/>
      <c r="B85" s="995"/>
      <c r="C85" s="1002"/>
      <c r="D85" s="995"/>
      <c r="E85" s="995"/>
      <c r="F85" s="995"/>
      <c r="G85" s="1045" t="s">
        <v>1412</v>
      </c>
      <c r="H85" s="975"/>
      <c r="I85" s="998"/>
      <c r="J85" s="1004"/>
      <c r="K85" s="995"/>
      <c r="L85" s="1001"/>
      <c r="M85" s="995"/>
      <c r="N85" s="968" t="s">
        <v>479</v>
      </c>
      <c r="O85" s="995"/>
      <c r="P85" s="968" t="s">
        <v>1523</v>
      </c>
      <c r="Q85" s="995"/>
      <c r="R85" s="995"/>
      <c r="S85" s="995"/>
      <c r="T85" s="995"/>
      <c r="U85" s="995"/>
    </row>
    <row r="86" spans="1:21" s="950" customFormat="1" ht="18" customHeight="1" thickBot="1" x14ac:dyDescent="0.3">
      <c r="A86" s="584"/>
      <c r="B86" s="995"/>
      <c r="C86" s="1002"/>
      <c r="D86" s="995"/>
      <c r="E86" s="995"/>
      <c r="F86" s="995"/>
      <c r="G86" s="1045"/>
      <c r="H86" s="995"/>
      <c r="I86" s="995"/>
      <c r="J86" s="995"/>
      <c r="K86" s="995"/>
      <c r="L86" s="995"/>
      <c r="M86" s="995"/>
      <c r="N86" s="995"/>
      <c r="O86" s="995"/>
      <c r="P86" s="995"/>
      <c r="Q86" s="995"/>
      <c r="R86" s="995"/>
      <c r="S86" s="995"/>
      <c r="T86" s="995"/>
      <c r="U86" s="995"/>
    </row>
    <row r="87" spans="1:21" s="950" customFormat="1" ht="30" customHeight="1" thickBot="1" x14ac:dyDescent="0.3">
      <c r="A87" s="584"/>
      <c r="B87" s="995"/>
      <c r="C87" s="1008" t="s">
        <v>1514</v>
      </c>
      <c r="D87" s="1673" t="s">
        <v>647</v>
      </c>
      <c r="E87" s="1674"/>
      <c r="F87" s="995"/>
      <c r="G87" s="1045"/>
      <c r="H87" s="1009" t="s">
        <v>1511</v>
      </c>
      <c r="I87" s="1002"/>
      <c r="J87" s="1010" t="s">
        <v>1525</v>
      </c>
      <c r="K87" s="1002"/>
      <c r="L87" s="1010" t="s">
        <v>1512</v>
      </c>
      <c r="M87" s="1002"/>
      <c r="N87" s="1010" t="s">
        <v>1526</v>
      </c>
      <c r="O87" s="1002"/>
      <c r="P87" s="1010" t="s">
        <v>1527</v>
      </c>
      <c r="Q87" s="1002"/>
      <c r="R87" s="1010" t="s">
        <v>1528</v>
      </c>
      <c r="S87" s="995"/>
      <c r="T87" s="1010" t="s">
        <v>524</v>
      </c>
      <c r="U87" s="995"/>
    </row>
    <row r="88" spans="1:21" s="950" customFormat="1" ht="18" customHeight="1" thickBot="1" x14ac:dyDescent="0.3">
      <c r="A88" s="584"/>
      <c r="B88" s="995"/>
      <c r="C88" s="1002"/>
      <c r="D88" s="995"/>
      <c r="E88" s="995"/>
      <c r="F88" s="995"/>
      <c r="G88" s="1045"/>
      <c r="H88" s="996" t="s">
        <v>647</v>
      </c>
      <c r="I88" s="995"/>
      <c r="J88" s="953" t="s">
        <v>1513</v>
      </c>
      <c r="K88" s="995"/>
      <c r="L88" s="968" t="s">
        <v>1513</v>
      </c>
      <c r="M88" s="995"/>
      <c r="N88" s="968" t="s">
        <v>647</v>
      </c>
      <c r="O88" s="995"/>
      <c r="P88" s="996" t="s">
        <v>647</v>
      </c>
      <c r="Q88" s="995"/>
      <c r="R88" s="968" t="s">
        <v>1529</v>
      </c>
      <c r="S88" s="995"/>
      <c r="T88" s="1040" t="str">
        <f>IF(Z8&lt;&gt;"","Yes","No")</f>
        <v>No</v>
      </c>
      <c r="U88" s="995"/>
    </row>
    <row r="89" spans="1:21" s="950" customFormat="1" ht="18" customHeight="1" thickBot="1" x14ac:dyDescent="0.3">
      <c r="A89" s="584"/>
      <c r="B89" s="995"/>
      <c r="C89" s="1007" t="s">
        <v>1515</v>
      </c>
      <c r="D89" s="1683" t="s">
        <v>1516</v>
      </c>
      <c r="E89" s="1684"/>
      <c r="F89" s="995"/>
      <c r="G89" s="1045"/>
      <c r="H89" s="995"/>
      <c r="I89" s="995"/>
      <c r="J89" s="995"/>
      <c r="K89" s="995"/>
      <c r="L89" s="995"/>
      <c r="M89" s="995"/>
      <c r="N89" s="995"/>
      <c r="O89" s="995"/>
      <c r="P89" s="995"/>
      <c r="Q89" s="995"/>
      <c r="R89" s="995"/>
      <c r="S89" s="995"/>
      <c r="T89" s="995"/>
      <c r="U89" s="995"/>
    </row>
    <row r="90" spans="1:21" s="950" customFormat="1" ht="20.25" customHeight="1" thickBot="1" x14ac:dyDescent="0.3">
      <c r="A90" s="584"/>
      <c r="B90" s="995"/>
      <c r="C90" s="995"/>
      <c r="D90" s="995"/>
      <c r="E90" s="995"/>
      <c r="F90" s="995"/>
      <c r="G90" s="1045"/>
      <c r="H90" s="995"/>
      <c r="I90" s="995"/>
      <c r="J90" s="995"/>
      <c r="K90" s="995"/>
      <c r="L90" s="995"/>
      <c r="M90" s="995"/>
      <c r="N90" s="995"/>
      <c r="O90" s="995"/>
      <c r="P90" s="995"/>
      <c r="Q90" s="995"/>
      <c r="R90" s="995"/>
      <c r="S90" s="995"/>
      <c r="T90" s="995"/>
      <c r="U90" s="995"/>
    </row>
    <row r="91" spans="1:21" s="950" customFormat="1" ht="20.25" customHeight="1" thickBot="1" x14ac:dyDescent="0.3">
      <c r="A91" s="584"/>
      <c r="B91" s="1687" t="s">
        <v>1534</v>
      </c>
      <c r="C91" s="1697"/>
      <c r="D91" s="1697"/>
      <c r="E91" s="1697"/>
      <c r="F91" s="1697"/>
      <c r="G91" s="1697"/>
      <c r="H91" s="1697"/>
      <c r="I91" s="1697"/>
      <c r="J91" s="1697"/>
      <c r="K91" s="1697"/>
      <c r="L91" s="1697"/>
      <c r="M91" s="1697"/>
      <c r="N91" s="1697"/>
      <c r="O91" s="1697"/>
      <c r="P91" s="1697"/>
      <c r="Q91" s="1697"/>
      <c r="R91" s="1697"/>
      <c r="S91" s="1697"/>
      <c r="T91" s="1697"/>
      <c r="U91" s="1698"/>
    </row>
    <row r="92" spans="1:21" ht="20.25" customHeight="1" thickBot="1" x14ac:dyDescent="0.3">
      <c r="A92" s="584"/>
      <c r="B92" s="999"/>
      <c r="C92" s="999"/>
      <c r="D92" s="999"/>
      <c r="E92" s="999"/>
      <c r="F92" s="999"/>
      <c r="G92" s="1045"/>
      <c r="H92" s="999"/>
      <c r="I92" s="999"/>
      <c r="J92" s="999"/>
      <c r="K92" s="999"/>
      <c r="L92" s="999"/>
      <c r="M92" s="999"/>
      <c r="N92" s="999"/>
      <c r="O92" s="999"/>
      <c r="P92" s="999"/>
      <c r="Q92" s="999"/>
      <c r="R92" s="999"/>
      <c r="S92" s="999"/>
      <c r="T92" s="999"/>
      <c r="U92" s="999"/>
    </row>
    <row r="93" spans="1:21" ht="30" customHeight="1" thickBot="1" x14ac:dyDescent="0.3">
      <c r="A93" s="432"/>
      <c r="B93" s="999"/>
      <c r="C93" s="1007" t="s">
        <v>1400</v>
      </c>
      <c r="D93" s="1681" t="s">
        <v>1541</v>
      </c>
      <c r="E93" s="1682"/>
      <c r="F93" s="999"/>
      <c r="G93" s="1045"/>
      <c r="H93" s="1010" t="s">
        <v>1397</v>
      </c>
      <c r="I93" s="1014"/>
      <c r="J93" s="1010" t="s">
        <v>1398</v>
      </c>
      <c r="K93" s="1014"/>
      <c r="L93" s="1010" t="s">
        <v>1414</v>
      </c>
      <c r="M93" s="1014"/>
      <c r="N93" s="1010" t="s">
        <v>1399</v>
      </c>
      <c r="O93" s="1014"/>
      <c r="P93" s="1010" t="s">
        <v>1505</v>
      </c>
      <c r="Q93" s="1014"/>
      <c r="R93" s="1010" t="s">
        <v>1506</v>
      </c>
      <c r="S93" s="1014"/>
      <c r="T93" s="1010" t="s">
        <v>1507</v>
      </c>
      <c r="U93" s="999"/>
    </row>
    <row r="94" spans="1:21" ht="18" customHeight="1" thickBot="1" x14ac:dyDescent="0.3">
      <c r="A94" s="584"/>
      <c r="B94" s="999"/>
      <c r="C94" s="995"/>
      <c r="D94" s="995"/>
      <c r="E94" s="995"/>
      <c r="F94" s="999"/>
      <c r="G94" s="1045"/>
      <c r="H94" s="952"/>
      <c r="I94" s="999"/>
      <c r="J94" s="1000"/>
      <c r="K94" s="999"/>
      <c r="L94" s="1000"/>
      <c r="M94" s="999"/>
      <c r="N94" s="1044"/>
      <c r="O94" s="999"/>
      <c r="P94" s="953" t="s">
        <v>1508</v>
      </c>
      <c r="Q94" s="999"/>
      <c r="R94" s="953" t="s">
        <v>1509</v>
      </c>
      <c r="S94" s="999"/>
      <c r="T94" s="996" t="s">
        <v>649</v>
      </c>
      <c r="U94" s="999"/>
    </row>
    <row r="95" spans="1:21" ht="30" customHeight="1" thickBot="1" x14ac:dyDescent="0.3">
      <c r="A95" s="584"/>
      <c r="B95" s="999"/>
      <c r="C95" s="1010" t="s">
        <v>1510</v>
      </c>
      <c r="D95" s="1683">
        <v>5501</v>
      </c>
      <c r="E95" s="1684"/>
      <c r="F95" s="999"/>
      <c r="G95" s="1045"/>
      <c r="H95" s="999"/>
      <c r="I95" s="999"/>
      <c r="J95" s="999"/>
      <c r="K95" s="999"/>
      <c r="L95" s="999"/>
      <c r="M95" s="999"/>
      <c r="N95" s="999"/>
      <c r="O95" s="999"/>
      <c r="P95" s="999"/>
      <c r="Q95" s="999"/>
      <c r="R95" s="999"/>
      <c r="S95" s="999"/>
      <c r="T95" s="999"/>
      <c r="U95" s="999"/>
    </row>
    <row r="96" spans="1:21" ht="18" customHeight="1" thickBot="1" x14ac:dyDescent="0.3">
      <c r="A96" s="584"/>
      <c r="B96" s="999"/>
      <c r="C96" s="1002"/>
      <c r="D96" s="995"/>
      <c r="E96" s="995"/>
      <c r="F96" s="999"/>
      <c r="G96" s="1045"/>
      <c r="H96" s="1011" t="s">
        <v>1404</v>
      </c>
      <c r="I96" s="1014"/>
      <c r="J96" s="1010" t="s">
        <v>1405</v>
      </c>
      <c r="K96" s="1014"/>
      <c r="L96" s="1010" t="s">
        <v>1406</v>
      </c>
      <c r="M96" s="1014"/>
      <c r="N96" s="1010" t="s">
        <v>1520</v>
      </c>
      <c r="O96" s="1014"/>
      <c r="P96" s="1010" t="s">
        <v>1521</v>
      </c>
      <c r="Q96" s="1014"/>
      <c r="R96" s="1014"/>
      <c r="S96" s="1014"/>
      <c r="T96" s="1010" t="s">
        <v>1543</v>
      </c>
      <c r="U96" s="999"/>
    </row>
    <row r="97" spans="1:21" ht="18" customHeight="1" thickBot="1" x14ac:dyDescent="0.3">
      <c r="A97" s="584"/>
      <c r="B97" s="999"/>
      <c r="C97" s="1007" t="s">
        <v>1402</v>
      </c>
      <c r="D97" s="1685" t="str">
        <f>AA9</f>
        <v/>
      </c>
      <c r="E97" s="1686"/>
      <c r="F97" s="999"/>
      <c r="G97" s="1045" t="s">
        <v>1003</v>
      </c>
      <c r="H97" s="975"/>
      <c r="I97" s="999"/>
      <c r="J97" s="1004"/>
      <c r="K97" s="999"/>
      <c r="L97" s="1003"/>
      <c r="M97" s="999"/>
      <c r="N97" s="968" t="s">
        <v>479</v>
      </c>
      <c r="O97" s="999"/>
      <c r="P97" s="968" t="s">
        <v>1523</v>
      </c>
      <c r="Q97" s="999"/>
      <c r="R97" s="999"/>
      <c r="S97" s="999"/>
      <c r="T97" s="968" t="s">
        <v>459</v>
      </c>
      <c r="U97" s="999"/>
    </row>
    <row r="98" spans="1:21" ht="18" customHeight="1" thickBot="1" x14ac:dyDescent="0.3">
      <c r="A98" s="584"/>
      <c r="B98" s="999"/>
      <c r="C98" s="1002"/>
      <c r="D98" s="995"/>
      <c r="E98" s="995"/>
      <c r="F98" s="999"/>
      <c r="G98" s="1045"/>
      <c r="H98" s="999"/>
      <c r="I98" s="999"/>
      <c r="J98" s="999"/>
      <c r="K98" s="999"/>
      <c r="L98" s="999"/>
      <c r="M98" s="999"/>
      <c r="N98" s="999"/>
      <c r="O98" s="999"/>
      <c r="P98" s="999"/>
      <c r="Q98" s="999"/>
      <c r="R98" s="999"/>
      <c r="S98" s="999"/>
      <c r="T98" s="999"/>
      <c r="U98" s="999"/>
    </row>
    <row r="99" spans="1:21" ht="30" customHeight="1" thickBot="1" x14ac:dyDescent="0.3">
      <c r="A99" s="584"/>
      <c r="B99" s="999"/>
      <c r="C99" s="1007" t="s">
        <v>1403</v>
      </c>
      <c r="D99" s="1685" t="str">
        <f>AB9</f>
        <v/>
      </c>
      <c r="E99" s="1686"/>
      <c r="F99" s="999"/>
      <c r="G99" s="1045"/>
      <c r="H99" s="1009" t="s">
        <v>1511</v>
      </c>
      <c r="I99" s="1014"/>
      <c r="J99" s="1010" t="s">
        <v>1525</v>
      </c>
      <c r="K99" s="1014"/>
      <c r="L99" s="1010" t="s">
        <v>1512</v>
      </c>
      <c r="M99" s="999"/>
      <c r="N99" s="999"/>
      <c r="O99" s="999"/>
      <c r="P99" s="999"/>
      <c r="Q99" s="999"/>
      <c r="R99" s="999"/>
      <c r="S99" s="999"/>
      <c r="T99" s="1087" t="s">
        <v>1618</v>
      </c>
      <c r="U99" s="999"/>
    </row>
    <row r="100" spans="1:21" ht="18" customHeight="1" thickBot="1" x14ac:dyDescent="0.3">
      <c r="A100" s="584"/>
      <c r="B100" s="999"/>
      <c r="C100" s="1002"/>
      <c r="D100" s="995"/>
      <c r="E100" s="995"/>
      <c r="F100" s="999"/>
      <c r="G100" s="1045"/>
      <c r="H100" s="996" t="s">
        <v>647</v>
      </c>
      <c r="I100" s="999"/>
      <c r="J100" s="953" t="s">
        <v>1513</v>
      </c>
      <c r="K100" s="999"/>
      <c r="L100" s="968" t="s">
        <v>1513</v>
      </c>
      <c r="M100" s="999"/>
      <c r="N100" s="999"/>
      <c r="O100" s="999"/>
      <c r="P100" s="999"/>
      <c r="Q100" s="999"/>
      <c r="R100" s="999"/>
      <c r="S100" s="999"/>
      <c r="T100" s="1088" t="s">
        <v>647</v>
      </c>
      <c r="U100" s="999"/>
    </row>
    <row r="101" spans="1:21" ht="30" customHeight="1" thickBot="1" x14ac:dyDescent="0.3">
      <c r="A101" s="584"/>
      <c r="B101" s="999"/>
      <c r="C101" s="1008" t="s">
        <v>1514</v>
      </c>
      <c r="D101" s="1673" t="s">
        <v>647</v>
      </c>
      <c r="E101" s="1674"/>
      <c r="F101" s="999"/>
      <c r="G101" s="1045"/>
      <c r="H101" s="999"/>
      <c r="I101" s="999"/>
      <c r="J101" s="999"/>
      <c r="K101" s="999"/>
      <c r="L101" s="999"/>
      <c r="M101" s="999"/>
      <c r="N101" s="999"/>
      <c r="O101" s="999"/>
      <c r="P101" s="999"/>
      <c r="Q101" s="999"/>
      <c r="R101" s="999"/>
      <c r="S101" s="999"/>
      <c r="T101" s="999"/>
      <c r="U101" s="999"/>
    </row>
    <row r="102" spans="1:21" ht="18" customHeight="1" thickBot="1" x14ac:dyDescent="0.3">
      <c r="A102" s="584"/>
      <c r="B102" s="999"/>
      <c r="C102" s="1002"/>
      <c r="D102" s="995"/>
      <c r="E102" s="995"/>
      <c r="F102" s="999"/>
      <c r="G102" s="1045"/>
      <c r="H102" s="999"/>
      <c r="I102" s="999"/>
      <c r="J102" s="999"/>
      <c r="K102" s="999"/>
      <c r="L102" s="999"/>
      <c r="M102" s="999"/>
      <c r="N102" s="999"/>
      <c r="O102" s="999"/>
      <c r="P102" s="999"/>
      <c r="Q102" s="999"/>
      <c r="R102" s="999"/>
      <c r="S102" s="999"/>
      <c r="T102" s="1010" t="s">
        <v>524</v>
      </c>
      <c r="U102" s="999"/>
    </row>
    <row r="103" spans="1:21" ht="18" customHeight="1" thickBot="1" x14ac:dyDescent="0.3">
      <c r="A103" s="584"/>
      <c r="B103" s="999"/>
      <c r="C103" s="1007" t="s">
        <v>1515</v>
      </c>
      <c r="D103" s="1683" t="s">
        <v>1544</v>
      </c>
      <c r="E103" s="1666"/>
      <c r="F103" s="999"/>
      <c r="G103" s="1045"/>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4"/>
      <c r="B104" s="999"/>
      <c r="C104" s="999"/>
      <c r="D104" s="999"/>
      <c r="E104" s="999"/>
      <c r="F104" s="999"/>
      <c r="G104" s="1045"/>
      <c r="H104" s="999"/>
      <c r="I104" s="999"/>
      <c r="J104" s="999"/>
      <c r="K104" s="999"/>
      <c r="L104" s="999"/>
      <c r="M104" s="999"/>
      <c r="N104" s="999"/>
      <c r="O104" s="999"/>
      <c r="P104" s="999"/>
      <c r="Q104" s="999"/>
      <c r="R104" s="999"/>
      <c r="S104" s="999"/>
      <c r="T104" s="999"/>
      <c r="U104" s="999"/>
    </row>
    <row r="105" spans="1:21" ht="20.25" customHeight="1" thickBot="1" x14ac:dyDescent="0.3">
      <c r="A105" s="584"/>
      <c r="B105" s="1687" t="s">
        <v>1545</v>
      </c>
      <c r="C105" s="1665"/>
      <c r="D105" s="1665"/>
      <c r="E105" s="1665"/>
      <c r="F105" s="1665"/>
      <c r="G105" s="1665"/>
      <c r="H105" s="1665"/>
      <c r="I105" s="1665"/>
      <c r="J105" s="1665"/>
      <c r="K105" s="1665"/>
      <c r="L105" s="1665"/>
      <c r="M105" s="1665"/>
      <c r="N105" s="1665"/>
      <c r="O105" s="1665"/>
      <c r="P105" s="1665"/>
      <c r="Q105" s="1665"/>
      <c r="R105" s="1665"/>
      <c r="S105" s="1665"/>
      <c r="T105" s="1665"/>
      <c r="U105" s="1666"/>
    </row>
    <row r="106" spans="1:21" ht="18" customHeight="1" thickBot="1" x14ac:dyDescent="0.3">
      <c r="A106" s="584"/>
      <c r="B106" s="999"/>
      <c r="C106" s="999"/>
      <c r="D106" s="999"/>
      <c r="E106" s="999"/>
      <c r="F106" s="999"/>
      <c r="G106" s="1045"/>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1400</v>
      </c>
      <c r="D107" s="1681" t="s">
        <v>1541</v>
      </c>
      <c r="E107" s="1682"/>
      <c r="F107" s="999"/>
      <c r="G107" s="1045"/>
      <c r="H107" s="1010" t="s">
        <v>1397</v>
      </c>
      <c r="I107" s="1014"/>
      <c r="J107" s="1010" t="s">
        <v>1398</v>
      </c>
      <c r="K107" s="1014"/>
      <c r="L107" s="1010" t="s">
        <v>1414</v>
      </c>
      <c r="M107" s="1014"/>
      <c r="N107" s="1010" t="s">
        <v>1399</v>
      </c>
      <c r="O107" s="1014"/>
      <c r="P107" s="1010" t="s">
        <v>1505</v>
      </c>
      <c r="Q107" s="1014"/>
      <c r="R107" s="1010" t="s">
        <v>1506</v>
      </c>
      <c r="S107" s="1014"/>
      <c r="T107" s="1010" t="s">
        <v>1507</v>
      </c>
      <c r="U107" s="999"/>
    </row>
    <row r="108" spans="1:21" ht="15.75" thickBot="1" x14ac:dyDescent="0.3">
      <c r="A108" s="584"/>
      <c r="B108" s="999"/>
      <c r="C108" s="1002"/>
      <c r="D108" s="995"/>
      <c r="E108" s="995"/>
      <c r="F108" s="999"/>
      <c r="G108" s="1045"/>
      <c r="H108" s="952"/>
      <c r="I108" s="999"/>
      <c r="J108" s="1000"/>
      <c r="K108" s="999"/>
      <c r="L108" s="1000"/>
      <c r="M108" s="999"/>
      <c r="N108" s="1044"/>
      <c r="O108" s="999"/>
      <c r="P108" s="953" t="s">
        <v>1508</v>
      </c>
      <c r="Q108" s="999"/>
      <c r="R108" s="953" t="s">
        <v>1509</v>
      </c>
      <c r="S108" s="999"/>
      <c r="T108" s="996" t="s">
        <v>649</v>
      </c>
      <c r="U108" s="999"/>
    </row>
    <row r="109" spans="1:21" ht="30.75" thickBot="1" x14ac:dyDescent="0.3">
      <c r="A109" s="584"/>
      <c r="B109" s="999"/>
      <c r="C109" s="1010" t="s">
        <v>1510</v>
      </c>
      <c r="D109" s="1683">
        <v>5502</v>
      </c>
      <c r="E109" s="1684"/>
      <c r="F109" s="999"/>
      <c r="G109" s="1045"/>
      <c r="H109" s="999"/>
      <c r="I109" s="999"/>
      <c r="J109" s="999"/>
      <c r="K109" s="999"/>
      <c r="L109" s="999"/>
      <c r="M109" s="999"/>
      <c r="N109" s="999"/>
      <c r="O109" s="999"/>
      <c r="P109" s="999"/>
      <c r="Q109" s="999"/>
      <c r="R109" s="999"/>
      <c r="S109" s="999"/>
      <c r="T109" s="999"/>
      <c r="U109" s="999"/>
    </row>
    <row r="110" spans="1:21" ht="15.75" thickBot="1" x14ac:dyDescent="0.3">
      <c r="A110" s="584"/>
      <c r="B110" s="999"/>
      <c r="C110" s="1002"/>
      <c r="D110" s="995"/>
      <c r="E110" s="995"/>
      <c r="F110" s="999"/>
      <c r="G110" s="1045"/>
      <c r="H110" s="1011" t="s">
        <v>1404</v>
      </c>
      <c r="I110" s="1014"/>
      <c r="J110" s="1010" t="s">
        <v>1405</v>
      </c>
      <c r="K110" s="1014"/>
      <c r="L110" s="1010" t="s">
        <v>1406</v>
      </c>
      <c r="M110" s="1014"/>
      <c r="N110" s="1010" t="s">
        <v>1520</v>
      </c>
      <c r="O110" s="1014"/>
      <c r="P110" s="1010" t="s">
        <v>1521</v>
      </c>
      <c r="Q110" s="1014"/>
      <c r="R110" s="1014"/>
      <c r="S110" s="1014"/>
      <c r="T110" s="1010" t="s">
        <v>1543</v>
      </c>
      <c r="U110" s="999"/>
    </row>
    <row r="111" spans="1:21" ht="18" customHeight="1" thickBot="1" x14ac:dyDescent="0.3">
      <c r="A111" s="584"/>
      <c r="B111" s="999"/>
      <c r="C111" s="1007" t="s">
        <v>1402</v>
      </c>
      <c r="D111" s="1685" t="str">
        <f>AA10</f>
        <v/>
      </c>
      <c r="E111" s="1686"/>
      <c r="F111" s="999"/>
      <c r="G111" s="1045" t="s">
        <v>1003</v>
      </c>
      <c r="H111" s="975"/>
      <c r="I111" s="1014"/>
      <c r="J111" s="1004"/>
      <c r="K111" s="1014"/>
      <c r="L111" s="1003"/>
      <c r="M111" s="1014"/>
      <c r="N111" s="968" t="s">
        <v>479</v>
      </c>
      <c r="O111" s="1014"/>
      <c r="P111" s="968" t="s">
        <v>1523</v>
      </c>
      <c r="Q111" s="1014"/>
      <c r="R111" s="1014"/>
      <c r="S111" s="1014"/>
      <c r="T111" s="968" t="s">
        <v>459</v>
      </c>
      <c r="U111" s="999"/>
    </row>
    <row r="112" spans="1:21" ht="15.75" thickBot="1" x14ac:dyDescent="0.3">
      <c r="A112" s="584"/>
      <c r="B112" s="999"/>
      <c r="C112" s="1002"/>
      <c r="D112" s="995"/>
      <c r="E112" s="995"/>
      <c r="F112" s="999"/>
      <c r="G112" s="1045"/>
      <c r="H112" s="999"/>
      <c r="I112" s="999"/>
      <c r="J112" s="999"/>
      <c r="K112" s="999"/>
      <c r="L112" s="999"/>
      <c r="M112" s="999"/>
      <c r="N112" s="999"/>
      <c r="O112" s="999"/>
      <c r="P112" s="999"/>
      <c r="Q112" s="999"/>
      <c r="R112" s="999"/>
      <c r="S112" s="999"/>
      <c r="T112" s="999"/>
      <c r="U112" s="999"/>
    </row>
    <row r="113" spans="1:21" ht="30.75" thickBot="1" x14ac:dyDescent="0.3">
      <c r="A113" s="584"/>
      <c r="B113" s="999"/>
      <c r="C113" s="1007" t="s">
        <v>1403</v>
      </c>
      <c r="D113" s="1685" t="str">
        <f>AB10</f>
        <v/>
      </c>
      <c r="E113" s="1686"/>
      <c r="F113" s="999"/>
      <c r="G113" s="1045"/>
      <c r="H113" s="1009" t="s">
        <v>1511</v>
      </c>
      <c r="I113" s="1014"/>
      <c r="J113" s="1010" t="s">
        <v>1525</v>
      </c>
      <c r="K113" s="1014"/>
      <c r="L113" s="1010" t="s">
        <v>1512</v>
      </c>
      <c r="M113" s="999"/>
      <c r="N113" s="999"/>
      <c r="O113" s="999"/>
      <c r="P113" s="999"/>
      <c r="Q113" s="999"/>
      <c r="R113" s="999"/>
      <c r="S113" s="999"/>
      <c r="T113" s="1087" t="s">
        <v>1618</v>
      </c>
      <c r="U113" s="999"/>
    </row>
    <row r="114" spans="1:21" ht="15.75" thickBot="1" x14ac:dyDescent="0.3">
      <c r="A114" s="584"/>
      <c r="B114" s="999"/>
      <c r="C114" s="1002"/>
      <c r="D114" s="995"/>
      <c r="E114" s="995"/>
      <c r="F114" s="999"/>
      <c r="G114" s="1045"/>
      <c r="H114" s="996" t="s">
        <v>647</v>
      </c>
      <c r="I114" s="999"/>
      <c r="J114" s="953" t="s">
        <v>1513</v>
      </c>
      <c r="K114" s="999"/>
      <c r="L114" s="968" t="s">
        <v>1513</v>
      </c>
      <c r="M114" s="999"/>
      <c r="N114" s="999"/>
      <c r="O114" s="999"/>
      <c r="P114" s="999"/>
      <c r="Q114" s="999"/>
      <c r="R114" s="999"/>
      <c r="S114" s="999"/>
      <c r="T114" s="1088" t="s">
        <v>647</v>
      </c>
      <c r="U114" s="999"/>
    </row>
    <row r="115" spans="1:21" ht="30" customHeight="1" thickBot="1" x14ac:dyDescent="0.3">
      <c r="A115" s="584"/>
      <c r="B115" s="999"/>
      <c r="C115" s="1008" t="s">
        <v>1514</v>
      </c>
      <c r="D115" s="1673" t="s">
        <v>647</v>
      </c>
      <c r="E115" s="1674"/>
      <c r="F115" s="999"/>
      <c r="G115" s="1045"/>
      <c r="H115" s="999"/>
      <c r="I115" s="999"/>
      <c r="J115" s="999"/>
      <c r="K115" s="999"/>
      <c r="L115" s="999"/>
      <c r="M115" s="999"/>
      <c r="N115" s="999"/>
      <c r="O115" s="999"/>
      <c r="P115" s="999"/>
      <c r="Q115" s="999"/>
      <c r="R115" s="999"/>
      <c r="S115" s="999"/>
      <c r="T115" s="999"/>
      <c r="U115" s="999"/>
    </row>
    <row r="116" spans="1:21" ht="15.75" thickBot="1" x14ac:dyDescent="0.3">
      <c r="A116" s="584"/>
      <c r="B116" s="999"/>
      <c r="C116" s="1002"/>
      <c r="D116" s="995"/>
      <c r="E116" s="995"/>
      <c r="F116" s="999"/>
      <c r="G116" s="1045"/>
      <c r="H116" s="999"/>
      <c r="I116" s="999"/>
      <c r="J116" s="999"/>
      <c r="K116" s="999"/>
      <c r="L116" s="999"/>
      <c r="M116" s="999"/>
      <c r="N116" s="999"/>
      <c r="O116" s="999"/>
      <c r="P116" s="999"/>
      <c r="Q116" s="999"/>
      <c r="R116" s="999"/>
      <c r="S116" s="999"/>
      <c r="T116" s="1010" t="s">
        <v>524</v>
      </c>
      <c r="U116" s="999"/>
    </row>
    <row r="117" spans="1:21" ht="15.75" thickBot="1" x14ac:dyDescent="0.3">
      <c r="A117" s="584"/>
      <c r="B117" s="999"/>
      <c r="C117" s="1007" t="s">
        <v>1515</v>
      </c>
      <c r="D117" s="1683" t="s">
        <v>1544</v>
      </c>
      <c r="E117" s="1666"/>
      <c r="F117" s="999"/>
      <c r="G117" s="1045"/>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4"/>
      <c r="B118" s="999"/>
      <c r="C118" s="999"/>
      <c r="D118" s="999"/>
      <c r="E118" s="999"/>
      <c r="F118" s="999"/>
      <c r="G118" s="1045"/>
      <c r="H118" s="999"/>
      <c r="I118" s="999"/>
      <c r="J118" s="999"/>
      <c r="K118" s="999"/>
      <c r="L118" s="999"/>
      <c r="M118" s="999"/>
      <c r="N118" s="999"/>
      <c r="O118" s="999"/>
      <c r="P118" s="999"/>
      <c r="Q118" s="999"/>
      <c r="R118" s="999"/>
      <c r="S118" s="999"/>
      <c r="T118" s="999"/>
      <c r="U118" s="999"/>
    </row>
    <row r="119" spans="1:21" ht="20.25" customHeight="1" thickBot="1" x14ac:dyDescent="0.3">
      <c r="A119" s="584"/>
      <c r="B119" s="1687" t="s">
        <v>1546</v>
      </c>
      <c r="C119" s="1665"/>
      <c r="D119" s="1665"/>
      <c r="E119" s="1665"/>
      <c r="F119" s="1665"/>
      <c r="G119" s="1665"/>
      <c r="H119" s="1665"/>
      <c r="I119" s="1665"/>
      <c r="J119" s="1665"/>
      <c r="K119" s="1665"/>
      <c r="L119" s="1665"/>
      <c r="M119" s="1665"/>
      <c r="N119" s="1665"/>
      <c r="O119" s="1665"/>
      <c r="P119" s="1665"/>
      <c r="Q119" s="1665"/>
      <c r="R119" s="1665"/>
      <c r="S119" s="1665"/>
      <c r="T119" s="1665"/>
      <c r="U119" s="1666"/>
    </row>
    <row r="120" spans="1:21" ht="15.75" thickBot="1" x14ac:dyDescent="0.3">
      <c r="A120" s="584"/>
      <c r="B120" s="999"/>
      <c r="C120" s="999"/>
      <c r="D120" s="999"/>
      <c r="E120" s="999"/>
      <c r="F120" s="999"/>
      <c r="G120" s="1045"/>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1400</v>
      </c>
      <c r="D121" s="1681" t="s">
        <v>1542</v>
      </c>
      <c r="E121" s="1682"/>
      <c r="F121" s="999"/>
      <c r="G121" s="1045"/>
      <c r="H121" s="1010" t="s">
        <v>1397</v>
      </c>
      <c r="I121" s="1014"/>
      <c r="J121" s="1010" t="s">
        <v>1398</v>
      </c>
      <c r="K121" s="1014"/>
      <c r="L121" s="1010" t="s">
        <v>1414</v>
      </c>
      <c r="M121" s="1014"/>
      <c r="N121" s="1010" t="s">
        <v>1399</v>
      </c>
      <c r="O121" s="1014"/>
      <c r="P121" s="1010" t="s">
        <v>1505</v>
      </c>
      <c r="Q121" s="1014"/>
      <c r="R121" s="1010" t="s">
        <v>1506</v>
      </c>
      <c r="S121" s="1014"/>
      <c r="T121" s="1010" t="s">
        <v>1507</v>
      </c>
      <c r="U121" s="999"/>
    </row>
    <row r="122" spans="1:21" ht="15.75" thickBot="1" x14ac:dyDescent="0.3">
      <c r="A122" s="584"/>
      <c r="B122" s="999"/>
      <c r="C122" s="1002"/>
      <c r="D122" s="995"/>
      <c r="E122" s="995"/>
      <c r="F122" s="999"/>
      <c r="G122" s="1045"/>
      <c r="H122" s="952"/>
      <c r="I122" s="999"/>
      <c r="J122" s="1000"/>
      <c r="K122" s="999"/>
      <c r="L122" s="1000"/>
      <c r="M122" s="999"/>
      <c r="N122" s="1044"/>
      <c r="O122" s="999"/>
      <c r="P122" s="953" t="s">
        <v>1508</v>
      </c>
      <c r="Q122" s="999"/>
      <c r="R122" s="953" t="s">
        <v>1509</v>
      </c>
      <c r="S122" s="999"/>
      <c r="T122" s="996" t="s">
        <v>649</v>
      </c>
      <c r="U122" s="999"/>
    </row>
    <row r="123" spans="1:21" ht="30.75" thickBot="1" x14ac:dyDescent="0.3">
      <c r="A123" s="584"/>
      <c r="B123" s="999"/>
      <c r="C123" s="1010" t="s">
        <v>1510</v>
      </c>
      <c r="D123" s="1683">
        <v>2801</v>
      </c>
      <c r="E123" s="1684"/>
      <c r="F123" s="999"/>
      <c r="G123" s="1045"/>
      <c r="H123" s="999"/>
      <c r="I123" s="999"/>
      <c r="J123" s="999"/>
      <c r="K123" s="999"/>
      <c r="L123" s="999"/>
      <c r="M123" s="999"/>
      <c r="N123" s="999"/>
      <c r="O123" s="999"/>
      <c r="P123" s="999"/>
      <c r="Q123" s="999"/>
      <c r="R123" s="999"/>
      <c r="S123" s="999"/>
      <c r="T123" s="999"/>
      <c r="U123" s="999"/>
    </row>
    <row r="124" spans="1:21" ht="18" customHeight="1" thickBot="1" x14ac:dyDescent="0.3">
      <c r="A124" s="584"/>
      <c r="B124" s="999"/>
      <c r="C124" s="995"/>
      <c r="D124" s="995"/>
      <c r="E124" s="995"/>
      <c r="F124" s="999"/>
      <c r="G124" s="1045"/>
      <c r="H124" s="1011" t="s">
        <v>1404</v>
      </c>
      <c r="I124" s="1014"/>
      <c r="J124" s="1010" t="s">
        <v>1405</v>
      </c>
      <c r="K124" s="1014"/>
      <c r="L124" s="1010" t="s">
        <v>1406</v>
      </c>
      <c r="M124" s="1014"/>
      <c r="N124" s="1010" t="s">
        <v>1520</v>
      </c>
      <c r="O124" s="1014"/>
      <c r="P124" s="1010" t="s">
        <v>1521</v>
      </c>
      <c r="Q124" s="1014"/>
      <c r="R124" s="1014"/>
      <c r="S124" s="1014"/>
      <c r="T124" s="1010" t="s">
        <v>1543</v>
      </c>
      <c r="U124" s="999"/>
    </row>
    <row r="125" spans="1:21" ht="18" customHeight="1" thickBot="1" x14ac:dyDescent="0.3">
      <c r="A125" s="584"/>
      <c r="B125" s="999"/>
      <c r="C125" s="1007" t="s">
        <v>1402</v>
      </c>
      <c r="D125" s="1685" t="str">
        <f>AA11</f>
        <v/>
      </c>
      <c r="E125" s="1686"/>
      <c r="F125" s="999"/>
      <c r="G125" s="1045" t="s">
        <v>1003</v>
      </c>
      <c r="H125" s="975"/>
      <c r="I125" s="999"/>
      <c r="J125" s="975"/>
      <c r="K125" s="999"/>
      <c r="L125" s="975"/>
      <c r="M125" s="999"/>
      <c r="N125" s="968" t="s">
        <v>479</v>
      </c>
      <c r="O125" s="999"/>
      <c r="P125" s="968" t="s">
        <v>1523</v>
      </c>
      <c r="Q125" s="999"/>
      <c r="R125" s="999"/>
      <c r="S125" s="999"/>
      <c r="T125" s="968" t="s">
        <v>459</v>
      </c>
      <c r="U125" s="999"/>
    </row>
    <row r="126" spans="1:21" ht="15.75" thickBot="1" x14ac:dyDescent="0.3">
      <c r="A126" s="584"/>
      <c r="B126" s="999"/>
      <c r="C126" s="1002"/>
      <c r="D126" s="995"/>
      <c r="E126" s="995"/>
      <c r="F126" s="999"/>
      <c r="G126" s="1045" t="s">
        <v>1407</v>
      </c>
      <c r="H126" s="975"/>
      <c r="I126" s="999"/>
      <c r="J126" s="1004"/>
      <c r="K126" s="999"/>
      <c r="L126" s="975"/>
      <c r="M126" s="999"/>
      <c r="N126" s="968" t="s">
        <v>479</v>
      </c>
      <c r="O126" s="999"/>
      <c r="P126" s="968" t="s">
        <v>1523</v>
      </c>
      <c r="Q126" s="999"/>
      <c r="R126" s="999"/>
      <c r="S126" s="999"/>
      <c r="T126" s="999"/>
      <c r="U126" s="999"/>
    </row>
    <row r="127" spans="1:21" ht="15.75" thickBot="1" x14ac:dyDescent="0.3">
      <c r="A127" s="584"/>
      <c r="B127" s="999"/>
      <c r="C127" s="1007" t="s">
        <v>1403</v>
      </c>
      <c r="D127" s="1685" t="str">
        <f>AB11</f>
        <v/>
      </c>
      <c r="E127" s="1686"/>
      <c r="F127" s="999"/>
      <c r="G127" s="1045" t="s">
        <v>1408</v>
      </c>
      <c r="H127" s="975"/>
      <c r="I127" s="999"/>
      <c r="J127" s="1005"/>
      <c r="K127" s="999"/>
      <c r="L127" s="975"/>
      <c r="M127" s="999"/>
      <c r="N127" s="968" t="s">
        <v>479</v>
      </c>
      <c r="O127" s="999"/>
      <c r="P127" s="968" t="s">
        <v>1523</v>
      </c>
      <c r="Q127" s="999"/>
      <c r="R127" s="999"/>
      <c r="S127" s="999"/>
      <c r="T127" s="1087" t="s">
        <v>1618</v>
      </c>
      <c r="U127" s="999"/>
    </row>
    <row r="128" spans="1:21" x14ac:dyDescent="0.25">
      <c r="A128" s="584"/>
      <c r="B128" s="999"/>
      <c r="C128" s="1002"/>
      <c r="D128" s="995"/>
      <c r="E128" s="995"/>
      <c r="F128" s="999"/>
      <c r="G128" s="1045" t="s">
        <v>1410</v>
      </c>
      <c r="H128" s="975"/>
      <c r="I128" s="999"/>
      <c r="J128" s="1005"/>
      <c r="K128" s="999"/>
      <c r="L128" s="975"/>
      <c r="M128" s="999"/>
      <c r="N128" s="968" t="s">
        <v>479</v>
      </c>
      <c r="O128" s="999"/>
      <c r="P128" s="968" t="s">
        <v>1523</v>
      </c>
      <c r="Q128" s="999"/>
      <c r="R128" s="999"/>
      <c r="S128" s="999"/>
      <c r="T128" s="1088" t="s">
        <v>647</v>
      </c>
      <c r="U128" s="999"/>
    </row>
    <row r="129" spans="1:21" x14ac:dyDescent="0.25">
      <c r="A129" s="584"/>
      <c r="B129" s="999"/>
      <c r="C129" s="1002"/>
      <c r="D129" s="995"/>
      <c r="E129" s="995"/>
      <c r="F129" s="999"/>
      <c r="G129" s="1045" t="s">
        <v>1412</v>
      </c>
      <c r="H129" s="975"/>
      <c r="I129" s="999"/>
      <c r="J129" s="1005"/>
      <c r="K129" s="999"/>
      <c r="L129" s="975"/>
      <c r="M129" s="999"/>
      <c r="N129" s="968" t="s">
        <v>479</v>
      </c>
      <c r="O129" s="999"/>
      <c r="P129" s="968" t="s">
        <v>1523</v>
      </c>
      <c r="Q129" s="999"/>
      <c r="R129" s="999"/>
      <c r="S129" s="999"/>
      <c r="T129" s="999"/>
      <c r="U129" s="999"/>
    </row>
    <row r="130" spans="1:21" ht="15.75" thickBot="1" x14ac:dyDescent="0.3">
      <c r="A130" s="584"/>
      <c r="B130" s="999"/>
      <c r="C130" s="1002"/>
      <c r="D130" s="995"/>
      <c r="E130" s="995"/>
      <c r="F130" s="999"/>
      <c r="G130" s="1045"/>
      <c r="H130" s="999"/>
      <c r="I130" s="999"/>
      <c r="J130" s="999"/>
      <c r="K130" s="999"/>
      <c r="L130" s="999"/>
      <c r="M130" s="999"/>
      <c r="N130" s="999"/>
      <c r="O130" s="999"/>
      <c r="P130" s="999"/>
      <c r="Q130" s="999"/>
      <c r="R130" s="999"/>
      <c r="S130" s="999"/>
      <c r="T130" s="999"/>
      <c r="U130" s="999"/>
    </row>
    <row r="131" spans="1:21" ht="30.75" thickBot="1" x14ac:dyDescent="0.3">
      <c r="A131" s="584"/>
      <c r="B131" s="999"/>
      <c r="C131" s="1008" t="s">
        <v>1514</v>
      </c>
      <c r="D131" s="1673" t="s">
        <v>647</v>
      </c>
      <c r="E131" s="1674"/>
      <c r="F131" s="999"/>
      <c r="G131" s="1045"/>
      <c r="H131" s="1009" t="s">
        <v>1511</v>
      </c>
      <c r="I131" s="1014"/>
      <c r="J131" s="1010" t="s">
        <v>1525</v>
      </c>
      <c r="K131" s="1014"/>
      <c r="L131" s="1010" t="s">
        <v>1512</v>
      </c>
      <c r="M131" s="999"/>
      <c r="N131" s="999"/>
      <c r="O131" s="999"/>
      <c r="P131" s="999"/>
      <c r="Q131" s="999"/>
      <c r="R131" s="999"/>
      <c r="S131" s="999"/>
      <c r="T131" s="1010" t="s">
        <v>524</v>
      </c>
      <c r="U131" s="999"/>
    </row>
    <row r="132" spans="1:21" ht="15.75" thickBot="1" x14ac:dyDescent="0.3">
      <c r="A132" s="584"/>
      <c r="B132" s="999"/>
      <c r="C132" s="1002"/>
      <c r="D132" s="995"/>
      <c r="E132" s="995"/>
      <c r="F132" s="999"/>
      <c r="G132" s="1045"/>
      <c r="H132" s="996" t="s">
        <v>647</v>
      </c>
      <c r="I132" s="999"/>
      <c r="J132" s="953" t="s">
        <v>1513</v>
      </c>
      <c r="K132" s="999"/>
      <c r="L132" s="968" t="s">
        <v>1513</v>
      </c>
      <c r="M132" s="999"/>
      <c r="N132" s="999"/>
      <c r="O132" s="999"/>
      <c r="P132" s="999"/>
      <c r="Q132" s="999"/>
      <c r="R132" s="999"/>
      <c r="S132" s="999"/>
      <c r="T132" s="1040" t="str">
        <f>IF(Z11&lt;&gt;"","Yes","No")</f>
        <v>No</v>
      </c>
      <c r="U132" s="999"/>
    </row>
    <row r="133" spans="1:21" ht="15.75" thickBot="1" x14ac:dyDescent="0.3">
      <c r="A133" s="584"/>
      <c r="B133" s="999"/>
      <c r="C133" s="1007" t="s">
        <v>1515</v>
      </c>
      <c r="D133" s="1683" t="s">
        <v>1544</v>
      </c>
      <c r="E133" s="1666"/>
      <c r="F133" s="999"/>
      <c r="G133" s="1045"/>
      <c r="H133" s="999"/>
      <c r="I133" s="999"/>
      <c r="J133" s="999"/>
      <c r="K133" s="999"/>
      <c r="L133" s="999"/>
      <c r="M133" s="999"/>
      <c r="N133" s="999"/>
      <c r="O133" s="999"/>
      <c r="P133" s="999"/>
      <c r="Q133" s="999"/>
      <c r="R133" s="999"/>
      <c r="S133" s="999"/>
      <c r="T133" s="999"/>
      <c r="U133" s="999"/>
    </row>
    <row r="134" spans="1:21" ht="15.75" thickBot="1" x14ac:dyDescent="0.3">
      <c r="A134" s="584"/>
      <c r="B134" s="999"/>
      <c r="C134" s="999"/>
      <c r="D134" s="999"/>
      <c r="E134" s="999"/>
      <c r="F134" s="999"/>
      <c r="G134" s="1045"/>
      <c r="H134" s="999"/>
      <c r="I134" s="999"/>
      <c r="J134" s="999"/>
      <c r="K134" s="999"/>
      <c r="L134" s="999"/>
      <c r="M134" s="999"/>
      <c r="N134" s="999"/>
      <c r="O134" s="999"/>
      <c r="P134" s="999"/>
      <c r="Q134" s="999"/>
      <c r="R134" s="999"/>
      <c r="S134" s="999"/>
      <c r="T134" s="999"/>
      <c r="U134" s="999"/>
    </row>
    <row r="135" spans="1:21" ht="20.25" customHeight="1" thickBot="1" x14ac:dyDescent="0.3">
      <c r="A135" s="584"/>
      <c r="B135" s="1687" t="s">
        <v>1547</v>
      </c>
      <c r="C135" s="1665"/>
      <c r="D135" s="1665"/>
      <c r="E135" s="1665"/>
      <c r="F135" s="1665"/>
      <c r="G135" s="1665"/>
      <c r="H135" s="1665"/>
      <c r="I135" s="1665"/>
      <c r="J135" s="1665"/>
      <c r="K135" s="1665"/>
      <c r="L135" s="1665"/>
      <c r="M135" s="1665"/>
      <c r="N135" s="1665"/>
      <c r="O135" s="1665"/>
      <c r="P135" s="1665"/>
      <c r="Q135" s="1665"/>
      <c r="R135" s="1665"/>
      <c r="S135" s="1665"/>
      <c r="T135" s="1665"/>
      <c r="U135" s="1666"/>
    </row>
    <row r="136" spans="1:21" ht="15.75" thickBot="1" x14ac:dyDescent="0.3">
      <c r="A136" s="584"/>
      <c r="B136" s="999"/>
      <c r="C136" s="999"/>
      <c r="D136" s="999"/>
      <c r="E136" s="999"/>
      <c r="F136" s="999"/>
      <c r="G136" s="1045"/>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1400</v>
      </c>
      <c r="D137" s="1681" t="s">
        <v>1542</v>
      </c>
      <c r="E137" s="1682"/>
      <c r="F137" s="999"/>
      <c r="G137" s="1045"/>
      <c r="H137" s="1010" t="s">
        <v>1397</v>
      </c>
      <c r="I137" s="1014"/>
      <c r="J137" s="1010" t="s">
        <v>1398</v>
      </c>
      <c r="K137" s="1014"/>
      <c r="L137" s="1010" t="s">
        <v>1414</v>
      </c>
      <c r="M137" s="1014"/>
      <c r="N137" s="1010" t="s">
        <v>1399</v>
      </c>
      <c r="O137" s="1014"/>
      <c r="P137" s="1010" t="s">
        <v>1505</v>
      </c>
      <c r="Q137" s="1014"/>
      <c r="R137" s="1010" t="s">
        <v>1506</v>
      </c>
      <c r="S137" s="1014"/>
      <c r="T137" s="1010" t="s">
        <v>1507</v>
      </c>
      <c r="U137" s="999"/>
    </row>
    <row r="138" spans="1:21" ht="15.75" thickBot="1" x14ac:dyDescent="0.3">
      <c r="A138" s="584"/>
      <c r="B138" s="999"/>
      <c r="C138" s="1002"/>
      <c r="D138" s="995"/>
      <c r="E138" s="995"/>
      <c r="F138" s="999"/>
      <c r="G138" s="1045"/>
      <c r="H138" s="952"/>
      <c r="I138" s="999"/>
      <c r="J138" s="1000"/>
      <c r="K138" s="999"/>
      <c r="L138" s="1000"/>
      <c r="M138" s="999"/>
      <c r="N138" s="1044"/>
      <c r="O138" s="999"/>
      <c r="P138" s="953" t="s">
        <v>1508</v>
      </c>
      <c r="Q138" s="999"/>
      <c r="R138" s="953" t="s">
        <v>1509</v>
      </c>
      <c r="S138" s="999"/>
      <c r="T138" s="996" t="s">
        <v>649</v>
      </c>
      <c r="U138" s="999"/>
    </row>
    <row r="139" spans="1:21" ht="30.75" thickBot="1" x14ac:dyDescent="0.3">
      <c r="A139" s="584"/>
      <c r="B139" s="999"/>
      <c r="C139" s="1010" t="s">
        <v>1510</v>
      </c>
      <c r="D139" s="1683">
        <v>2802</v>
      </c>
      <c r="E139" s="1684"/>
      <c r="F139" s="999"/>
      <c r="G139" s="1045"/>
      <c r="H139" s="999"/>
      <c r="I139" s="999"/>
      <c r="J139" s="999"/>
      <c r="K139" s="999"/>
      <c r="L139" s="999"/>
      <c r="M139" s="999"/>
      <c r="N139" s="999"/>
      <c r="O139" s="999"/>
      <c r="P139" s="999"/>
      <c r="Q139" s="999"/>
      <c r="R139" s="999"/>
      <c r="S139" s="999"/>
      <c r="T139" s="999"/>
      <c r="U139" s="999"/>
    </row>
    <row r="140" spans="1:21" ht="15.75" thickBot="1" x14ac:dyDescent="0.3">
      <c r="A140" s="584"/>
      <c r="B140" s="999"/>
      <c r="C140" s="1002"/>
      <c r="D140" s="995"/>
      <c r="E140" s="995"/>
      <c r="F140" s="999"/>
      <c r="G140" s="1045"/>
      <c r="H140" s="1011" t="s">
        <v>1404</v>
      </c>
      <c r="I140" s="1014"/>
      <c r="J140" s="1010" t="s">
        <v>1405</v>
      </c>
      <c r="K140" s="1014"/>
      <c r="L140" s="1010" t="s">
        <v>1406</v>
      </c>
      <c r="M140" s="1014"/>
      <c r="N140" s="1010" t="s">
        <v>1520</v>
      </c>
      <c r="O140" s="1014"/>
      <c r="P140" s="1010" t="s">
        <v>1521</v>
      </c>
      <c r="Q140" s="1014"/>
      <c r="R140" s="1014"/>
      <c r="S140" s="1014"/>
      <c r="T140" s="1010" t="s">
        <v>1543</v>
      </c>
      <c r="U140" s="999"/>
    </row>
    <row r="141" spans="1:21" ht="18" customHeight="1" thickBot="1" x14ac:dyDescent="0.3">
      <c r="A141" s="584"/>
      <c r="B141" s="999"/>
      <c r="C141" s="1007" t="s">
        <v>1402</v>
      </c>
      <c r="D141" s="1685" t="str">
        <f>AA12</f>
        <v/>
      </c>
      <c r="E141" s="1686"/>
      <c r="F141" s="999"/>
      <c r="G141" s="1045" t="s">
        <v>1003</v>
      </c>
      <c r="H141" s="975"/>
      <c r="I141" s="1014"/>
      <c r="J141" s="975"/>
      <c r="K141" s="1014"/>
      <c r="L141" s="975"/>
      <c r="M141" s="1014"/>
      <c r="N141" s="968" t="s">
        <v>479</v>
      </c>
      <c r="O141" s="1014"/>
      <c r="P141" s="968" t="s">
        <v>1523</v>
      </c>
      <c r="Q141" s="1014"/>
      <c r="R141" s="1014"/>
      <c r="S141" s="1014"/>
      <c r="T141" s="968" t="s">
        <v>459</v>
      </c>
      <c r="U141" s="999"/>
    </row>
    <row r="142" spans="1:21" ht="18" customHeight="1" thickBot="1" x14ac:dyDescent="0.3">
      <c r="A142" s="584"/>
      <c r="B142" s="999"/>
      <c r="C142" s="1002"/>
      <c r="D142" s="995"/>
      <c r="E142" s="995"/>
      <c r="F142" s="999"/>
      <c r="G142" s="1045" t="s">
        <v>1407</v>
      </c>
      <c r="H142" s="975"/>
      <c r="I142" s="1014"/>
      <c r="J142" s="1001"/>
      <c r="K142" s="1014"/>
      <c r="L142" s="975"/>
      <c r="M142" s="1014"/>
      <c r="N142" s="968" t="s">
        <v>479</v>
      </c>
      <c r="O142" s="1014"/>
      <c r="P142" s="968" t="s">
        <v>1523</v>
      </c>
      <c r="Q142" s="1014"/>
      <c r="R142" s="1014"/>
      <c r="S142" s="1014"/>
      <c r="T142" s="1014"/>
      <c r="U142" s="999"/>
    </row>
    <row r="143" spans="1:21" ht="18" customHeight="1" thickBot="1" x14ac:dyDescent="0.3">
      <c r="A143" s="584"/>
      <c r="B143" s="999"/>
      <c r="C143" s="1007" t="s">
        <v>1403</v>
      </c>
      <c r="D143" s="1685" t="str">
        <f>AB12</f>
        <v/>
      </c>
      <c r="E143" s="1686"/>
      <c r="F143" s="999"/>
      <c r="G143" s="1045" t="s">
        <v>1408</v>
      </c>
      <c r="H143" s="975"/>
      <c r="I143" s="1014"/>
      <c r="J143" s="1004"/>
      <c r="K143" s="1014"/>
      <c r="L143" s="975"/>
      <c r="M143" s="1014"/>
      <c r="N143" s="968" t="s">
        <v>479</v>
      </c>
      <c r="O143" s="1014"/>
      <c r="P143" s="968" t="s">
        <v>1523</v>
      </c>
      <c r="Q143" s="1014"/>
      <c r="R143" s="1014"/>
      <c r="S143" s="1014"/>
      <c r="T143" s="1087" t="s">
        <v>1618</v>
      </c>
      <c r="U143" s="999"/>
    </row>
    <row r="144" spans="1:21" ht="18" customHeight="1" x14ac:dyDescent="0.25">
      <c r="A144" s="584"/>
      <c r="B144" s="999"/>
      <c r="C144" s="1002"/>
      <c r="D144" s="995"/>
      <c r="E144" s="995"/>
      <c r="F144" s="999"/>
      <c r="G144" s="1045" t="s">
        <v>1410</v>
      </c>
      <c r="H144" s="975"/>
      <c r="I144" s="1014"/>
      <c r="J144" s="1005"/>
      <c r="K144" s="1014"/>
      <c r="L144" s="975"/>
      <c r="M144" s="1014"/>
      <c r="N144" s="968" t="s">
        <v>479</v>
      </c>
      <c r="O144" s="1014"/>
      <c r="P144" s="968" t="s">
        <v>1523</v>
      </c>
      <c r="Q144" s="1014"/>
      <c r="R144" s="1014"/>
      <c r="S144" s="1014"/>
      <c r="T144" s="1088" t="s">
        <v>647</v>
      </c>
      <c r="U144" s="999"/>
    </row>
    <row r="145" spans="1:21" ht="18" customHeight="1" x14ac:dyDescent="0.25">
      <c r="A145" s="584"/>
      <c r="B145" s="999"/>
      <c r="C145" s="1002"/>
      <c r="D145" s="995"/>
      <c r="E145" s="995"/>
      <c r="F145" s="999"/>
      <c r="G145" s="1045" t="s">
        <v>1412</v>
      </c>
      <c r="H145" s="975"/>
      <c r="I145" s="1014"/>
      <c r="J145" s="1005"/>
      <c r="K145" s="1014"/>
      <c r="L145" s="975"/>
      <c r="M145" s="1014"/>
      <c r="N145" s="968" t="s">
        <v>479</v>
      </c>
      <c r="O145" s="1014"/>
      <c r="P145" s="968" t="s">
        <v>1523</v>
      </c>
      <c r="Q145" s="1014"/>
      <c r="R145" s="1014"/>
      <c r="S145" s="1014"/>
      <c r="T145" s="1014"/>
      <c r="U145" s="999"/>
    </row>
    <row r="146" spans="1:21" ht="15.75" thickBot="1" x14ac:dyDescent="0.3">
      <c r="A146" s="584"/>
      <c r="B146" s="999"/>
      <c r="C146" s="1002"/>
      <c r="D146" s="995"/>
      <c r="E146" s="995"/>
      <c r="F146" s="999"/>
      <c r="G146" s="1045"/>
      <c r="H146" s="999"/>
      <c r="I146" s="999"/>
      <c r="J146" s="999"/>
      <c r="K146" s="999"/>
      <c r="L146" s="999"/>
      <c r="M146" s="999"/>
      <c r="N146" s="999"/>
      <c r="O146" s="999"/>
      <c r="P146" s="999"/>
      <c r="Q146" s="999"/>
      <c r="R146" s="999"/>
      <c r="S146" s="999"/>
      <c r="T146" s="999"/>
      <c r="U146" s="999"/>
    </row>
    <row r="147" spans="1:21" ht="30.75" thickBot="1" x14ac:dyDescent="0.3">
      <c r="A147" s="584"/>
      <c r="B147" s="999"/>
      <c r="C147" s="1008" t="s">
        <v>1514</v>
      </c>
      <c r="D147" s="1673" t="s">
        <v>647</v>
      </c>
      <c r="E147" s="1674"/>
      <c r="F147" s="999"/>
      <c r="G147" s="1045"/>
      <c r="H147" s="1009" t="s">
        <v>1511</v>
      </c>
      <c r="I147" s="1014"/>
      <c r="J147" s="1010" t="s">
        <v>1525</v>
      </c>
      <c r="K147" s="1014"/>
      <c r="L147" s="1010" t="s">
        <v>1512</v>
      </c>
      <c r="M147" s="999"/>
      <c r="N147" s="999"/>
      <c r="O147" s="999"/>
      <c r="P147" s="999"/>
      <c r="Q147" s="999"/>
      <c r="R147" s="999"/>
      <c r="S147" s="999"/>
      <c r="T147" s="1010" t="s">
        <v>524</v>
      </c>
      <c r="U147" s="999"/>
    </row>
    <row r="148" spans="1:21" ht="15.75" thickBot="1" x14ac:dyDescent="0.3">
      <c r="A148" s="584"/>
      <c r="B148" s="999"/>
      <c r="C148" s="1002"/>
      <c r="D148" s="995"/>
      <c r="E148" s="995"/>
      <c r="F148" s="999"/>
      <c r="G148" s="1045"/>
      <c r="H148" s="996" t="s">
        <v>647</v>
      </c>
      <c r="I148" s="999"/>
      <c r="J148" s="953" t="s">
        <v>1513</v>
      </c>
      <c r="K148" s="999"/>
      <c r="L148" s="968" t="s">
        <v>1513</v>
      </c>
      <c r="M148" s="999"/>
      <c r="N148" s="999"/>
      <c r="O148" s="999"/>
      <c r="P148" s="999"/>
      <c r="Q148" s="999"/>
      <c r="R148" s="999"/>
      <c r="S148" s="999"/>
      <c r="T148" s="1040" t="str">
        <f>IF(Z12&lt;&gt;"","Yes","No")</f>
        <v>No</v>
      </c>
      <c r="U148" s="999"/>
    </row>
    <row r="149" spans="1:21" ht="16.5" customHeight="1" thickBot="1" x14ac:dyDescent="0.3">
      <c r="A149" s="584"/>
      <c r="B149" s="999"/>
      <c r="C149" s="1007" t="s">
        <v>1515</v>
      </c>
      <c r="D149" s="1683" t="s">
        <v>1544</v>
      </c>
      <c r="E149" s="1666"/>
      <c r="F149" s="999"/>
      <c r="G149" s="1045"/>
      <c r="H149" s="999"/>
      <c r="I149" s="999"/>
      <c r="J149" s="999"/>
      <c r="K149" s="999"/>
      <c r="L149" s="999"/>
      <c r="M149" s="999"/>
      <c r="N149" s="999"/>
      <c r="O149" s="999"/>
      <c r="P149" s="999"/>
      <c r="Q149" s="999"/>
      <c r="R149" s="999"/>
      <c r="S149" s="999"/>
      <c r="T149" s="999"/>
      <c r="U149" s="999"/>
    </row>
    <row r="150" spans="1:21" ht="20.25" customHeight="1" thickBot="1" x14ac:dyDescent="0.3">
      <c r="A150" s="584"/>
      <c r="B150" s="999"/>
      <c r="C150" s="999"/>
      <c r="D150" s="999"/>
      <c r="E150" s="999"/>
      <c r="F150" s="999"/>
      <c r="G150" s="1045"/>
      <c r="H150" s="999"/>
      <c r="I150" s="999"/>
      <c r="J150" s="999"/>
      <c r="K150" s="999"/>
      <c r="L150" s="999"/>
      <c r="M150" s="999"/>
      <c r="N150" s="999"/>
      <c r="O150" s="999"/>
      <c r="P150" s="999"/>
      <c r="Q150" s="999"/>
      <c r="R150" s="999"/>
      <c r="S150" s="999"/>
      <c r="T150" s="999"/>
      <c r="U150" s="999"/>
    </row>
    <row r="151" spans="1:21" ht="20.25" customHeight="1" thickBot="1" x14ac:dyDescent="0.3">
      <c r="A151" s="584"/>
      <c r="B151" s="1687" t="s">
        <v>1548</v>
      </c>
      <c r="C151" s="1665"/>
      <c r="D151" s="1665"/>
      <c r="E151" s="1665"/>
      <c r="F151" s="1665"/>
      <c r="G151" s="1665"/>
      <c r="H151" s="1665"/>
      <c r="I151" s="1665"/>
      <c r="J151" s="1665"/>
      <c r="K151" s="1665"/>
      <c r="L151" s="1665"/>
      <c r="M151" s="1665"/>
      <c r="N151" s="1665"/>
      <c r="O151" s="1665"/>
      <c r="P151" s="1665"/>
      <c r="Q151" s="1665"/>
      <c r="R151" s="1665"/>
      <c r="S151" s="1665"/>
      <c r="T151" s="1665"/>
      <c r="U151" s="1666"/>
    </row>
    <row r="152" spans="1:21" ht="15.75" thickBot="1" x14ac:dyDescent="0.3">
      <c r="A152" s="584"/>
      <c r="B152" s="999"/>
      <c r="C152" s="999"/>
      <c r="D152" s="999"/>
      <c r="E152" s="999"/>
      <c r="F152" s="999"/>
      <c r="G152" s="1045"/>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1400</v>
      </c>
      <c r="D153" s="1681" t="s">
        <v>1549</v>
      </c>
      <c r="E153" s="1682"/>
      <c r="F153" s="1014"/>
      <c r="G153" s="1046"/>
      <c r="H153" s="1010" t="s">
        <v>1397</v>
      </c>
      <c r="I153" s="1014"/>
      <c r="J153" s="1010" t="s">
        <v>1398</v>
      </c>
      <c r="K153" s="1014"/>
      <c r="L153" s="1010" t="s">
        <v>1414</v>
      </c>
      <c r="M153" s="1014"/>
      <c r="N153" s="1010" t="s">
        <v>1399</v>
      </c>
      <c r="O153" s="1014"/>
      <c r="P153" s="1010" t="s">
        <v>1505</v>
      </c>
      <c r="Q153" s="1014"/>
      <c r="R153" s="1010" t="s">
        <v>1506</v>
      </c>
      <c r="S153" s="1014"/>
      <c r="T153" s="1010" t="s">
        <v>1507</v>
      </c>
      <c r="U153" s="999"/>
    </row>
    <row r="154" spans="1:21" ht="18" customHeight="1" thickBot="1" x14ac:dyDescent="0.3">
      <c r="A154" s="584"/>
      <c r="B154" s="999"/>
      <c r="C154" s="1002"/>
      <c r="D154" s="1002"/>
      <c r="E154" s="1002"/>
      <c r="F154" s="1014"/>
      <c r="G154" s="1046"/>
      <c r="H154" s="952"/>
      <c r="I154" s="1014"/>
      <c r="J154" s="1000"/>
      <c r="K154" s="1014"/>
      <c r="L154" s="1000"/>
      <c r="M154" s="1014"/>
      <c r="N154" s="1044"/>
      <c r="O154" s="1014"/>
      <c r="P154" s="953" t="s">
        <v>1508</v>
      </c>
      <c r="Q154" s="1014"/>
      <c r="R154" s="953" t="s">
        <v>1509</v>
      </c>
      <c r="S154" s="1014"/>
      <c r="T154" s="996" t="s">
        <v>649</v>
      </c>
      <c r="U154" s="999"/>
    </row>
    <row r="155" spans="1:21" ht="28.5" customHeight="1" thickBot="1" x14ac:dyDescent="0.3">
      <c r="A155" s="584"/>
      <c r="B155" s="999"/>
      <c r="C155" s="1010" t="s">
        <v>1510</v>
      </c>
      <c r="D155" s="1683">
        <v>3401</v>
      </c>
      <c r="E155" s="1684"/>
      <c r="F155" s="1014"/>
      <c r="G155" s="1046"/>
      <c r="H155" s="1014"/>
      <c r="I155" s="1014"/>
      <c r="J155" s="1014"/>
      <c r="K155" s="1014"/>
      <c r="L155" s="1014"/>
      <c r="M155" s="1014"/>
      <c r="N155" s="1014"/>
      <c r="O155" s="1014"/>
      <c r="P155" s="1014"/>
      <c r="Q155" s="1014"/>
      <c r="R155" s="1014"/>
      <c r="S155" s="1014"/>
      <c r="T155" s="1014"/>
      <c r="U155" s="999"/>
    </row>
    <row r="156" spans="1:21" ht="15.75" thickBot="1" x14ac:dyDescent="0.3">
      <c r="A156" s="584"/>
      <c r="B156" s="999"/>
      <c r="C156" s="1002"/>
      <c r="D156" s="1002"/>
      <c r="E156" s="1002"/>
      <c r="F156" s="1014"/>
      <c r="G156" s="1046"/>
      <c r="H156" s="1014"/>
      <c r="I156" s="1014"/>
      <c r="J156" s="1014"/>
      <c r="K156" s="1014"/>
      <c r="L156" s="1010" t="s">
        <v>1406</v>
      </c>
      <c r="M156" s="1014"/>
      <c r="N156" s="1014"/>
      <c r="O156" s="1014"/>
      <c r="P156" s="1014"/>
      <c r="Q156" s="1014"/>
      <c r="R156" s="1014"/>
      <c r="S156" s="1014"/>
      <c r="T156" s="1014"/>
      <c r="U156" s="999"/>
    </row>
    <row r="157" spans="1:21" ht="18" customHeight="1" thickBot="1" x14ac:dyDescent="0.3">
      <c r="A157" s="584"/>
      <c r="B157" s="999"/>
      <c r="C157" s="1007" t="s">
        <v>1402</v>
      </c>
      <c r="D157" s="1685" t="str">
        <f>AA13</f>
        <v/>
      </c>
      <c r="E157" s="1686"/>
      <c r="F157" s="1014"/>
      <c r="G157" s="1046"/>
      <c r="H157" s="1014"/>
      <c r="I157" s="1014"/>
      <c r="J157" s="1014"/>
      <c r="K157" s="1014"/>
      <c r="L157" s="975"/>
      <c r="M157" s="1014"/>
      <c r="N157" s="1014"/>
      <c r="O157" s="1014"/>
      <c r="P157" s="1014"/>
      <c r="Q157" s="1014"/>
      <c r="R157" s="1014"/>
      <c r="S157" s="1014"/>
      <c r="T157" s="1014"/>
      <c r="U157" s="999"/>
    </row>
    <row r="158" spans="1:21" ht="15.75" thickBot="1" x14ac:dyDescent="0.3">
      <c r="A158" s="584"/>
      <c r="B158" s="999"/>
      <c r="C158" s="1002"/>
      <c r="D158" s="995"/>
      <c r="E158" s="995"/>
      <c r="F158" s="1014"/>
      <c r="G158" s="1046"/>
      <c r="H158" s="1014"/>
      <c r="I158" s="1014"/>
      <c r="J158" s="1014"/>
      <c r="K158" s="1014"/>
      <c r="L158" s="1014"/>
      <c r="M158" s="1014"/>
      <c r="N158" s="1014"/>
      <c r="O158" s="1014"/>
      <c r="P158" s="1014"/>
      <c r="Q158" s="1014"/>
      <c r="R158" s="1014"/>
      <c r="S158" s="1014"/>
      <c r="T158" s="1014"/>
      <c r="U158" s="999"/>
    </row>
    <row r="159" spans="1:21" ht="30.75" thickBot="1" x14ac:dyDescent="0.3">
      <c r="A159" s="584"/>
      <c r="B159" s="999"/>
      <c r="C159" s="1007" t="s">
        <v>1403</v>
      </c>
      <c r="D159" s="1685" t="str">
        <f>AB13</f>
        <v/>
      </c>
      <c r="E159" s="1686"/>
      <c r="F159" s="1014"/>
      <c r="G159" s="1046"/>
      <c r="H159" s="1009" t="s">
        <v>1511</v>
      </c>
      <c r="I159" s="1014"/>
      <c r="J159" s="1014"/>
      <c r="K159" s="1014"/>
      <c r="L159" s="1010" t="s">
        <v>1512</v>
      </c>
      <c r="M159" s="1014"/>
      <c r="N159" s="1014"/>
      <c r="O159" s="1014"/>
      <c r="P159" s="1014"/>
      <c r="Q159" s="1014"/>
      <c r="R159" s="1014"/>
      <c r="S159" s="1014"/>
      <c r="T159" s="1087" t="s">
        <v>1618</v>
      </c>
      <c r="U159" s="999"/>
    </row>
    <row r="160" spans="1:21" ht="15.75" thickBot="1" x14ac:dyDescent="0.3">
      <c r="A160" s="584"/>
      <c r="B160" s="999"/>
      <c r="C160" s="1002"/>
      <c r="D160" s="1002"/>
      <c r="E160" s="1002"/>
      <c r="F160" s="1014"/>
      <c r="G160" s="1046"/>
      <c r="H160" s="996" t="s">
        <v>647</v>
      </c>
      <c r="I160" s="1014"/>
      <c r="J160" s="1014"/>
      <c r="K160" s="1014"/>
      <c r="L160" s="968" t="s">
        <v>1856</v>
      </c>
      <c r="M160" s="1014"/>
      <c r="N160" s="1014"/>
      <c r="O160" s="1014"/>
      <c r="P160" s="1014"/>
      <c r="Q160" s="1014"/>
      <c r="R160" s="1014"/>
      <c r="S160" s="1014"/>
      <c r="T160" s="1088" t="s">
        <v>647</v>
      </c>
      <c r="U160" s="999"/>
    </row>
    <row r="161" spans="1:21" ht="30" customHeight="1" thickBot="1" x14ac:dyDescent="0.3">
      <c r="A161" s="584"/>
      <c r="B161" s="999"/>
      <c r="C161" s="1008" t="s">
        <v>1514</v>
      </c>
      <c r="D161" s="1673" t="s">
        <v>647</v>
      </c>
      <c r="E161" s="1674"/>
      <c r="F161" s="1014"/>
      <c r="G161" s="1046"/>
      <c r="H161" s="1014"/>
      <c r="I161" s="1014"/>
      <c r="J161" s="1014"/>
      <c r="K161" s="1014"/>
      <c r="L161" s="1014"/>
      <c r="M161" s="1014"/>
      <c r="N161" s="1014"/>
      <c r="O161" s="1014"/>
      <c r="P161" s="1014"/>
      <c r="Q161" s="1014"/>
      <c r="R161" s="1014"/>
      <c r="S161" s="1014"/>
      <c r="T161" s="1014"/>
      <c r="U161" s="999"/>
    </row>
    <row r="162" spans="1:21" ht="15.75" thickBot="1" x14ac:dyDescent="0.3">
      <c r="A162" s="584"/>
      <c r="B162" s="999"/>
      <c r="C162" s="1002"/>
      <c r="D162" s="1002"/>
      <c r="E162" s="1002"/>
      <c r="F162" s="1014"/>
      <c r="G162" s="1046"/>
      <c r="H162" s="1014"/>
      <c r="I162" s="1014"/>
      <c r="J162" s="1014"/>
      <c r="K162" s="1014"/>
      <c r="L162" s="1014"/>
      <c r="M162" s="1014"/>
      <c r="N162" s="1014"/>
      <c r="O162" s="1014"/>
      <c r="P162" s="1014"/>
      <c r="Q162" s="1014"/>
      <c r="R162" s="1014"/>
      <c r="S162" s="1014"/>
      <c r="T162" s="1010" t="s">
        <v>524</v>
      </c>
      <c r="U162" s="999"/>
    </row>
    <row r="163" spans="1:21" ht="18" customHeight="1" thickBot="1" x14ac:dyDescent="0.3">
      <c r="A163" s="584"/>
      <c r="B163" s="999"/>
      <c r="C163" s="1007" t="s">
        <v>1515</v>
      </c>
      <c r="D163" s="1683" t="s">
        <v>1550</v>
      </c>
      <c r="E163" s="1666"/>
      <c r="F163" s="1014"/>
      <c r="G163" s="1046"/>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4"/>
      <c r="B164" s="999"/>
      <c r="C164" s="995"/>
      <c r="D164" s="995"/>
      <c r="E164" s="995"/>
      <c r="F164" s="999"/>
      <c r="G164" s="1045"/>
      <c r="H164" s="999"/>
      <c r="I164" s="999"/>
      <c r="J164" s="999"/>
      <c r="K164" s="999"/>
      <c r="L164" s="999"/>
      <c r="M164" s="999"/>
      <c r="N164" s="999"/>
      <c r="O164" s="999"/>
      <c r="P164" s="999"/>
      <c r="Q164" s="999"/>
      <c r="R164" s="999"/>
      <c r="S164" s="999"/>
      <c r="T164" s="999"/>
      <c r="U164" s="999"/>
    </row>
    <row r="165" spans="1:21" ht="15.75" thickBot="1" x14ac:dyDescent="0.3">
      <c r="A165" s="584"/>
      <c r="B165" s="1687" t="s">
        <v>1551</v>
      </c>
      <c r="C165" s="1665"/>
      <c r="D165" s="1665"/>
      <c r="E165" s="1665"/>
      <c r="F165" s="1665"/>
      <c r="G165" s="1665"/>
      <c r="H165" s="1665"/>
      <c r="I165" s="1665"/>
      <c r="J165" s="1665"/>
      <c r="K165" s="1665"/>
      <c r="L165" s="1665"/>
      <c r="M165" s="1665"/>
      <c r="N165" s="1665"/>
      <c r="O165" s="1665"/>
      <c r="P165" s="1665"/>
      <c r="Q165" s="1665"/>
      <c r="R165" s="1665"/>
      <c r="S165" s="1665"/>
      <c r="T165" s="1665"/>
      <c r="U165" s="1666"/>
    </row>
    <row r="166" spans="1:21" ht="15.75" thickBot="1" x14ac:dyDescent="0.3">
      <c r="A166" s="584"/>
      <c r="B166" s="1014"/>
      <c r="C166" s="1014"/>
      <c r="D166" s="1014"/>
      <c r="E166" s="1014"/>
      <c r="F166" s="1014"/>
      <c r="G166" s="1046"/>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1400</v>
      </c>
      <c r="D167" s="1681" t="s">
        <v>1549</v>
      </c>
      <c r="E167" s="1682"/>
      <c r="F167" s="1014"/>
      <c r="G167" s="1046"/>
      <c r="H167" s="1010" t="s">
        <v>1397</v>
      </c>
      <c r="I167" s="1014"/>
      <c r="J167" s="1010" t="s">
        <v>1398</v>
      </c>
      <c r="K167" s="1014"/>
      <c r="L167" s="1010" t="s">
        <v>1414</v>
      </c>
      <c r="M167" s="1014"/>
      <c r="N167" s="1010" t="s">
        <v>1399</v>
      </c>
      <c r="O167" s="1014"/>
      <c r="P167" s="1010" t="s">
        <v>1505</v>
      </c>
      <c r="Q167" s="1014"/>
      <c r="R167" s="1010" t="s">
        <v>1506</v>
      </c>
      <c r="S167" s="1014"/>
      <c r="T167" s="1010" t="s">
        <v>1507</v>
      </c>
      <c r="U167" s="1014"/>
    </row>
    <row r="168" spans="1:21" ht="15.75" thickBot="1" x14ac:dyDescent="0.3">
      <c r="A168" s="584"/>
      <c r="B168" s="1014"/>
      <c r="C168" s="1002"/>
      <c r="D168" s="1002"/>
      <c r="E168" s="1002"/>
      <c r="F168" s="1014"/>
      <c r="G168" s="1046"/>
      <c r="H168" s="952"/>
      <c r="I168" s="1014"/>
      <c r="J168" s="1000"/>
      <c r="K168" s="1014"/>
      <c r="L168" s="1000"/>
      <c r="M168" s="1014"/>
      <c r="N168" s="1044"/>
      <c r="O168" s="1014"/>
      <c r="P168" s="953" t="s">
        <v>1508</v>
      </c>
      <c r="Q168" s="1014"/>
      <c r="R168" s="953" t="s">
        <v>1509</v>
      </c>
      <c r="S168" s="1014"/>
      <c r="T168" s="996" t="s">
        <v>649</v>
      </c>
      <c r="U168" s="1014"/>
    </row>
    <row r="169" spans="1:21" ht="30.75" thickBot="1" x14ac:dyDescent="0.3">
      <c r="A169" s="584"/>
      <c r="B169" s="1014"/>
      <c r="C169" s="1007" t="s">
        <v>1510</v>
      </c>
      <c r="D169" s="1683">
        <v>3402</v>
      </c>
      <c r="E169" s="1684"/>
      <c r="F169" s="1014"/>
      <c r="G169" s="1046"/>
      <c r="H169" s="1014"/>
      <c r="I169" s="1014"/>
      <c r="J169" s="1014"/>
      <c r="K169" s="1014"/>
      <c r="L169" s="1014"/>
      <c r="M169" s="1014"/>
      <c r="N169" s="1014"/>
      <c r="O169" s="1014"/>
      <c r="P169" s="1014"/>
      <c r="Q169" s="1014"/>
      <c r="R169" s="1014"/>
      <c r="S169" s="1014"/>
      <c r="T169" s="1014"/>
      <c r="U169" s="1014"/>
    </row>
    <row r="170" spans="1:21" ht="15.75" thickBot="1" x14ac:dyDescent="0.3">
      <c r="A170" s="584"/>
      <c r="B170" s="1014"/>
      <c r="C170" s="1002"/>
      <c r="D170" s="1002"/>
      <c r="E170" s="1002"/>
      <c r="F170" s="1014"/>
      <c r="G170" s="1046"/>
      <c r="H170" s="1014"/>
      <c r="I170" s="1014"/>
      <c r="J170" s="1014"/>
      <c r="K170" s="1014"/>
      <c r="L170" s="1010" t="s">
        <v>1406</v>
      </c>
      <c r="M170" s="1014"/>
      <c r="N170" s="1014"/>
      <c r="O170" s="1014"/>
      <c r="P170" s="1014"/>
      <c r="Q170" s="1014"/>
      <c r="R170" s="1014"/>
      <c r="S170" s="1014"/>
      <c r="T170" s="1014"/>
      <c r="U170" s="1014"/>
    </row>
    <row r="171" spans="1:21" ht="18" customHeight="1" thickBot="1" x14ac:dyDescent="0.3">
      <c r="A171" s="584"/>
      <c r="B171" s="1014"/>
      <c r="C171" s="1007" t="s">
        <v>1402</v>
      </c>
      <c r="D171" s="1685" t="str">
        <f>AA14</f>
        <v/>
      </c>
      <c r="E171" s="1686"/>
      <c r="F171" s="1014"/>
      <c r="G171" s="1046"/>
      <c r="H171" s="1014"/>
      <c r="I171" s="1014"/>
      <c r="J171" s="1014"/>
      <c r="K171" s="1014"/>
      <c r="L171" s="975"/>
      <c r="M171" s="1014"/>
      <c r="N171" s="1014"/>
      <c r="O171" s="1014"/>
      <c r="P171" s="1014"/>
      <c r="Q171" s="1014"/>
      <c r="R171" s="1014"/>
      <c r="S171" s="1014"/>
      <c r="T171" s="1014"/>
      <c r="U171" s="1014"/>
    </row>
    <row r="172" spans="1:21" ht="15.75" thickBot="1" x14ac:dyDescent="0.3">
      <c r="A172" s="584"/>
      <c r="B172" s="1014"/>
      <c r="C172" s="1002"/>
      <c r="D172" s="995"/>
      <c r="E172" s="995"/>
      <c r="F172" s="1014"/>
      <c r="G172" s="1046"/>
      <c r="H172" s="1014"/>
      <c r="I172" s="1014"/>
      <c r="J172" s="1014"/>
      <c r="K172" s="1014"/>
      <c r="L172" s="1014"/>
      <c r="M172" s="1014"/>
      <c r="N172" s="1014"/>
      <c r="O172" s="1014"/>
      <c r="P172" s="1014"/>
      <c r="Q172" s="1014"/>
      <c r="R172" s="1014"/>
      <c r="S172" s="1014"/>
      <c r="T172" s="1014"/>
      <c r="U172" s="1014"/>
    </row>
    <row r="173" spans="1:21" ht="30.75" thickBot="1" x14ac:dyDescent="0.3">
      <c r="A173" s="584"/>
      <c r="B173" s="1014"/>
      <c r="C173" s="1007" t="s">
        <v>1403</v>
      </c>
      <c r="D173" s="1685" t="str">
        <f>AB14</f>
        <v/>
      </c>
      <c r="E173" s="1686"/>
      <c r="F173" s="1014"/>
      <c r="G173" s="1046"/>
      <c r="H173" s="1009" t="s">
        <v>1511</v>
      </c>
      <c r="I173" s="1014"/>
      <c r="J173" s="1014"/>
      <c r="K173" s="1014"/>
      <c r="L173" s="1010" t="s">
        <v>1512</v>
      </c>
      <c r="M173" s="1014"/>
      <c r="N173" s="1014"/>
      <c r="O173" s="1014"/>
      <c r="P173" s="1014"/>
      <c r="Q173" s="1014"/>
      <c r="R173" s="1014"/>
      <c r="S173" s="1014"/>
      <c r="T173" s="1087" t="s">
        <v>1618</v>
      </c>
      <c r="U173" s="1014"/>
    </row>
    <row r="174" spans="1:21" ht="15.75" thickBot="1" x14ac:dyDescent="0.3">
      <c r="A174" s="584"/>
      <c r="B174" s="1014"/>
      <c r="C174" s="1002"/>
      <c r="D174" s="1002"/>
      <c r="E174" s="1002"/>
      <c r="F174" s="1014"/>
      <c r="G174" s="1046"/>
      <c r="H174" s="996" t="s">
        <v>647</v>
      </c>
      <c r="I174" s="1014"/>
      <c r="J174" s="1014"/>
      <c r="K174" s="1014"/>
      <c r="L174" s="1040" t="s">
        <v>1856</v>
      </c>
      <c r="M174" s="1014"/>
      <c r="N174" s="1014"/>
      <c r="O174" s="1014"/>
      <c r="P174" s="1014"/>
      <c r="Q174" s="1014"/>
      <c r="R174" s="1014"/>
      <c r="S174" s="1014"/>
      <c r="T174" s="1088" t="s">
        <v>647</v>
      </c>
      <c r="U174" s="1014"/>
    </row>
    <row r="175" spans="1:21" ht="30" customHeight="1" thickBot="1" x14ac:dyDescent="0.3">
      <c r="A175" s="584"/>
      <c r="B175" s="1014"/>
      <c r="C175" s="1008" t="s">
        <v>1514</v>
      </c>
      <c r="D175" s="1673" t="s">
        <v>647</v>
      </c>
      <c r="E175" s="1674"/>
      <c r="F175" s="1014"/>
      <c r="G175" s="1046"/>
      <c r="H175" s="1014"/>
      <c r="I175" s="1014"/>
      <c r="J175" s="1014"/>
      <c r="K175" s="1014"/>
      <c r="L175" s="1014"/>
      <c r="M175" s="1014"/>
      <c r="N175" s="1014"/>
      <c r="O175" s="1014"/>
      <c r="P175" s="1014"/>
      <c r="Q175" s="1014"/>
      <c r="R175" s="1014"/>
      <c r="S175" s="1014"/>
      <c r="T175" s="1014"/>
      <c r="U175" s="1014"/>
    </row>
    <row r="176" spans="1:21" ht="15.75" thickBot="1" x14ac:dyDescent="0.3">
      <c r="A176" s="584"/>
      <c r="B176" s="1014"/>
      <c r="C176" s="1002"/>
      <c r="D176" s="1002"/>
      <c r="E176" s="1002"/>
      <c r="F176" s="1014"/>
      <c r="G176" s="1046"/>
      <c r="H176" s="1014"/>
      <c r="I176" s="1014"/>
      <c r="J176" s="1014"/>
      <c r="K176" s="1014"/>
      <c r="L176" s="1014"/>
      <c r="M176" s="1014"/>
      <c r="N176" s="1014"/>
      <c r="O176" s="1014"/>
      <c r="P176" s="1014"/>
      <c r="Q176" s="1014"/>
      <c r="R176" s="1014"/>
      <c r="S176" s="1014"/>
      <c r="T176" s="1010" t="s">
        <v>524</v>
      </c>
      <c r="U176" s="1014"/>
    </row>
    <row r="177" spans="1:21" ht="15.75" thickBot="1" x14ac:dyDescent="0.3">
      <c r="A177" s="584"/>
      <c r="B177" s="1014"/>
      <c r="C177" s="1007" t="s">
        <v>1515</v>
      </c>
      <c r="D177" s="1683" t="s">
        <v>1550</v>
      </c>
      <c r="E177" s="1666"/>
      <c r="F177" s="1014"/>
      <c r="G177" s="1046"/>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4"/>
      <c r="B178" s="1014"/>
      <c r="C178" s="1014"/>
      <c r="D178" s="1014"/>
      <c r="E178" s="1014"/>
      <c r="F178" s="1014"/>
      <c r="G178" s="1046"/>
      <c r="H178" s="1014"/>
      <c r="I178" s="1014"/>
      <c r="J178" s="1014"/>
      <c r="K178" s="1014"/>
      <c r="L178" s="1014"/>
      <c r="M178" s="1014"/>
      <c r="N178" s="1014"/>
      <c r="O178" s="1014"/>
      <c r="P178" s="1014"/>
      <c r="Q178" s="1014"/>
      <c r="R178" s="1014"/>
      <c r="S178" s="1014"/>
      <c r="T178" s="1014"/>
      <c r="U178" s="1014"/>
    </row>
    <row r="179" spans="1:21" ht="20.25" customHeight="1" thickBot="1" x14ac:dyDescent="0.3">
      <c r="A179" s="584"/>
      <c r="B179" s="1687" t="s">
        <v>1552</v>
      </c>
      <c r="C179" s="1665"/>
      <c r="D179" s="1665"/>
      <c r="E179" s="1665"/>
      <c r="F179" s="1665"/>
      <c r="G179" s="1665"/>
      <c r="H179" s="1665"/>
      <c r="I179" s="1665"/>
      <c r="J179" s="1665"/>
      <c r="K179" s="1665"/>
      <c r="L179" s="1665"/>
      <c r="M179" s="1665"/>
      <c r="N179" s="1665"/>
      <c r="O179" s="1665"/>
      <c r="P179" s="1665"/>
      <c r="Q179" s="1665"/>
      <c r="R179" s="1665"/>
      <c r="S179" s="1665"/>
      <c r="T179" s="1665"/>
      <c r="U179" s="1666"/>
    </row>
    <row r="180" spans="1:21" ht="15.75" thickBot="1" x14ac:dyDescent="0.3">
      <c r="A180" s="584"/>
      <c r="B180" s="1014"/>
      <c r="C180" s="1014"/>
      <c r="D180" s="1014"/>
      <c r="E180" s="1014"/>
      <c r="F180" s="1014"/>
      <c r="G180" s="1046"/>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1400</v>
      </c>
      <c r="D181" s="1681" t="s">
        <v>1553</v>
      </c>
      <c r="E181" s="1682"/>
      <c r="F181" s="1014"/>
      <c r="G181" s="1046"/>
      <c r="H181" s="1010" t="s">
        <v>1397</v>
      </c>
      <c r="I181" s="1014"/>
      <c r="J181" s="1010" t="s">
        <v>1398</v>
      </c>
      <c r="K181" s="1014"/>
      <c r="L181" s="1010" t="s">
        <v>1414</v>
      </c>
      <c r="M181" s="1014"/>
      <c r="N181" s="1010" t="s">
        <v>1399</v>
      </c>
      <c r="O181" s="1014"/>
      <c r="P181" s="1010" t="s">
        <v>1505</v>
      </c>
      <c r="Q181" s="1014"/>
      <c r="R181" s="1010" t="s">
        <v>1506</v>
      </c>
      <c r="S181" s="1014"/>
      <c r="T181" s="1010" t="s">
        <v>1507</v>
      </c>
      <c r="U181" s="1014"/>
    </row>
    <row r="182" spans="1:21" ht="15.75" thickBot="1" x14ac:dyDescent="0.3">
      <c r="A182" s="584"/>
      <c r="B182" s="1014"/>
      <c r="C182" s="1002"/>
      <c r="D182" s="1002"/>
      <c r="E182" s="1002"/>
      <c r="F182" s="1014"/>
      <c r="G182" s="1046"/>
      <c r="H182" s="952"/>
      <c r="I182" s="1014"/>
      <c r="J182" s="1000"/>
      <c r="K182" s="1014"/>
      <c r="L182" s="1000"/>
      <c r="M182" s="1014"/>
      <c r="N182" s="1044"/>
      <c r="O182" s="1014"/>
      <c r="P182" s="953" t="s">
        <v>1508</v>
      </c>
      <c r="Q182" s="1014"/>
      <c r="R182" s="953" t="s">
        <v>1509</v>
      </c>
      <c r="S182" s="1014"/>
      <c r="T182" s="996" t="s">
        <v>649</v>
      </c>
      <c r="U182" s="1014"/>
    </row>
    <row r="183" spans="1:21" ht="30.75" thickBot="1" x14ac:dyDescent="0.3">
      <c r="A183" s="584"/>
      <c r="B183" s="1014"/>
      <c r="C183" s="1007" t="s">
        <v>1510</v>
      </c>
      <c r="D183" s="1683">
        <v>3501</v>
      </c>
      <c r="E183" s="1684"/>
      <c r="F183" s="1014"/>
      <c r="G183" s="1046"/>
      <c r="H183" s="1014"/>
      <c r="I183" s="1014"/>
      <c r="J183" s="1014"/>
      <c r="K183" s="1014"/>
      <c r="L183" s="1014"/>
      <c r="M183" s="1014"/>
      <c r="N183" s="1014"/>
      <c r="O183" s="1014"/>
      <c r="P183" s="1014"/>
      <c r="Q183" s="1014"/>
      <c r="R183" s="1014"/>
      <c r="S183" s="1014"/>
      <c r="T183" s="1014"/>
      <c r="U183" s="1014"/>
    </row>
    <row r="184" spans="1:21" ht="30.75" thickBot="1" x14ac:dyDescent="0.3">
      <c r="A184" s="584"/>
      <c r="B184" s="1014"/>
      <c r="C184" s="1002"/>
      <c r="D184" s="1002"/>
      <c r="E184" s="1002"/>
      <c r="F184" s="1014"/>
      <c r="G184" s="1046"/>
      <c r="H184" s="1011" t="s">
        <v>1404</v>
      </c>
      <c r="I184" s="1014"/>
      <c r="J184" s="1010" t="s">
        <v>1405</v>
      </c>
      <c r="K184" s="1014"/>
      <c r="L184" s="1010" t="s">
        <v>1406</v>
      </c>
      <c r="M184" s="1014"/>
      <c r="N184" s="1010" t="s">
        <v>1520</v>
      </c>
      <c r="O184" s="1014"/>
      <c r="P184" s="1010" t="s">
        <v>1521</v>
      </c>
      <c r="Q184" s="1014"/>
      <c r="R184" s="1010" t="s">
        <v>1522</v>
      </c>
      <c r="S184" s="1014"/>
      <c r="T184" s="1014"/>
      <c r="U184" s="1014"/>
    </row>
    <row r="185" spans="1:21" ht="18" customHeight="1" thickBot="1" x14ac:dyDescent="0.3">
      <c r="A185" s="584"/>
      <c r="B185" s="1014"/>
      <c r="C185" s="1007" t="s">
        <v>1402</v>
      </c>
      <c r="D185" s="1685" t="str">
        <f>AA15</f>
        <v/>
      </c>
      <c r="E185" s="1686"/>
      <c r="F185" s="1014"/>
      <c r="G185" s="1046" t="s">
        <v>1003</v>
      </c>
      <c r="H185" s="975"/>
      <c r="I185" s="1014"/>
      <c r="J185" s="1015"/>
      <c r="K185" s="1014"/>
      <c r="L185" s="975"/>
      <c r="M185" s="1014"/>
      <c r="N185" s="968" t="s">
        <v>479</v>
      </c>
      <c r="O185" s="1014"/>
      <c r="P185" s="968" t="s">
        <v>1157</v>
      </c>
      <c r="Q185" s="1014"/>
      <c r="R185" s="968" t="s">
        <v>1524</v>
      </c>
      <c r="S185" s="1014"/>
      <c r="T185" s="1014"/>
      <c r="U185" s="1014"/>
    </row>
    <row r="186" spans="1:21" ht="15.75" thickBot="1" x14ac:dyDescent="0.3">
      <c r="A186" s="584"/>
      <c r="B186" s="1014"/>
      <c r="C186" s="1002"/>
      <c r="D186" s="995"/>
      <c r="E186" s="995"/>
      <c r="F186" s="1014"/>
      <c r="G186" s="1046"/>
      <c r="H186" s="1014"/>
      <c r="I186" s="1014"/>
      <c r="J186" s="1014"/>
      <c r="K186" s="1014"/>
      <c r="L186" s="1014"/>
      <c r="M186" s="1014"/>
      <c r="N186" s="1014"/>
      <c r="O186" s="1014"/>
      <c r="P186" s="1014"/>
      <c r="Q186" s="1014"/>
      <c r="R186" s="1014"/>
      <c r="S186" s="1014"/>
      <c r="T186" s="1014"/>
      <c r="U186" s="1014"/>
    </row>
    <row r="187" spans="1:21" ht="30.75" thickBot="1" x14ac:dyDescent="0.3">
      <c r="A187" s="584"/>
      <c r="B187" s="1014"/>
      <c r="C187" s="1007" t="s">
        <v>1403</v>
      </c>
      <c r="D187" s="1685" t="str">
        <f>AB15</f>
        <v/>
      </c>
      <c r="E187" s="1686"/>
      <c r="F187" s="1014"/>
      <c r="G187" s="1046"/>
      <c r="H187" s="1009" t="s">
        <v>1511</v>
      </c>
      <c r="I187" s="1014"/>
      <c r="J187" s="1010" t="s">
        <v>1525</v>
      </c>
      <c r="K187" s="1014"/>
      <c r="L187" s="1010" t="s">
        <v>1512</v>
      </c>
      <c r="M187" s="1014"/>
      <c r="N187" s="1010" t="s">
        <v>1526</v>
      </c>
      <c r="O187" s="1014"/>
      <c r="P187" s="1010" t="s">
        <v>1527</v>
      </c>
      <c r="Q187" s="1014"/>
      <c r="R187" s="1014"/>
      <c r="S187" s="1014"/>
      <c r="T187" s="1087" t="s">
        <v>1618</v>
      </c>
      <c r="U187" s="1014"/>
    </row>
    <row r="188" spans="1:21" ht="15.75" thickBot="1" x14ac:dyDescent="0.3">
      <c r="A188" s="584"/>
      <c r="B188" s="1014"/>
      <c r="C188" s="1002"/>
      <c r="D188" s="1002"/>
      <c r="E188" s="1002"/>
      <c r="F188" s="1014"/>
      <c r="G188" s="1046"/>
      <c r="H188" s="996" t="s">
        <v>647</v>
      </c>
      <c r="I188" s="1014"/>
      <c r="J188" s="953" t="s">
        <v>1513</v>
      </c>
      <c r="K188" s="1014"/>
      <c r="L188" s="1040" t="s">
        <v>1856</v>
      </c>
      <c r="M188" s="1014"/>
      <c r="N188" s="968" t="s">
        <v>647</v>
      </c>
      <c r="O188" s="1014"/>
      <c r="P188" s="968" t="s">
        <v>649</v>
      </c>
      <c r="Q188" s="1014"/>
      <c r="R188" s="1014"/>
      <c r="S188" s="1014"/>
      <c r="T188" s="1088" t="s">
        <v>647</v>
      </c>
      <c r="U188" s="1014"/>
    </row>
    <row r="189" spans="1:21" ht="30" customHeight="1" thickBot="1" x14ac:dyDescent="0.3">
      <c r="A189" s="584"/>
      <c r="B189" s="1014"/>
      <c r="C189" s="1008" t="s">
        <v>1514</v>
      </c>
      <c r="D189" s="1673" t="s">
        <v>647</v>
      </c>
      <c r="E189" s="1674"/>
      <c r="F189" s="1014"/>
      <c r="G189" s="1046"/>
      <c r="H189" s="1014"/>
      <c r="I189" s="1014"/>
      <c r="J189" s="1014"/>
      <c r="K189" s="1014"/>
      <c r="L189" s="1014"/>
      <c r="M189" s="1014"/>
      <c r="N189" s="1014"/>
      <c r="O189" s="1014"/>
      <c r="P189" s="1014"/>
      <c r="Q189" s="1014"/>
      <c r="R189" s="1014"/>
      <c r="S189" s="1014"/>
      <c r="T189" s="1014"/>
      <c r="U189" s="1014"/>
    </row>
    <row r="190" spans="1:21" ht="15.75" thickBot="1" x14ac:dyDescent="0.3">
      <c r="A190" s="584"/>
      <c r="B190" s="1014"/>
      <c r="C190" s="1002"/>
      <c r="D190" s="1002"/>
      <c r="E190" s="1002"/>
      <c r="F190" s="1014"/>
      <c r="G190" s="1046"/>
      <c r="H190" s="1014"/>
      <c r="I190" s="1014"/>
      <c r="J190" s="1014"/>
      <c r="K190" s="1014"/>
      <c r="L190" s="1014"/>
      <c r="M190" s="1014"/>
      <c r="N190" s="1014"/>
      <c r="O190" s="1014"/>
      <c r="P190" s="1014"/>
      <c r="Q190" s="1014"/>
      <c r="R190" s="1014"/>
      <c r="S190" s="1014"/>
      <c r="T190" s="1010" t="s">
        <v>524</v>
      </c>
      <c r="U190" s="1014"/>
    </row>
    <row r="191" spans="1:21" ht="15.75" thickBot="1" x14ac:dyDescent="0.3">
      <c r="A191" s="584"/>
      <c r="B191" s="1014"/>
      <c r="C191" s="1007" t="s">
        <v>1515</v>
      </c>
      <c r="D191" s="1683" t="s">
        <v>1550</v>
      </c>
      <c r="E191" s="1666"/>
      <c r="F191" s="1014"/>
      <c r="G191" s="1046"/>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4"/>
      <c r="B192" s="1014"/>
      <c r="C192" s="1014"/>
      <c r="D192" s="1014"/>
      <c r="E192" s="1014"/>
      <c r="F192" s="1014"/>
      <c r="G192" s="1046"/>
      <c r="H192" s="1014"/>
      <c r="I192" s="1014"/>
      <c r="J192" s="1014"/>
      <c r="K192" s="1014"/>
      <c r="L192" s="1014"/>
      <c r="M192" s="1014"/>
      <c r="N192" s="1014"/>
      <c r="O192" s="1014"/>
      <c r="P192" s="1014"/>
      <c r="Q192" s="1014"/>
      <c r="R192" s="1014"/>
      <c r="S192" s="1014"/>
      <c r="T192" s="1014"/>
      <c r="U192" s="1014"/>
    </row>
    <row r="193" spans="1:21" ht="19.5" customHeight="1" thickBot="1" x14ac:dyDescent="0.3">
      <c r="A193" s="584"/>
      <c r="B193" s="1687" t="s">
        <v>1554</v>
      </c>
      <c r="C193" s="1665"/>
      <c r="D193" s="1665"/>
      <c r="E193" s="1665"/>
      <c r="F193" s="1665"/>
      <c r="G193" s="1665"/>
      <c r="H193" s="1665"/>
      <c r="I193" s="1665"/>
      <c r="J193" s="1665"/>
      <c r="K193" s="1665"/>
      <c r="L193" s="1665"/>
      <c r="M193" s="1665"/>
      <c r="N193" s="1665"/>
      <c r="O193" s="1665"/>
      <c r="P193" s="1665"/>
      <c r="Q193" s="1665"/>
      <c r="R193" s="1665"/>
      <c r="S193" s="1665"/>
      <c r="T193" s="1665"/>
      <c r="U193" s="1666"/>
    </row>
    <row r="194" spans="1:21" ht="15.75" thickBot="1" x14ac:dyDescent="0.3">
      <c r="A194" s="584"/>
      <c r="B194" s="1014"/>
      <c r="C194" s="1014"/>
      <c r="D194" s="1014"/>
      <c r="E194" s="1014"/>
      <c r="F194" s="1014"/>
      <c r="G194" s="1046"/>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1400</v>
      </c>
      <c r="D195" s="1681" t="s">
        <v>1553</v>
      </c>
      <c r="E195" s="1682"/>
      <c r="F195" s="1014"/>
      <c r="G195" s="1046"/>
      <c r="H195" s="1010" t="s">
        <v>1397</v>
      </c>
      <c r="I195" s="1014"/>
      <c r="J195" s="1010" t="s">
        <v>1398</v>
      </c>
      <c r="K195" s="1014"/>
      <c r="L195" s="1010" t="s">
        <v>1414</v>
      </c>
      <c r="M195" s="1014"/>
      <c r="N195" s="1010" t="s">
        <v>1399</v>
      </c>
      <c r="O195" s="1014"/>
      <c r="P195" s="1010" t="s">
        <v>1505</v>
      </c>
      <c r="Q195" s="1014"/>
      <c r="R195" s="1010" t="s">
        <v>1506</v>
      </c>
      <c r="S195" s="1014"/>
      <c r="T195" s="1010" t="s">
        <v>1507</v>
      </c>
      <c r="U195" s="1014"/>
    </row>
    <row r="196" spans="1:21" ht="15.75" thickBot="1" x14ac:dyDescent="0.3">
      <c r="A196" s="584"/>
      <c r="B196" s="1014"/>
      <c r="C196" s="1002"/>
      <c r="D196" s="1002"/>
      <c r="E196" s="1002"/>
      <c r="F196" s="1014"/>
      <c r="G196" s="1046"/>
      <c r="H196" s="952"/>
      <c r="I196" s="1014"/>
      <c r="J196" s="1000"/>
      <c r="K196" s="1014"/>
      <c r="L196" s="1000"/>
      <c r="M196" s="1014"/>
      <c r="N196" s="1044"/>
      <c r="O196" s="1014"/>
      <c r="P196" s="953" t="s">
        <v>1508</v>
      </c>
      <c r="Q196" s="1014"/>
      <c r="R196" s="953" t="s">
        <v>1509</v>
      </c>
      <c r="S196" s="1014"/>
      <c r="T196" s="996" t="s">
        <v>649</v>
      </c>
      <c r="U196" s="1014"/>
    </row>
    <row r="197" spans="1:21" ht="30.75" thickBot="1" x14ac:dyDescent="0.3">
      <c r="A197" s="584"/>
      <c r="B197" s="1014"/>
      <c r="C197" s="1007" t="s">
        <v>1510</v>
      </c>
      <c r="D197" s="1683">
        <v>3502</v>
      </c>
      <c r="E197" s="1684"/>
      <c r="F197" s="1014"/>
      <c r="G197" s="1046"/>
      <c r="H197" s="1014"/>
      <c r="I197" s="1014"/>
      <c r="J197" s="1014"/>
      <c r="K197" s="1014"/>
      <c r="L197" s="1014"/>
      <c r="M197" s="1014"/>
      <c r="N197" s="1014"/>
      <c r="O197" s="1014"/>
      <c r="P197" s="1014"/>
      <c r="Q197" s="1014"/>
      <c r="R197" s="1014"/>
      <c r="S197" s="1014"/>
      <c r="T197" s="1014"/>
      <c r="U197" s="1014"/>
    </row>
    <row r="198" spans="1:21" ht="30.75" thickBot="1" x14ac:dyDescent="0.3">
      <c r="A198" s="584"/>
      <c r="B198" s="1014"/>
      <c r="C198" s="1002"/>
      <c r="D198" s="1002"/>
      <c r="E198" s="1002"/>
      <c r="F198" s="1014"/>
      <c r="G198" s="1046"/>
      <c r="H198" s="1011" t="s">
        <v>1404</v>
      </c>
      <c r="I198" s="1014"/>
      <c r="J198" s="1010" t="s">
        <v>1405</v>
      </c>
      <c r="K198" s="1014"/>
      <c r="L198" s="1010" t="s">
        <v>1406</v>
      </c>
      <c r="M198" s="1014"/>
      <c r="N198" s="1010" t="s">
        <v>1520</v>
      </c>
      <c r="O198" s="1014"/>
      <c r="P198" s="1010" t="s">
        <v>1521</v>
      </c>
      <c r="Q198" s="1014"/>
      <c r="R198" s="1010" t="s">
        <v>1522</v>
      </c>
      <c r="S198" s="1014"/>
      <c r="T198" s="1014"/>
      <c r="U198" s="1014"/>
    </row>
    <row r="199" spans="1:21" ht="18" customHeight="1" thickBot="1" x14ac:dyDescent="0.3">
      <c r="A199" s="584"/>
      <c r="B199" s="1014"/>
      <c r="C199" s="1007" t="s">
        <v>1402</v>
      </c>
      <c r="D199" s="1685" t="str">
        <f>AA16</f>
        <v/>
      </c>
      <c r="E199" s="1686"/>
      <c r="F199" s="1014"/>
      <c r="G199" s="1046" t="s">
        <v>1003</v>
      </c>
      <c r="H199" s="975"/>
      <c r="I199" s="1014"/>
      <c r="J199" s="1015"/>
      <c r="K199" s="1014"/>
      <c r="L199" s="975"/>
      <c r="M199" s="1014"/>
      <c r="N199" s="968" t="s">
        <v>479</v>
      </c>
      <c r="O199" s="1014"/>
      <c r="P199" s="968" t="s">
        <v>1157</v>
      </c>
      <c r="Q199" s="1014"/>
      <c r="R199" s="968" t="s">
        <v>1524</v>
      </c>
      <c r="S199" s="1014"/>
      <c r="T199" s="1014"/>
      <c r="U199" s="1014"/>
    </row>
    <row r="200" spans="1:21" ht="15.75" thickBot="1" x14ac:dyDescent="0.3">
      <c r="A200" s="584"/>
      <c r="B200" s="1014"/>
      <c r="C200" s="1002"/>
      <c r="D200" s="995"/>
      <c r="E200" s="995"/>
      <c r="F200" s="1014"/>
      <c r="G200" s="1046"/>
      <c r="H200" s="1014"/>
      <c r="I200" s="1014"/>
      <c r="J200" s="1014"/>
      <c r="K200" s="1014"/>
      <c r="L200" s="1014"/>
      <c r="M200" s="1014"/>
      <c r="N200" s="1014"/>
      <c r="O200" s="1014"/>
      <c r="P200" s="1014"/>
      <c r="Q200" s="1014"/>
      <c r="R200" s="1014"/>
      <c r="S200" s="1014"/>
      <c r="T200" s="1014"/>
      <c r="U200" s="1014"/>
    </row>
    <row r="201" spans="1:21" ht="30.75" thickBot="1" x14ac:dyDescent="0.3">
      <c r="A201" s="584"/>
      <c r="B201" s="1014"/>
      <c r="C201" s="1007" t="s">
        <v>1403</v>
      </c>
      <c r="D201" s="1685" t="str">
        <f>AB16</f>
        <v/>
      </c>
      <c r="E201" s="1686"/>
      <c r="F201" s="1014"/>
      <c r="G201" s="1046"/>
      <c r="H201" s="1009" t="s">
        <v>1511</v>
      </c>
      <c r="I201" s="1014"/>
      <c r="J201" s="1010" t="s">
        <v>1525</v>
      </c>
      <c r="K201" s="1014"/>
      <c r="L201" s="1010" t="s">
        <v>1512</v>
      </c>
      <c r="M201" s="1014"/>
      <c r="N201" s="1010" t="s">
        <v>1526</v>
      </c>
      <c r="O201" s="1014"/>
      <c r="P201" s="1010" t="s">
        <v>1527</v>
      </c>
      <c r="Q201" s="1014"/>
      <c r="R201" s="1014"/>
      <c r="S201" s="1014"/>
      <c r="T201" s="1087" t="s">
        <v>1618</v>
      </c>
      <c r="U201" s="1014"/>
    </row>
    <row r="202" spans="1:21" ht="15.75" thickBot="1" x14ac:dyDescent="0.3">
      <c r="A202" s="584"/>
      <c r="B202" s="1014"/>
      <c r="C202" s="1002"/>
      <c r="D202" s="1002"/>
      <c r="E202" s="1002"/>
      <c r="F202" s="1014"/>
      <c r="G202" s="1046"/>
      <c r="H202" s="996" t="s">
        <v>647</v>
      </c>
      <c r="I202" s="1014"/>
      <c r="J202" s="953" t="s">
        <v>1513</v>
      </c>
      <c r="K202" s="1014"/>
      <c r="L202" s="1040" t="s">
        <v>1856</v>
      </c>
      <c r="M202" s="1014"/>
      <c r="N202" s="968" t="s">
        <v>647</v>
      </c>
      <c r="O202" s="1014"/>
      <c r="P202" s="968" t="s">
        <v>649</v>
      </c>
      <c r="Q202" s="1014"/>
      <c r="R202" s="1014"/>
      <c r="S202" s="1014"/>
      <c r="T202" s="1088" t="s">
        <v>647</v>
      </c>
      <c r="U202" s="1014"/>
    </row>
    <row r="203" spans="1:21" ht="30" customHeight="1" thickBot="1" x14ac:dyDescent="0.3">
      <c r="A203" s="584"/>
      <c r="B203" s="1014"/>
      <c r="C203" s="1008" t="s">
        <v>1514</v>
      </c>
      <c r="D203" s="1673" t="s">
        <v>647</v>
      </c>
      <c r="E203" s="1674"/>
      <c r="F203" s="1014"/>
      <c r="G203" s="1046"/>
      <c r="H203" s="1014"/>
      <c r="I203" s="1014"/>
      <c r="J203" s="1014"/>
      <c r="K203" s="1014"/>
      <c r="L203" s="1014"/>
      <c r="M203" s="1014"/>
      <c r="N203" s="1014"/>
      <c r="O203" s="1014"/>
      <c r="P203" s="1014"/>
      <c r="Q203" s="1014"/>
      <c r="R203" s="1014"/>
      <c r="S203" s="1014"/>
      <c r="T203" s="1014"/>
      <c r="U203" s="1014"/>
    </row>
    <row r="204" spans="1:21" ht="15.75" thickBot="1" x14ac:dyDescent="0.3">
      <c r="A204" s="584"/>
      <c r="B204" s="1014"/>
      <c r="C204" s="1002"/>
      <c r="D204" s="1002"/>
      <c r="E204" s="1002"/>
      <c r="F204" s="1014"/>
      <c r="G204" s="1046"/>
      <c r="H204" s="1014"/>
      <c r="I204" s="1014"/>
      <c r="J204" s="1014"/>
      <c r="K204" s="1014"/>
      <c r="L204" s="1014"/>
      <c r="M204" s="1014"/>
      <c r="N204" s="1014"/>
      <c r="O204" s="1014"/>
      <c r="P204" s="1014"/>
      <c r="Q204" s="1014"/>
      <c r="R204" s="1014"/>
      <c r="S204" s="1014"/>
      <c r="T204" s="1010" t="s">
        <v>524</v>
      </c>
      <c r="U204" s="1014"/>
    </row>
    <row r="205" spans="1:21" ht="15.75" thickBot="1" x14ac:dyDescent="0.3">
      <c r="A205" s="584"/>
      <c r="B205" s="1014"/>
      <c r="C205" s="1007" t="s">
        <v>1515</v>
      </c>
      <c r="D205" s="1683" t="s">
        <v>1550</v>
      </c>
      <c r="E205" s="1666"/>
      <c r="F205" s="1014"/>
      <c r="G205" s="1046"/>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4"/>
      <c r="B206" s="1014"/>
      <c r="C206" s="1014"/>
      <c r="D206" s="1014"/>
      <c r="E206" s="1014"/>
      <c r="F206" s="1014"/>
      <c r="G206" s="1046"/>
      <c r="H206" s="1014"/>
      <c r="I206" s="1014"/>
      <c r="J206" s="1014"/>
      <c r="K206" s="1014"/>
      <c r="L206" s="1014"/>
      <c r="M206" s="1014"/>
      <c r="N206" s="1014"/>
      <c r="O206" s="1014"/>
      <c r="P206" s="1014"/>
      <c r="Q206" s="1014"/>
      <c r="R206" s="1014"/>
      <c r="S206" s="1014"/>
      <c r="T206" s="1014"/>
      <c r="U206" s="1014"/>
    </row>
    <row r="207" spans="1:21" ht="20.25" customHeight="1" thickBot="1" x14ac:dyDescent="0.3">
      <c r="A207" s="584"/>
      <c r="B207" s="1687" t="s">
        <v>1555</v>
      </c>
      <c r="C207" s="1665"/>
      <c r="D207" s="1665"/>
      <c r="E207" s="1665"/>
      <c r="F207" s="1665"/>
      <c r="G207" s="1665"/>
      <c r="H207" s="1665"/>
      <c r="I207" s="1665"/>
      <c r="J207" s="1665"/>
      <c r="K207" s="1665"/>
      <c r="L207" s="1665"/>
      <c r="M207" s="1665"/>
      <c r="N207" s="1665"/>
      <c r="O207" s="1665"/>
      <c r="P207" s="1665"/>
      <c r="Q207" s="1665"/>
      <c r="R207" s="1665"/>
      <c r="S207" s="1665"/>
      <c r="T207" s="1665"/>
      <c r="U207" s="1666"/>
    </row>
    <row r="208" spans="1:21" ht="15.75" thickBot="1" x14ac:dyDescent="0.3">
      <c r="A208" s="584"/>
      <c r="B208" s="1014"/>
      <c r="C208" s="1014"/>
      <c r="D208" s="1014"/>
      <c r="E208" s="1014"/>
      <c r="F208" s="1014"/>
      <c r="G208" s="1046"/>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1400</v>
      </c>
      <c r="D209" s="1681" t="s">
        <v>1556</v>
      </c>
      <c r="E209" s="1682"/>
      <c r="F209" s="1014"/>
      <c r="G209" s="1046"/>
      <c r="H209" s="1010" t="s">
        <v>1397</v>
      </c>
      <c r="I209" s="1014"/>
      <c r="J209" s="1010" t="s">
        <v>1398</v>
      </c>
      <c r="K209" s="1014"/>
      <c r="L209" s="1010" t="s">
        <v>1414</v>
      </c>
      <c r="M209" s="1014"/>
      <c r="N209" s="1010" t="s">
        <v>1399</v>
      </c>
      <c r="O209" s="1014"/>
      <c r="P209" s="1010" t="s">
        <v>1505</v>
      </c>
      <c r="Q209" s="1014"/>
      <c r="R209" s="1010" t="s">
        <v>1506</v>
      </c>
      <c r="S209" s="1014"/>
      <c r="T209" s="1010" t="s">
        <v>1507</v>
      </c>
      <c r="U209" s="1014"/>
    </row>
    <row r="210" spans="1:21" ht="15.75" thickBot="1" x14ac:dyDescent="0.3">
      <c r="A210" s="584"/>
      <c r="B210" s="1014"/>
      <c r="C210" s="1002"/>
      <c r="D210" s="1002"/>
      <c r="E210" s="1002"/>
      <c r="F210" s="1014"/>
      <c r="G210" s="1046"/>
      <c r="H210" s="952"/>
      <c r="I210" s="1014"/>
      <c r="J210" s="1000"/>
      <c r="K210" s="1014"/>
      <c r="L210" s="1000"/>
      <c r="M210" s="1014"/>
      <c r="N210" s="1044"/>
      <c r="O210" s="1014"/>
      <c r="P210" s="953" t="s">
        <v>1508</v>
      </c>
      <c r="Q210" s="1014"/>
      <c r="R210" s="953" t="s">
        <v>1509</v>
      </c>
      <c r="S210" s="1014"/>
      <c r="T210" s="996" t="s">
        <v>649</v>
      </c>
      <c r="U210" s="1014"/>
    </row>
    <row r="211" spans="1:21" ht="30.75" thickBot="1" x14ac:dyDescent="0.3">
      <c r="A211" s="584"/>
      <c r="B211" s="1014"/>
      <c r="C211" s="1007" t="s">
        <v>1510</v>
      </c>
      <c r="D211" s="1683">
        <v>3601</v>
      </c>
      <c r="E211" s="1684"/>
      <c r="F211" s="1014"/>
      <c r="G211" s="1046"/>
      <c r="H211" s="1014"/>
      <c r="I211" s="1014"/>
      <c r="J211" s="1014"/>
      <c r="K211" s="1014"/>
      <c r="L211" s="1014"/>
      <c r="M211" s="1014"/>
      <c r="N211" s="1014"/>
      <c r="O211" s="1014"/>
      <c r="P211" s="1014"/>
      <c r="Q211" s="1014"/>
      <c r="R211" s="1014"/>
      <c r="S211" s="1014"/>
      <c r="T211" s="1014"/>
      <c r="U211" s="1014"/>
    </row>
    <row r="212" spans="1:21" ht="30.75" thickBot="1" x14ac:dyDescent="0.3">
      <c r="A212" s="584"/>
      <c r="B212" s="1014"/>
      <c r="C212" s="1002"/>
      <c r="D212" s="1002"/>
      <c r="E212" s="1002"/>
      <c r="F212" s="1014"/>
      <c r="G212" s="1046"/>
      <c r="H212" s="1011" t="s">
        <v>1404</v>
      </c>
      <c r="I212" s="1014"/>
      <c r="J212" s="1010" t="s">
        <v>1405</v>
      </c>
      <c r="K212" s="1014"/>
      <c r="L212" s="1010" t="s">
        <v>1406</v>
      </c>
      <c r="M212" s="1014"/>
      <c r="N212" s="1010" t="s">
        <v>1520</v>
      </c>
      <c r="O212" s="1014"/>
      <c r="P212" s="1010" t="s">
        <v>1521</v>
      </c>
      <c r="Q212" s="1014"/>
      <c r="R212" s="1010" t="s">
        <v>1522</v>
      </c>
      <c r="S212" s="1014"/>
      <c r="T212" s="1014"/>
      <c r="U212" s="1014"/>
    </row>
    <row r="213" spans="1:21" ht="15.75" thickBot="1" x14ac:dyDescent="0.3">
      <c r="A213" s="584"/>
      <c r="B213" s="1014"/>
      <c r="C213" s="1007" t="s">
        <v>1402</v>
      </c>
      <c r="D213" s="1685" t="str">
        <f>AA17</f>
        <v/>
      </c>
      <c r="E213" s="1686"/>
      <c r="F213" s="1014"/>
      <c r="G213" s="1046" t="s">
        <v>1003</v>
      </c>
      <c r="H213" s="975"/>
      <c r="I213" s="1014"/>
      <c r="J213" s="1015"/>
      <c r="K213" s="1014"/>
      <c r="L213" s="975"/>
      <c r="M213" s="1014"/>
      <c r="N213" s="968" t="s">
        <v>479</v>
      </c>
      <c r="O213" s="1014"/>
      <c r="P213" s="968" t="s">
        <v>1157</v>
      </c>
      <c r="Q213" s="1014"/>
      <c r="R213" s="968" t="s">
        <v>1524</v>
      </c>
      <c r="S213" s="1014"/>
      <c r="T213" s="1014"/>
      <c r="U213" s="1014"/>
    </row>
    <row r="214" spans="1:21" ht="15.75" thickBot="1" x14ac:dyDescent="0.3">
      <c r="A214" s="584"/>
      <c r="B214" s="1014"/>
      <c r="C214" s="1002"/>
      <c r="D214" s="995"/>
      <c r="E214" s="995"/>
      <c r="F214" s="1014"/>
      <c r="G214" s="1046" t="s">
        <v>1407</v>
      </c>
      <c r="H214" s="975"/>
      <c r="I214" s="1014"/>
      <c r="J214" s="1015"/>
      <c r="K214" s="1014"/>
      <c r="L214" s="975"/>
      <c r="M214" s="1014"/>
      <c r="N214" s="968" t="s">
        <v>479</v>
      </c>
      <c r="O214" s="1014"/>
      <c r="P214" s="968" t="s">
        <v>1157</v>
      </c>
      <c r="Q214" s="1014"/>
      <c r="R214" s="1014"/>
      <c r="S214" s="1014"/>
      <c r="T214" s="1014"/>
      <c r="U214" s="1014"/>
    </row>
    <row r="215" spans="1:21" ht="15.75" thickBot="1" x14ac:dyDescent="0.3">
      <c r="A215" s="584"/>
      <c r="B215" s="1014"/>
      <c r="C215" s="1007" t="s">
        <v>1403</v>
      </c>
      <c r="D215" s="1685" t="str">
        <f>AB17</f>
        <v/>
      </c>
      <c r="E215" s="1686"/>
      <c r="F215" s="1014"/>
      <c r="G215" s="1046" t="s">
        <v>1408</v>
      </c>
      <c r="H215" s="975"/>
      <c r="I215" s="1014"/>
      <c r="J215" s="1015"/>
      <c r="K215" s="1014"/>
      <c r="L215" s="975"/>
      <c r="M215" s="1014"/>
      <c r="N215" s="968" t="s">
        <v>479</v>
      </c>
      <c r="O215" s="1014"/>
      <c r="P215" s="968" t="s">
        <v>1157</v>
      </c>
      <c r="Q215" s="1014"/>
      <c r="R215" s="1014"/>
      <c r="S215" s="1014"/>
      <c r="T215" s="1087" t="s">
        <v>1618</v>
      </c>
      <c r="U215" s="1014"/>
    </row>
    <row r="216" spans="1:21" x14ac:dyDescent="0.25">
      <c r="A216" s="584"/>
      <c r="B216" s="1014"/>
      <c r="C216" s="1002"/>
      <c r="D216" s="1002"/>
      <c r="E216" s="1002"/>
      <c r="F216" s="1014"/>
      <c r="G216" s="1046" t="s">
        <v>1410</v>
      </c>
      <c r="H216" s="975"/>
      <c r="I216" s="1014"/>
      <c r="J216" s="1005"/>
      <c r="K216" s="1014"/>
      <c r="L216" s="975"/>
      <c r="M216" s="1014"/>
      <c r="N216" s="968" t="s">
        <v>479</v>
      </c>
      <c r="O216" s="1014"/>
      <c r="P216" s="968" t="s">
        <v>1157</v>
      </c>
      <c r="Q216" s="1014"/>
      <c r="R216" s="1014"/>
      <c r="S216" s="1014"/>
      <c r="T216" s="1088" t="s">
        <v>647</v>
      </c>
      <c r="U216" s="1014"/>
    </row>
    <row r="217" spans="1:21" x14ac:dyDescent="0.25">
      <c r="A217" s="584"/>
      <c r="B217" s="1014"/>
      <c r="C217" s="1002"/>
      <c r="D217" s="1002"/>
      <c r="E217" s="1002"/>
      <c r="F217" s="1014"/>
      <c r="G217" s="1046" t="s">
        <v>1412</v>
      </c>
      <c r="H217" s="975"/>
      <c r="I217" s="1014"/>
      <c r="J217" s="1005"/>
      <c r="K217" s="1014"/>
      <c r="L217" s="975"/>
      <c r="M217" s="1014"/>
      <c r="N217" s="968" t="s">
        <v>479</v>
      </c>
      <c r="O217" s="1014"/>
      <c r="P217" s="968" t="s">
        <v>1157</v>
      </c>
      <c r="Q217" s="1014"/>
      <c r="R217" s="1014"/>
      <c r="S217" s="1014"/>
      <c r="T217" s="1014"/>
      <c r="U217" s="1014"/>
    </row>
    <row r="218" spans="1:21" ht="15.75" thickBot="1" x14ac:dyDescent="0.3">
      <c r="A218" s="584"/>
      <c r="B218" s="1014"/>
      <c r="C218" s="1002"/>
      <c r="D218" s="1002"/>
      <c r="E218" s="1002"/>
      <c r="F218" s="1014"/>
      <c r="G218" s="1046"/>
      <c r="H218" s="1014"/>
      <c r="I218" s="1014"/>
      <c r="J218" s="1014"/>
      <c r="K218" s="1014"/>
      <c r="L218" s="1014"/>
      <c r="M218" s="1014"/>
      <c r="N218" s="1014"/>
      <c r="O218" s="1014"/>
      <c r="P218" s="1014"/>
      <c r="Q218" s="1014"/>
      <c r="R218" s="1014"/>
      <c r="S218" s="1014"/>
      <c r="T218" s="1014"/>
      <c r="U218" s="1014"/>
    </row>
    <row r="219" spans="1:21" ht="30.75" thickBot="1" x14ac:dyDescent="0.3">
      <c r="A219" s="584"/>
      <c r="B219" s="1014"/>
      <c r="C219" s="1008" t="s">
        <v>1514</v>
      </c>
      <c r="D219" s="1673" t="s">
        <v>647</v>
      </c>
      <c r="E219" s="1674"/>
      <c r="F219" s="1014"/>
      <c r="G219" s="1046"/>
      <c r="H219" s="1009" t="s">
        <v>1511</v>
      </c>
      <c r="I219" s="1014"/>
      <c r="J219" s="1010" t="s">
        <v>1525</v>
      </c>
      <c r="K219" s="1014"/>
      <c r="L219" s="1010" t="s">
        <v>1512</v>
      </c>
      <c r="M219" s="1014"/>
      <c r="N219" s="1010" t="s">
        <v>1526</v>
      </c>
      <c r="O219" s="1014"/>
      <c r="P219" s="1010" t="s">
        <v>1527</v>
      </c>
      <c r="Q219" s="1014"/>
      <c r="R219" s="1014"/>
      <c r="S219" s="1014"/>
      <c r="T219" s="1010" t="s">
        <v>524</v>
      </c>
      <c r="U219" s="1014"/>
    </row>
    <row r="220" spans="1:21" ht="15.75" thickBot="1" x14ac:dyDescent="0.3">
      <c r="A220" s="584"/>
      <c r="B220" s="1014"/>
      <c r="C220" s="1002"/>
      <c r="D220" s="1002"/>
      <c r="E220" s="1002"/>
      <c r="F220" s="1014"/>
      <c r="G220" s="1046"/>
      <c r="H220" s="996" t="s">
        <v>647</v>
      </c>
      <c r="I220" s="1014"/>
      <c r="J220" s="953" t="s">
        <v>1513</v>
      </c>
      <c r="K220" s="1014"/>
      <c r="L220" s="1040" t="s">
        <v>1856</v>
      </c>
      <c r="M220" s="1014"/>
      <c r="N220" s="968" t="s">
        <v>647</v>
      </c>
      <c r="O220" s="1014"/>
      <c r="P220" s="968" t="s">
        <v>649</v>
      </c>
      <c r="Q220" s="1014"/>
      <c r="R220" s="1014"/>
      <c r="S220" s="1014"/>
      <c r="T220" s="1040" t="str">
        <f>IF(Z17&lt;&gt;"","Yes","No")</f>
        <v>No</v>
      </c>
      <c r="U220" s="1014"/>
    </row>
    <row r="221" spans="1:21" ht="15.75" thickBot="1" x14ac:dyDescent="0.3">
      <c r="A221" s="584"/>
      <c r="B221" s="1014"/>
      <c r="C221" s="1007" t="s">
        <v>1515</v>
      </c>
      <c r="D221" s="1683" t="s">
        <v>1550</v>
      </c>
      <c r="E221" s="1666"/>
      <c r="F221" s="1014"/>
      <c r="G221" s="1046"/>
      <c r="H221" s="1014"/>
      <c r="I221" s="1014"/>
      <c r="J221" s="1014"/>
      <c r="K221" s="1014"/>
      <c r="L221" s="1014"/>
      <c r="M221" s="1014"/>
      <c r="N221" s="1014"/>
      <c r="O221" s="1014"/>
      <c r="P221" s="1014"/>
      <c r="Q221" s="1014"/>
      <c r="R221" s="1014"/>
      <c r="S221" s="1014"/>
      <c r="T221" s="1014"/>
      <c r="U221" s="1014"/>
    </row>
    <row r="222" spans="1:21" ht="15.75" thickBot="1" x14ac:dyDescent="0.3">
      <c r="A222" s="584"/>
      <c r="B222" s="1014"/>
      <c r="C222" s="1014"/>
      <c r="D222" s="1014"/>
      <c r="E222" s="1014"/>
      <c r="F222" s="1014"/>
      <c r="G222" s="1046"/>
      <c r="H222" s="1014"/>
      <c r="I222" s="1014"/>
      <c r="J222" s="1014"/>
      <c r="K222" s="1014"/>
      <c r="L222" s="1014"/>
      <c r="M222" s="1014"/>
      <c r="N222" s="1014"/>
      <c r="O222" s="1014"/>
      <c r="P222" s="1014"/>
      <c r="Q222" s="1014"/>
      <c r="R222" s="1014"/>
      <c r="S222" s="1014"/>
      <c r="T222" s="1014"/>
      <c r="U222" s="1014"/>
    </row>
    <row r="223" spans="1:21" ht="20.25" customHeight="1" thickBot="1" x14ac:dyDescent="0.3">
      <c r="A223" s="584"/>
      <c r="B223" s="1687" t="s">
        <v>1557</v>
      </c>
      <c r="C223" s="1665"/>
      <c r="D223" s="1665"/>
      <c r="E223" s="1665"/>
      <c r="F223" s="1665"/>
      <c r="G223" s="1665"/>
      <c r="H223" s="1665"/>
      <c r="I223" s="1665"/>
      <c r="J223" s="1665"/>
      <c r="K223" s="1665"/>
      <c r="L223" s="1665"/>
      <c r="M223" s="1665"/>
      <c r="N223" s="1665"/>
      <c r="O223" s="1665"/>
      <c r="P223" s="1665"/>
      <c r="Q223" s="1665"/>
      <c r="R223" s="1665"/>
      <c r="S223" s="1665"/>
      <c r="T223" s="1665"/>
      <c r="U223" s="1666"/>
    </row>
    <row r="224" spans="1:21" ht="20.25" customHeight="1" thickBot="1" x14ac:dyDescent="0.3">
      <c r="A224" s="584"/>
      <c r="B224" s="1014"/>
      <c r="C224" s="1014"/>
      <c r="D224" s="1014"/>
      <c r="E224" s="1014"/>
      <c r="F224" s="1014"/>
      <c r="G224" s="1046"/>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1400</v>
      </c>
      <c r="D225" s="1681" t="s">
        <v>1556</v>
      </c>
      <c r="E225" s="1682"/>
      <c r="F225" s="1014"/>
      <c r="G225" s="1046"/>
      <c r="H225" s="1010" t="s">
        <v>1397</v>
      </c>
      <c r="I225" s="1014"/>
      <c r="J225" s="1010" t="s">
        <v>1398</v>
      </c>
      <c r="K225" s="1014"/>
      <c r="L225" s="1010" t="s">
        <v>1414</v>
      </c>
      <c r="M225" s="1014"/>
      <c r="N225" s="1010" t="s">
        <v>1399</v>
      </c>
      <c r="O225" s="1014"/>
      <c r="P225" s="1010" t="s">
        <v>1505</v>
      </c>
      <c r="Q225" s="1014"/>
      <c r="R225" s="1010" t="s">
        <v>1506</v>
      </c>
      <c r="S225" s="1014"/>
      <c r="T225" s="1010" t="s">
        <v>1507</v>
      </c>
      <c r="U225" s="1014"/>
    </row>
    <row r="226" spans="1:21" ht="18" customHeight="1" thickBot="1" x14ac:dyDescent="0.3">
      <c r="A226" s="584"/>
      <c r="B226" s="1014"/>
      <c r="C226" s="1002"/>
      <c r="D226" s="1002"/>
      <c r="E226" s="1002"/>
      <c r="F226" s="1014"/>
      <c r="G226" s="1046"/>
      <c r="H226" s="952"/>
      <c r="I226" s="1014"/>
      <c r="J226" s="1000"/>
      <c r="K226" s="1014"/>
      <c r="L226" s="1000"/>
      <c r="M226" s="1014"/>
      <c r="N226" s="1044"/>
      <c r="O226" s="1014"/>
      <c r="P226" s="953" t="s">
        <v>1508</v>
      </c>
      <c r="Q226" s="1014"/>
      <c r="R226" s="953" t="s">
        <v>1509</v>
      </c>
      <c r="S226" s="1014"/>
      <c r="T226" s="996" t="s">
        <v>649</v>
      </c>
      <c r="U226" s="1014"/>
    </row>
    <row r="227" spans="1:21" ht="30" customHeight="1" thickBot="1" x14ac:dyDescent="0.3">
      <c r="A227" s="584"/>
      <c r="B227" s="1014"/>
      <c r="C227" s="1007" t="s">
        <v>1510</v>
      </c>
      <c r="D227" s="1683">
        <v>3602</v>
      </c>
      <c r="E227" s="1684"/>
      <c r="F227" s="1014"/>
      <c r="G227" s="1046"/>
      <c r="H227" s="1014"/>
      <c r="I227" s="1014"/>
      <c r="J227" s="1014"/>
      <c r="K227" s="1014"/>
      <c r="L227" s="1014"/>
      <c r="M227" s="1014"/>
      <c r="N227" s="1014"/>
      <c r="O227" s="1014"/>
      <c r="P227" s="1014"/>
      <c r="Q227" s="1014"/>
      <c r="R227" s="1014"/>
      <c r="S227" s="1014"/>
      <c r="T227" s="1014"/>
      <c r="U227" s="1014"/>
    </row>
    <row r="228" spans="1:21" ht="30" customHeight="1" thickBot="1" x14ac:dyDescent="0.3">
      <c r="A228" s="584"/>
      <c r="B228" s="1014"/>
      <c r="C228" s="1002"/>
      <c r="D228" s="1002"/>
      <c r="E228" s="1002"/>
      <c r="F228" s="1014"/>
      <c r="G228" s="1046"/>
      <c r="H228" s="1011" t="s">
        <v>1404</v>
      </c>
      <c r="I228" s="1014"/>
      <c r="J228" s="1010" t="s">
        <v>1405</v>
      </c>
      <c r="K228" s="1014"/>
      <c r="L228" s="1010" t="s">
        <v>1406</v>
      </c>
      <c r="M228" s="1014"/>
      <c r="N228" s="1010" t="s">
        <v>1520</v>
      </c>
      <c r="O228" s="1014"/>
      <c r="P228" s="1010" t="s">
        <v>1521</v>
      </c>
      <c r="Q228" s="1014"/>
      <c r="R228" s="1010" t="s">
        <v>1522</v>
      </c>
      <c r="S228" s="1014"/>
      <c r="T228" s="1014"/>
      <c r="U228" s="1014"/>
    </row>
    <row r="229" spans="1:21" ht="17.25" customHeight="1" thickBot="1" x14ac:dyDescent="0.3">
      <c r="A229" s="584"/>
      <c r="B229" s="1014"/>
      <c r="C229" s="1007" t="s">
        <v>1402</v>
      </c>
      <c r="D229" s="1685" t="str">
        <f>AA18</f>
        <v/>
      </c>
      <c r="E229" s="1686"/>
      <c r="F229" s="1014"/>
      <c r="G229" s="1046" t="s">
        <v>1003</v>
      </c>
      <c r="H229" s="975"/>
      <c r="I229" s="1014"/>
      <c r="J229" s="1015"/>
      <c r="K229" s="1014"/>
      <c r="L229" s="975"/>
      <c r="M229" s="1014"/>
      <c r="N229" s="968" t="s">
        <v>479</v>
      </c>
      <c r="O229" s="1014"/>
      <c r="P229" s="968" t="s">
        <v>1157</v>
      </c>
      <c r="Q229" s="1014"/>
      <c r="R229" s="968" t="s">
        <v>1524</v>
      </c>
      <c r="S229" s="1014"/>
      <c r="T229" s="1014"/>
      <c r="U229" s="1014"/>
    </row>
    <row r="230" spans="1:21" ht="18" customHeight="1" thickBot="1" x14ac:dyDescent="0.3">
      <c r="A230" s="584"/>
      <c r="B230" s="1014"/>
      <c r="C230" s="1002"/>
      <c r="D230" s="995"/>
      <c r="E230" s="995"/>
      <c r="F230" s="1014"/>
      <c r="G230" s="1046" t="s">
        <v>1407</v>
      </c>
      <c r="H230" s="975"/>
      <c r="I230" s="1014"/>
      <c r="J230" s="1015"/>
      <c r="K230" s="1014"/>
      <c r="L230" s="975"/>
      <c r="M230" s="1014"/>
      <c r="N230" s="968" t="s">
        <v>479</v>
      </c>
      <c r="O230" s="1014"/>
      <c r="P230" s="968" t="s">
        <v>1157</v>
      </c>
      <c r="Q230" s="1014"/>
      <c r="R230" s="1014"/>
      <c r="S230" s="1014"/>
      <c r="T230" s="1014"/>
      <c r="U230" s="1014"/>
    </row>
    <row r="231" spans="1:21" ht="18" customHeight="1" thickBot="1" x14ac:dyDescent="0.3">
      <c r="A231" s="584"/>
      <c r="B231" s="1014"/>
      <c r="C231" s="1007" t="s">
        <v>1403</v>
      </c>
      <c r="D231" s="1685" t="str">
        <f>AB18</f>
        <v/>
      </c>
      <c r="E231" s="1686"/>
      <c r="F231" s="1014"/>
      <c r="G231" s="1046" t="s">
        <v>1408</v>
      </c>
      <c r="H231" s="975"/>
      <c r="I231" s="1014"/>
      <c r="J231" s="1015"/>
      <c r="K231" s="1014"/>
      <c r="L231" s="975"/>
      <c r="M231" s="1014"/>
      <c r="N231" s="968" t="s">
        <v>479</v>
      </c>
      <c r="O231" s="1014"/>
      <c r="P231" s="968" t="s">
        <v>1157</v>
      </c>
      <c r="Q231" s="1014"/>
      <c r="R231" s="1014"/>
      <c r="S231" s="1014"/>
      <c r="T231" s="1087" t="s">
        <v>1618</v>
      </c>
      <c r="U231" s="1014"/>
    </row>
    <row r="232" spans="1:21" ht="18" customHeight="1" x14ac:dyDescent="0.25">
      <c r="A232" s="584"/>
      <c r="B232" s="1014"/>
      <c r="C232" s="1002"/>
      <c r="D232" s="1002"/>
      <c r="E232" s="1002"/>
      <c r="F232" s="1014"/>
      <c r="G232" s="1046" t="s">
        <v>1410</v>
      </c>
      <c r="H232" s="975"/>
      <c r="I232" s="1014"/>
      <c r="J232" s="1005"/>
      <c r="K232" s="1014"/>
      <c r="L232" s="975"/>
      <c r="M232" s="1014"/>
      <c r="N232" s="968" t="s">
        <v>479</v>
      </c>
      <c r="O232" s="1014"/>
      <c r="P232" s="968" t="s">
        <v>1157</v>
      </c>
      <c r="Q232" s="1014"/>
      <c r="R232" s="1014"/>
      <c r="S232" s="1014"/>
      <c r="T232" s="1088" t="s">
        <v>647</v>
      </c>
      <c r="U232" s="1014"/>
    </row>
    <row r="233" spans="1:21" ht="18" customHeight="1" x14ac:dyDescent="0.25">
      <c r="A233" s="584"/>
      <c r="B233" s="1014"/>
      <c r="C233" s="1002"/>
      <c r="D233" s="1002"/>
      <c r="E233" s="1002"/>
      <c r="F233" s="1014"/>
      <c r="G233" s="1046" t="s">
        <v>1412</v>
      </c>
      <c r="H233" s="975"/>
      <c r="I233" s="1014"/>
      <c r="J233" s="1005"/>
      <c r="K233" s="1014"/>
      <c r="L233" s="975"/>
      <c r="M233" s="1014"/>
      <c r="N233" s="968" t="s">
        <v>479</v>
      </c>
      <c r="O233" s="1014"/>
      <c r="P233" s="968" t="s">
        <v>1157</v>
      </c>
      <c r="Q233" s="1014"/>
      <c r="R233" s="1014"/>
      <c r="S233" s="1014"/>
      <c r="T233" s="1014"/>
      <c r="U233" s="1014"/>
    </row>
    <row r="234" spans="1:21" ht="18" customHeight="1" thickBot="1" x14ac:dyDescent="0.3">
      <c r="A234" s="584"/>
      <c r="B234" s="1014"/>
      <c r="C234" s="1002"/>
      <c r="D234" s="1002"/>
      <c r="E234" s="1002"/>
      <c r="F234" s="1014"/>
      <c r="G234" s="1046"/>
      <c r="H234" s="1014"/>
      <c r="I234" s="1014"/>
      <c r="J234" s="1014"/>
      <c r="K234" s="1014"/>
      <c r="L234" s="1014"/>
      <c r="M234" s="1014"/>
      <c r="N234" s="1014"/>
      <c r="O234" s="1014"/>
      <c r="P234" s="1014"/>
      <c r="Q234" s="1014"/>
      <c r="R234" s="1014"/>
      <c r="S234" s="1014"/>
      <c r="T234" s="1014"/>
      <c r="U234" s="1014"/>
    </row>
    <row r="235" spans="1:21" ht="30" customHeight="1" thickBot="1" x14ac:dyDescent="0.3">
      <c r="A235" s="584"/>
      <c r="B235" s="1014"/>
      <c r="C235" s="1008" t="s">
        <v>1514</v>
      </c>
      <c r="D235" s="1673" t="s">
        <v>647</v>
      </c>
      <c r="E235" s="1674"/>
      <c r="F235" s="1014"/>
      <c r="G235" s="1046"/>
      <c r="H235" s="1009" t="s">
        <v>1511</v>
      </c>
      <c r="I235" s="1014"/>
      <c r="J235" s="1010" t="s">
        <v>1525</v>
      </c>
      <c r="K235" s="1014"/>
      <c r="L235" s="1010" t="s">
        <v>1512</v>
      </c>
      <c r="M235" s="1014"/>
      <c r="N235" s="1010" t="s">
        <v>1526</v>
      </c>
      <c r="O235" s="1014"/>
      <c r="P235" s="1010" t="s">
        <v>1527</v>
      </c>
      <c r="Q235" s="1014"/>
      <c r="R235" s="1014"/>
      <c r="S235" s="1014"/>
      <c r="T235" s="1010" t="s">
        <v>524</v>
      </c>
      <c r="U235" s="1014"/>
    </row>
    <row r="236" spans="1:21" ht="18" customHeight="1" thickBot="1" x14ac:dyDescent="0.3">
      <c r="A236" s="584"/>
      <c r="B236" s="1014"/>
      <c r="C236" s="1002"/>
      <c r="D236" s="1002"/>
      <c r="E236" s="1002"/>
      <c r="F236" s="1014"/>
      <c r="G236" s="1046"/>
      <c r="H236" s="996" t="s">
        <v>647</v>
      </c>
      <c r="I236" s="1014"/>
      <c r="J236" s="953" t="s">
        <v>1513</v>
      </c>
      <c r="K236" s="1014"/>
      <c r="L236" s="1040" t="s">
        <v>1856</v>
      </c>
      <c r="M236" s="1014"/>
      <c r="N236" s="968" t="s">
        <v>647</v>
      </c>
      <c r="O236" s="1014"/>
      <c r="P236" s="968" t="s">
        <v>649</v>
      </c>
      <c r="Q236" s="1014"/>
      <c r="R236" s="1014"/>
      <c r="S236" s="1014"/>
      <c r="T236" s="1040" t="str">
        <f>IF(Z18&lt;&gt;"","Yes","No")</f>
        <v>No</v>
      </c>
      <c r="U236" s="1014"/>
    </row>
    <row r="237" spans="1:21" ht="18" customHeight="1" thickBot="1" x14ac:dyDescent="0.3">
      <c r="A237" s="584"/>
      <c r="B237" s="1014"/>
      <c r="C237" s="1007" t="s">
        <v>1515</v>
      </c>
      <c r="D237" s="1683" t="s">
        <v>1550</v>
      </c>
      <c r="E237" s="1666"/>
      <c r="F237" s="1014"/>
      <c r="G237" s="1046"/>
      <c r="H237" s="1014"/>
      <c r="I237" s="1014"/>
      <c r="J237" s="1014"/>
      <c r="K237" s="1014"/>
      <c r="L237" s="1014"/>
      <c r="M237" s="1014"/>
      <c r="N237" s="1014"/>
      <c r="O237" s="1014"/>
      <c r="P237" s="1014"/>
      <c r="Q237" s="1014"/>
      <c r="R237" s="1014"/>
      <c r="S237" s="1014"/>
      <c r="T237" s="1014"/>
      <c r="U237" s="1014"/>
    </row>
    <row r="238" spans="1:21" ht="18" customHeight="1" thickBot="1" x14ac:dyDescent="0.3">
      <c r="A238" s="584"/>
      <c r="B238" s="1014"/>
      <c r="C238" s="1014"/>
      <c r="D238" s="1014"/>
      <c r="E238" s="1014"/>
      <c r="F238" s="1014"/>
      <c r="G238" s="1046"/>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678" t="s">
        <v>1699</v>
      </c>
      <c r="C239" s="1679"/>
      <c r="D239" s="1679"/>
      <c r="E239" s="1679"/>
      <c r="F239" s="1679"/>
      <c r="G239" s="1679"/>
      <c r="H239" s="1679"/>
      <c r="I239" s="1679"/>
      <c r="J239" s="1679"/>
      <c r="K239" s="1679"/>
      <c r="L239" s="1679"/>
      <c r="M239" s="1679"/>
      <c r="N239" s="1679"/>
      <c r="O239" s="1679"/>
      <c r="P239" s="1679"/>
      <c r="Q239" s="1679"/>
      <c r="R239" s="1679"/>
      <c r="S239" s="1679"/>
      <c r="T239" s="1679"/>
      <c r="U239" s="1680"/>
    </row>
    <row r="240" spans="1:21" ht="20.25" customHeight="1" thickBot="1" x14ac:dyDescent="0.3">
      <c r="A240" s="1006"/>
      <c r="B240" s="1014"/>
      <c r="C240" s="1014"/>
      <c r="D240" s="1014"/>
      <c r="E240" s="1014"/>
      <c r="F240" s="1014"/>
      <c r="G240" s="1046"/>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1400</v>
      </c>
      <c r="D241" s="1681" t="s">
        <v>1558</v>
      </c>
      <c r="E241" s="1682"/>
      <c r="F241" s="1014"/>
      <c r="G241" s="1046"/>
      <c r="H241" s="1010" t="s">
        <v>1397</v>
      </c>
      <c r="I241" s="1014"/>
      <c r="J241" s="1010" t="s">
        <v>1398</v>
      </c>
      <c r="K241" s="1014"/>
      <c r="L241" s="1010" t="s">
        <v>1414</v>
      </c>
      <c r="M241" s="1014"/>
      <c r="N241" s="1010" t="s">
        <v>1399</v>
      </c>
      <c r="O241" s="1014"/>
      <c r="P241" s="1010" t="s">
        <v>1505</v>
      </c>
      <c r="Q241" s="1014"/>
      <c r="R241" s="1010" t="s">
        <v>1506</v>
      </c>
      <c r="S241" s="1014"/>
      <c r="T241" s="1010" t="s">
        <v>1507</v>
      </c>
      <c r="U241" s="1014"/>
    </row>
    <row r="242" spans="1:21" ht="18" customHeight="1" thickBot="1" x14ac:dyDescent="0.3">
      <c r="A242" s="1006"/>
      <c r="B242" s="1014"/>
      <c r="C242" s="1002"/>
      <c r="D242" s="1002"/>
      <c r="E242" s="1002"/>
      <c r="F242" s="1014"/>
      <c r="G242" s="1046"/>
      <c r="H242" s="952"/>
      <c r="I242" s="1014"/>
      <c r="J242" s="1000"/>
      <c r="K242" s="1014"/>
      <c r="L242" s="1000"/>
      <c r="M242" s="1014"/>
      <c r="N242" s="1044"/>
      <c r="O242" s="1014"/>
      <c r="P242" s="953" t="s">
        <v>1508</v>
      </c>
      <c r="Q242" s="1014"/>
      <c r="R242" s="953" t="s">
        <v>1509</v>
      </c>
      <c r="S242" s="1014"/>
      <c r="T242" s="996" t="s">
        <v>649</v>
      </c>
      <c r="U242" s="1014"/>
    </row>
    <row r="243" spans="1:21" ht="30" customHeight="1" thickBot="1" x14ac:dyDescent="0.3">
      <c r="A243" s="1006"/>
      <c r="B243" s="1014"/>
      <c r="C243" s="1007" t="s">
        <v>1510</v>
      </c>
      <c r="D243" s="1683">
        <v>1301</v>
      </c>
      <c r="E243" s="1684"/>
      <c r="F243" s="1014"/>
      <c r="G243" s="1046"/>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6"/>
      <c r="H244" s="1011" t="s">
        <v>1404</v>
      </c>
      <c r="I244" s="1014"/>
      <c r="J244" s="1010" t="s">
        <v>1405</v>
      </c>
      <c r="K244" s="1014"/>
      <c r="L244" s="1010" t="s">
        <v>1406</v>
      </c>
      <c r="M244" s="1014"/>
      <c r="N244" s="1010" t="s">
        <v>1520</v>
      </c>
      <c r="O244" s="1014"/>
      <c r="P244" s="1010" t="s">
        <v>1521</v>
      </c>
      <c r="Q244" s="1014"/>
      <c r="R244" s="1010" t="s">
        <v>1522</v>
      </c>
      <c r="S244" s="1014"/>
      <c r="T244" s="1014"/>
      <c r="U244" s="1014"/>
    </row>
    <row r="245" spans="1:21" ht="28.5" customHeight="1" thickBot="1" x14ac:dyDescent="0.3">
      <c r="A245" s="1006"/>
      <c r="B245" s="1014"/>
      <c r="C245" s="1007" t="s">
        <v>1402</v>
      </c>
      <c r="D245" s="1685" t="str">
        <f>AA19</f>
        <v/>
      </c>
      <c r="E245" s="1686"/>
      <c r="F245" s="1014"/>
      <c r="G245" s="1098" t="str">
        <f>IF(P248="Yes","Weekly Baseline","Baseline")</f>
        <v>Weekly Baseline</v>
      </c>
      <c r="H245" s="975"/>
      <c r="I245" s="1014"/>
      <c r="J245" s="1004"/>
      <c r="K245" s="1014"/>
      <c r="L245" s="975"/>
      <c r="M245" s="1014"/>
      <c r="N245" s="968" t="s">
        <v>479</v>
      </c>
      <c r="O245" s="1014"/>
      <c r="P245" s="968" t="s">
        <v>1523</v>
      </c>
      <c r="Q245" s="1014"/>
      <c r="R245" s="968" t="s">
        <v>1524</v>
      </c>
      <c r="S245" s="1014"/>
      <c r="T245" s="1014"/>
      <c r="U245" s="1014"/>
    </row>
    <row r="246" spans="1:21" ht="18" customHeight="1" thickBot="1" x14ac:dyDescent="0.3">
      <c r="A246" s="1006"/>
      <c r="B246" s="1014"/>
      <c r="C246" s="1002"/>
      <c r="D246" s="995"/>
      <c r="E246" s="995"/>
      <c r="F246" s="1014"/>
      <c r="G246" s="1046"/>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1403</v>
      </c>
      <c r="D247" s="1685" t="str">
        <f>AB19</f>
        <v/>
      </c>
      <c r="E247" s="1686"/>
      <c r="F247" s="1014"/>
      <c r="G247" s="1046"/>
      <c r="H247" s="1009" t="s">
        <v>1511</v>
      </c>
      <c r="I247" s="1014"/>
      <c r="J247" s="1010" t="s">
        <v>1525</v>
      </c>
      <c r="K247" s="1014"/>
      <c r="L247" s="1010" t="s">
        <v>1512</v>
      </c>
      <c r="M247" s="1014"/>
      <c r="N247" s="1010" t="s">
        <v>1526</v>
      </c>
      <c r="O247" s="1014"/>
      <c r="P247" s="1010" t="s">
        <v>1527</v>
      </c>
      <c r="Q247" s="1014"/>
      <c r="R247" s="1010" t="s">
        <v>1528</v>
      </c>
      <c r="S247" s="1014"/>
      <c r="T247" s="1087" t="s">
        <v>1618</v>
      </c>
      <c r="U247" s="1014"/>
    </row>
    <row r="248" spans="1:21" ht="18" customHeight="1" thickBot="1" x14ac:dyDescent="0.3">
      <c r="A248" s="1006"/>
      <c r="B248" s="1014"/>
      <c r="C248" s="1002"/>
      <c r="D248" s="1002"/>
      <c r="E248" s="1002"/>
      <c r="F248" s="1014"/>
      <c r="G248" s="1046"/>
      <c r="H248" s="996" t="s">
        <v>647</v>
      </c>
      <c r="I248" s="1014"/>
      <c r="J248" s="953" t="s">
        <v>1513</v>
      </c>
      <c r="K248" s="1014"/>
      <c r="L248" s="968" t="s">
        <v>1513</v>
      </c>
      <c r="M248" s="1014"/>
      <c r="N248" s="968" t="s">
        <v>649</v>
      </c>
      <c r="O248" s="1014"/>
      <c r="P248" s="996" t="s">
        <v>647</v>
      </c>
      <c r="Q248" s="1014"/>
      <c r="R248" s="968" t="s">
        <v>1529</v>
      </c>
      <c r="S248" s="1014"/>
      <c r="T248" s="1088" t="s">
        <v>647</v>
      </c>
      <c r="U248" s="1014"/>
    </row>
    <row r="249" spans="1:21" ht="30" customHeight="1" thickBot="1" x14ac:dyDescent="0.3">
      <c r="A249" s="1006"/>
      <c r="B249" s="1014"/>
      <c r="C249" s="1008" t="s">
        <v>1514</v>
      </c>
      <c r="D249" s="1673" t="s">
        <v>647</v>
      </c>
      <c r="E249" s="1674"/>
      <c r="F249" s="1014"/>
      <c r="G249" s="1046"/>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6"/>
      <c r="H250" s="1014"/>
      <c r="I250" s="1014"/>
      <c r="J250" s="1014"/>
      <c r="K250" s="1014"/>
      <c r="L250" s="1014"/>
      <c r="M250" s="1014"/>
      <c r="N250" s="1014"/>
      <c r="O250" s="1014"/>
      <c r="P250" s="1014"/>
      <c r="Q250" s="1014"/>
      <c r="R250" s="1014"/>
      <c r="S250" s="1014"/>
      <c r="T250" s="1010" t="s">
        <v>524</v>
      </c>
      <c r="U250" s="1014"/>
    </row>
    <row r="251" spans="1:21" ht="18" customHeight="1" thickBot="1" x14ac:dyDescent="0.3">
      <c r="A251" s="1006"/>
      <c r="B251" s="1014"/>
      <c r="C251" s="1007" t="s">
        <v>1515</v>
      </c>
      <c r="D251" s="1683" t="s">
        <v>1516</v>
      </c>
      <c r="E251" s="1666"/>
      <c r="F251" s="1014"/>
      <c r="G251" s="1046"/>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6"/>
      <c r="H252" s="1014"/>
      <c r="I252" s="1014"/>
      <c r="J252" s="1014"/>
      <c r="K252" s="1014"/>
      <c r="L252" s="1014"/>
      <c r="M252" s="1014"/>
      <c r="N252" s="1014"/>
      <c r="O252" s="1014"/>
      <c r="P252" s="1014"/>
      <c r="Q252" s="1014"/>
      <c r="R252" s="1014"/>
      <c r="S252" s="1014"/>
      <c r="T252" s="1014"/>
      <c r="U252" s="1014"/>
    </row>
    <row r="253" spans="1:21" s="1092" customFormat="1" ht="20.25" customHeight="1" thickBot="1" x14ac:dyDescent="0.3">
      <c r="B253" s="1678" t="s">
        <v>1698</v>
      </c>
      <c r="C253" s="1679"/>
      <c r="D253" s="1679"/>
      <c r="E253" s="1679"/>
      <c r="F253" s="1679"/>
      <c r="G253" s="1679"/>
      <c r="H253" s="1679"/>
      <c r="I253" s="1679"/>
      <c r="J253" s="1679"/>
      <c r="K253" s="1679"/>
      <c r="L253" s="1679"/>
      <c r="M253" s="1679"/>
      <c r="N253" s="1679"/>
      <c r="O253" s="1679"/>
      <c r="P253" s="1679"/>
      <c r="Q253" s="1679"/>
      <c r="R253" s="1679"/>
      <c r="S253" s="1679"/>
      <c r="T253" s="1679"/>
      <c r="U253" s="1680"/>
    </row>
    <row r="254" spans="1:21" s="1092" customFormat="1" ht="20.25" customHeight="1" thickBot="1" x14ac:dyDescent="0.3">
      <c r="B254" s="1014"/>
      <c r="C254" s="1014"/>
      <c r="D254" s="1014"/>
      <c r="E254" s="1014"/>
      <c r="F254" s="1014"/>
      <c r="G254" s="1046"/>
      <c r="H254" s="1014"/>
      <c r="I254" s="1014"/>
      <c r="J254" s="1014"/>
      <c r="K254" s="1014"/>
      <c r="L254" s="1014"/>
      <c r="M254" s="1014"/>
      <c r="N254" s="1014"/>
      <c r="O254" s="1014"/>
      <c r="P254" s="1014"/>
      <c r="Q254" s="1014"/>
      <c r="R254" s="1014"/>
      <c r="S254" s="1014"/>
      <c r="T254" s="1014"/>
      <c r="U254" s="1014"/>
    </row>
    <row r="255" spans="1:21" s="1092" customFormat="1" ht="30" customHeight="1" thickBot="1" x14ac:dyDescent="0.3">
      <c r="A255" s="134"/>
      <c r="B255" s="1014"/>
      <c r="C255" s="1007" t="s">
        <v>1400</v>
      </c>
      <c r="D255" s="1681" t="s">
        <v>1558</v>
      </c>
      <c r="E255" s="1682"/>
      <c r="F255" s="1014"/>
      <c r="G255" s="1046"/>
      <c r="H255" s="1010" t="s">
        <v>1397</v>
      </c>
      <c r="I255" s="1014"/>
      <c r="J255" s="1010" t="s">
        <v>1398</v>
      </c>
      <c r="K255" s="1014"/>
      <c r="L255" s="1010" t="s">
        <v>1414</v>
      </c>
      <c r="M255" s="1014"/>
      <c r="N255" s="1010" t="s">
        <v>1399</v>
      </c>
      <c r="O255" s="1014"/>
      <c r="P255" s="1010" t="s">
        <v>1505</v>
      </c>
      <c r="Q255" s="1014"/>
      <c r="R255" s="1010" t="s">
        <v>1506</v>
      </c>
      <c r="S255" s="1014"/>
      <c r="T255" s="1010" t="s">
        <v>1507</v>
      </c>
      <c r="U255" s="1014"/>
    </row>
    <row r="256" spans="1:21" s="1092" customFormat="1" ht="18" customHeight="1" thickBot="1" x14ac:dyDescent="0.3">
      <c r="B256" s="1014"/>
      <c r="C256" s="1002"/>
      <c r="D256" s="1002"/>
      <c r="E256" s="1002"/>
      <c r="F256" s="1014"/>
      <c r="G256" s="1046"/>
      <c r="H256" s="952"/>
      <c r="I256" s="1014"/>
      <c r="J256" s="1000"/>
      <c r="K256" s="1014"/>
      <c r="L256" s="1000"/>
      <c r="M256" s="1014"/>
      <c r="N256" s="1044"/>
      <c r="O256" s="1014"/>
      <c r="P256" s="953" t="s">
        <v>1508</v>
      </c>
      <c r="Q256" s="1014"/>
      <c r="R256" s="953" t="s">
        <v>1509</v>
      </c>
      <c r="S256" s="1014"/>
      <c r="T256" s="996" t="s">
        <v>649</v>
      </c>
      <c r="U256" s="1014"/>
    </row>
    <row r="257" spans="1:21" s="1092" customFormat="1" ht="30" customHeight="1" thickBot="1" x14ac:dyDescent="0.3">
      <c r="B257" s="1014"/>
      <c r="C257" s="1007" t="s">
        <v>1510</v>
      </c>
      <c r="D257" s="1683">
        <v>1302</v>
      </c>
      <c r="E257" s="1684"/>
      <c r="F257" s="1014"/>
      <c r="G257" s="1046"/>
      <c r="H257" s="1014"/>
      <c r="I257" s="1014"/>
      <c r="J257" s="1014"/>
      <c r="K257" s="1014"/>
      <c r="L257" s="1014"/>
      <c r="M257" s="1014"/>
      <c r="N257" s="1014"/>
      <c r="O257" s="1014"/>
      <c r="P257" s="1014"/>
      <c r="Q257" s="1014"/>
      <c r="R257" s="1014"/>
      <c r="S257" s="1014"/>
      <c r="T257" s="1014"/>
      <c r="U257" s="1014"/>
    </row>
    <row r="258" spans="1:21" s="1092" customFormat="1" ht="30" customHeight="1" thickBot="1" x14ac:dyDescent="0.3">
      <c r="B258" s="1014"/>
      <c r="C258" s="1002"/>
      <c r="D258" s="1002"/>
      <c r="E258" s="1002"/>
      <c r="F258" s="1014"/>
      <c r="G258" s="1046"/>
      <c r="H258" s="1011" t="s">
        <v>1404</v>
      </c>
      <c r="I258" s="1014"/>
      <c r="J258" s="1010" t="s">
        <v>1405</v>
      </c>
      <c r="K258" s="1014"/>
      <c r="L258" s="1010" t="s">
        <v>1406</v>
      </c>
      <c r="M258" s="1014"/>
      <c r="N258" s="1010" t="s">
        <v>1520</v>
      </c>
      <c r="O258" s="1014"/>
      <c r="P258" s="1010" t="s">
        <v>1521</v>
      </c>
      <c r="Q258" s="1014"/>
      <c r="R258" s="1010" t="s">
        <v>1522</v>
      </c>
      <c r="S258" s="1014"/>
      <c r="T258" s="1014"/>
      <c r="U258" s="1014"/>
    </row>
    <row r="259" spans="1:21" s="1092" customFormat="1" ht="26.25" customHeight="1" thickBot="1" x14ac:dyDescent="0.3">
      <c r="B259" s="1014"/>
      <c r="C259" s="1007" t="s">
        <v>1402</v>
      </c>
      <c r="D259" s="1685" t="str">
        <f>AA20</f>
        <v/>
      </c>
      <c r="E259" s="1686"/>
      <c r="F259" s="1014"/>
      <c r="G259" s="1098" t="str">
        <f>IF(P262="Yes","Weekly Baseline","Baseline")</f>
        <v>Weekly Baseline</v>
      </c>
      <c r="H259" s="975"/>
      <c r="I259" s="1014"/>
      <c r="J259" s="1004"/>
      <c r="K259" s="1014"/>
      <c r="L259" s="975"/>
      <c r="M259" s="1014"/>
      <c r="N259" s="1040" t="s">
        <v>479</v>
      </c>
      <c r="O259" s="1014"/>
      <c r="P259" s="1040" t="s">
        <v>1523</v>
      </c>
      <c r="Q259" s="1014"/>
      <c r="R259" s="1040" t="s">
        <v>1524</v>
      </c>
      <c r="S259" s="1014"/>
      <c r="T259" s="1014"/>
      <c r="U259" s="1014"/>
    </row>
    <row r="260" spans="1:21" s="1092" customFormat="1" ht="18" customHeight="1" thickBot="1" x14ac:dyDescent="0.3">
      <c r="B260" s="1014"/>
      <c r="C260" s="1002"/>
      <c r="D260" s="995"/>
      <c r="E260" s="995"/>
      <c r="F260" s="1014"/>
      <c r="G260" s="1046"/>
      <c r="H260" s="1014"/>
      <c r="I260" s="1014"/>
      <c r="J260" s="1014"/>
      <c r="K260" s="1014"/>
      <c r="L260" s="1014"/>
      <c r="M260" s="1014"/>
      <c r="N260" s="1014"/>
      <c r="O260" s="1014"/>
      <c r="P260" s="1014"/>
      <c r="Q260" s="1014"/>
      <c r="R260" s="1014"/>
      <c r="S260" s="1014"/>
      <c r="T260" s="1014"/>
      <c r="U260" s="1014"/>
    </row>
    <row r="261" spans="1:21" s="1092" customFormat="1" ht="30" customHeight="1" thickBot="1" x14ac:dyDescent="0.3">
      <c r="B261" s="1014"/>
      <c r="C261" s="1007" t="s">
        <v>1403</v>
      </c>
      <c r="D261" s="1685" t="str">
        <f>AB20</f>
        <v/>
      </c>
      <c r="E261" s="1686"/>
      <c r="F261" s="1014"/>
      <c r="G261" s="1046"/>
      <c r="H261" s="1093" t="s">
        <v>1511</v>
      </c>
      <c r="I261" s="1014"/>
      <c r="J261" s="1010" t="s">
        <v>1525</v>
      </c>
      <c r="K261" s="1014"/>
      <c r="L261" s="1010" t="s">
        <v>1512</v>
      </c>
      <c r="M261" s="1014"/>
      <c r="N261" s="1010" t="s">
        <v>1526</v>
      </c>
      <c r="O261" s="1014"/>
      <c r="P261" s="1010" t="s">
        <v>1527</v>
      </c>
      <c r="Q261" s="1014"/>
      <c r="R261" s="1010" t="s">
        <v>1528</v>
      </c>
      <c r="S261" s="1014"/>
      <c r="T261" s="1087" t="s">
        <v>1618</v>
      </c>
      <c r="U261" s="1014"/>
    </row>
    <row r="262" spans="1:21" s="1092" customFormat="1" ht="18" customHeight="1" thickBot="1" x14ac:dyDescent="0.3">
      <c r="B262" s="1014"/>
      <c r="C262" s="1002"/>
      <c r="D262" s="1002"/>
      <c r="E262" s="1002"/>
      <c r="F262" s="1014"/>
      <c r="G262" s="1046"/>
      <c r="H262" s="996" t="s">
        <v>647</v>
      </c>
      <c r="I262" s="1014"/>
      <c r="J262" s="953" t="s">
        <v>1513</v>
      </c>
      <c r="K262" s="1014"/>
      <c r="L262" s="1040" t="s">
        <v>1513</v>
      </c>
      <c r="M262" s="1014"/>
      <c r="N262" s="1040" t="s">
        <v>649</v>
      </c>
      <c r="O262" s="1014"/>
      <c r="P262" s="996" t="s">
        <v>647</v>
      </c>
      <c r="Q262" s="1014"/>
      <c r="R262" s="1040" t="s">
        <v>1529</v>
      </c>
      <c r="S262" s="1014"/>
      <c r="T262" s="1088" t="s">
        <v>647</v>
      </c>
      <c r="U262" s="1014"/>
    </row>
    <row r="263" spans="1:21" s="1092" customFormat="1" ht="30" customHeight="1" thickBot="1" x14ac:dyDescent="0.3">
      <c r="B263" s="1014"/>
      <c r="C263" s="1008" t="s">
        <v>1514</v>
      </c>
      <c r="D263" s="1673" t="s">
        <v>647</v>
      </c>
      <c r="E263" s="1674"/>
      <c r="F263" s="1014"/>
      <c r="G263" s="1046"/>
      <c r="H263" s="1014"/>
      <c r="I263" s="1014"/>
      <c r="J263" s="1014"/>
      <c r="K263" s="1014"/>
      <c r="L263" s="1014"/>
      <c r="M263" s="1014"/>
      <c r="N263" s="1014"/>
      <c r="O263" s="1014"/>
      <c r="P263" s="1014"/>
      <c r="Q263" s="1014"/>
      <c r="R263" s="1014"/>
      <c r="S263" s="1014"/>
      <c r="T263" s="1014"/>
      <c r="U263" s="1014"/>
    </row>
    <row r="264" spans="1:21" s="1092" customFormat="1" ht="18" customHeight="1" thickBot="1" x14ac:dyDescent="0.3">
      <c r="B264" s="1014"/>
      <c r="C264" s="1002"/>
      <c r="D264" s="1002"/>
      <c r="E264" s="1002"/>
      <c r="F264" s="1014"/>
      <c r="G264" s="1046"/>
      <c r="H264" s="1014"/>
      <c r="I264" s="1014"/>
      <c r="J264" s="1014"/>
      <c r="K264" s="1014"/>
      <c r="L264" s="1014"/>
      <c r="M264" s="1014"/>
      <c r="N264" s="1014"/>
      <c r="O264" s="1014"/>
      <c r="P264" s="1014"/>
      <c r="Q264" s="1014"/>
      <c r="R264" s="1014"/>
      <c r="S264" s="1014"/>
      <c r="T264" s="1010" t="s">
        <v>524</v>
      </c>
      <c r="U264" s="1014"/>
    </row>
    <row r="265" spans="1:21" s="1092" customFormat="1" ht="18" customHeight="1" thickBot="1" x14ac:dyDescent="0.3">
      <c r="B265" s="1014"/>
      <c r="C265" s="1007" t="s">
        <v>1515</v>
      </c>
      <c r="D265" s="1683" t="s">
        <v>1516</v>
      </c>
      <c r="E265" s="1666"/>
      <c r="F265" s="1014"/>
      <c r="G265" s="1046"/>
      <c r="H265" s="1014"/>
      <c r="I265" s="1014"/>
      <c r="J265" s="1014"/>
      <c r="K265" s="1014"/>
      <c r="L265" s="1014"/>
      <c r="M265" s="1014"/>
      <c r="N265" s="1014"/>
      <c r="O265" s="1014"/>
      <c r="P265" s="1014"/>
      <c r="Q265" s="1014"/>
      <c r="R265" s="1014"/>
      <c r="S265" s="1014"/>
      <c r="T265" s="1040" t="str">
        <f>IF(Z20&lt;&gt;"","Yes","No")</f>
        <v>No</v>
      </c>
      <c r="U265" s="1014"/>
    </row>
    <row r="266" spans="1:21" s="1092" customFormat="1" ht="20.25" customHeight="1" thickBot="1" x14ac:dyDescent="0.3">
      <c r="B266" s="1014"/>
      <c r="C266" s="1014"/>
      <c r="D266" s="1014"/>
      <c r="E266" s="1014"/>
      <c r="F266" s="1014"/>
      <c r="G266" s="1046"/>
      <c r="H266" s="1014"/>
      <c r="I266" s="1014"/>
      <c r="J266" s="1014"/>
      <c r="K266" s="1014"/>
      <c r="L266" s="1014"/>
      <c r="M266" s="1014"/>
      <c r="N266" s="1014"/>
      <c r="O266" s="1014"/>
      <c r="P266" s="1014"/>
      <c r="Q266" s="1014"/>
      <c r="R266" s="1014"/>
      <c r="S266" s="1014"/>
      <c r="T266" s="1014"/>
      <c r="U266" s="1014"/>
    </row>
    <row r="267" spans="1:21" s="1092" customFormat="1" ht="20.25" customHeight="1" thickBot="1" x14ac:dyDescent="0.3">
      <c r="B267" s="1678" t="s">
        <v>1700</v>
      </c>
      <c r="C267" s="1679"/>
      <c r="D267" s="1679"/>
      <c r="E267" s="1679"/>
      <c r="F267" s="1679"/>
      <c r="G267" s="1679"/>
      <c r="H267" s="1679"/>
      <c r="I267" s="1679"/>
      <c r="J267" s="1679"/>
      <c r="K267" s="1679"/>
      <c r="L267" s="1679"/>
      <c r="M267" s="1679"/>
      <c r="N267" s="1679"/>
      <c r="O267" s="1679"/>
      <c r="P267" s="1679"/>
      <c r="Q267" s="1679"/>
      <c r="R267" s="1679"/>
      <c r="S267" s="1679"/>
      <c r="T267" s="1679"/>
      <c r="U267" s="1680"/>
    </row>
    <row r="268" spans="1:21" s="1092" customFormat="1" ht="20.25" customHeight="1" thickBot="1" x14ac:dyDescent="0.3">
      <c r="B268" s="1014"/>
      <c r="C268" s="1014"/>
      <c r="D268" s="1014"/>
      <c r="E268" s="1014"/>
      <c r="F268" s="1014"/>
      <c r="G268" s="1046"/>
      <c r="H268" s="1014"/>
      <c r="I268" s="1014"/>
      <c r="J268" s="1014"/>
      <c r="K268" s="1014"/>
      <c r="L268" s="1014"/>
      <c r="M268" s="1014"/>
      <c r="N268" s="1014"/>
      <c r="O268" s="1014"/>
      <c r="P268" s="1014"/>
      <c r="Q268" s="1014"/>
      <c r="R268" s="1014"/>
      <c r="S268" s="1014"/>
      <c r="T268" s="1014"/>
      <c r="U268" s="1014"/>
    </row>
    <row r="269" spans="1:21" s="1092" customFormat="1" ht="30" customHeight="1" thickBot="1" x14ac:dyDescent="0.3">
      <c r="A269" s="134"/>
      <c r="B269" s="1014"/>
      <c r="C269" s="1007" t="s">
        <v>1400</v>
      </c>
      <c r="D269" s="1681" t="s">
        <v>1558</v>
      </c>
      <c r="E269" s="1682"/>
      <c r="F269" s="1014"/>
      <c r="G269" s="1046"/>
      <c r="H269" s="1010" t="s">
        <v>1397</v>
      </c>
      <c r="I269" s="1014"/>
      <c r="J269" s="1010" t="s">
        <v>1398</v>
      </c>
      <c r="K269" s="1014"/>
      <c r="L269" s="1010" t="s">
        <v>1414</v>
      </c>
      <c r="M269" s="1014"/>
      <c r="N269" s="1010" t="s">
        <v>1399</v>
      </c>
      <c r="O269" s="1014"/>
      <c r="P269" s="1010" t="s">
        <v>1505</v>
      </c>
      <c r="Q269" s="1014"/>
      <c r="R269" s="1010" t="s">
        <v>1506</v>
      </c>
      <c r="S269" s="1014"/>
      <c r="T269" s="1010" t="s">
        <v>1507</v>
      </c>
      <c r="U269" s="1014"/>
    </row>
    <row r="270" spans="1:21" s="1092" customFormat="1" ht="18" customHeight="1" thickBot="1" x14ac:dyDescent="0.3">
      <c r="B270" s="1014"/>
      <c r="C270" s="1002"/>
      <c r="D270" s="1002"/>
      <c r="E270" s="1002"/>
      <c r="F270" s="1014"/>
      <c r="G270" s="1046"/>
      <c r="H270" s="952"/>
      <c r="I270" s="1014"/>
      <c r="J270" s="1000"/>
      <c r="K270" s="1014"/>
      <c r="L270" s="1000"/>
      <c r="M270" s="1014"/>
      <c r="N270" s="1044"/>
      <c r="O270" s="1014"/>
      <c r="P270" s="953" t="s">
        <v>1508</v>
      </c>
      <c r="Q270" s="1014"/>
      <c r="R270" s="953" t="s">
        <v>1509</v>
      </c>
      <c r="S270" s="1014"/>
      <c r="T270" s="996" t="s">
        <v>649</v>
      </c>
      <c r="U270" s="1014"/>
    </row>
    <row r="271" spans="1:21" s="1092" customFormat="1" ht="30" customHeight="1" thickBot="1" x14ac:dyDescent="0.3">
      <c r="B271" s="1014"/>
      <c r="C271" s="1007" t="s">
        <v>1510</v>
      </c>
      <c r="D271" s="1683">
        <v>1303</v>
      </c>
      <c r="E271" s="1684"/>
      <c r="F271" s="1014"/>
      <c r="G271" s="1046"/>
      <c r="H271" s="1014"/>
      <c r="I271" s="1014"/>
      <c r="J271" s="1014"/>
      <c r="K271" s="1014"/>
      <c r="L271" s="1014"/>
      <c r="M271" s="1014"/>
      <c r="N271" s="1014"/>
      <c r="O271" s="1014"/>
      <c r="P271" s="1014"/>
      <c r="Q271" s="1014"/>
      <c r="R271" s="1014"/>
      <c r="S271" s="1014"/>
      <c r="T271" s="1014"/>
      <c r="U271" s="1014"/>
    </row>
    <row r="272" spans="1:21" s="1092" customFormat="1" ht="30" customHeight="1" thickBot="1" x14ac:dyDescent="0.3">
      <c r="B272" s="1014"/>
      <c r="C272" s="1002"/>
      <c r="D272" s="1002"/>
      <c r="E272" s="1002"/>
      <c r="F272" s="1014"/>
      <c r="G272" s="1046"/>
      <c r="H272" s="1011" t="s">
        <v>1404</v>
      </c>
      <c r="I272" s="1014"/>
      <c r="J272" s="1010" t="s">
        <v>1405</v>
      </c>
      <c r="K272" s="1014"/>
      <c r="L272" s="1010" t="s">
        <v>1406</v>
      </c>
      <c r="M272" s="1014"/>
      <c r="N272" s="1010" t="s">
        <v>1520</v>
      </c>
      <c r="O272" s="1014"/>
      <c r="P272" s="1010" t="s">
        <v>1521</v>
      </c>
      <c r="Q272" s="1014"/>
      <c r="R272" s="1010" t="s">
        <v>1522</v>
      </c>
      <c r="S272" s="1014"/>
      <c r="T272" s="1014"/>
      <c r="U272" s="1014"/>
    </row>
    <row r="273" spans="1:21" s="1092" customFormat="1" ht="26.25" customHeight="1" thickBot="1" x14ac:dyDescent="0.3">
      <c r="B273" s="1014"/>
      <c r="C273" s="1007" t="s">
        <v>1402</v>
      </c>
      <c r="D273" s="1685" t="str">
        <f>AA21</f>
        <v/>
      </c>
      <c r="E273" s="1686"/>
      <c r="F273" s="1014"/>
      <c r="G273" s="1098" t="str">
        <f>IF(P276="Yes","Weekly Baseline","Baseline")</f>
        <v>Weekly Baseline</v>
      </c>
      <c r="H273" s="975"/>
      <c r="I273" s="1014"/>
      <c r="J273" s="1004"/>
      <c r="K273" s="1014"/>
      <c r="L273" s="975"/>
      <c r="M273" s="1014"/>
      <c r="N273" s="1040" t="s">
        <v>479</v>
      </c>
      <c r="O273" s="1014"/>
      <c r="P273" s="1040" t="s">
        <v>1523</v>
      </c>
      <c r="Q273" s="1014"/>
      <c r="R273" s="1040" t="s">
        <v>1524</v>
      </c>
      <c r="S273" s="1014"/>
      <c r="T273" s="1014"/>
      <c r="U273" s="1014"/>
    </row>
    <row r="274" spans="1:21" s="1092" customFormat="1" ht="18" customHeight="1" thickBot="1" x14ac:dyDescent="0.3">
      <c r="B274" s="1014"/>
      <c r="C274" s="1002"/>
      <c r="D274" s="995"/>
      <c r="E274" s="995"/>
      <c r="F274" s="1014"/>
      <c r="G274" s="1046"/>
      <c r="H274" s="1014"/>
      <c r="I274" s="1014"/>
      <c r="J274" s="1014"/>
      <c r="K274" s="1014"/>
      <c r="L274" s="1014"/>
      <c r="M274" s="1014"/>
      <c r="N274" s="1014"/>
      <c r="O274" s="1014"/>
      <c r="P274" s="1014"/>
      <c r="Q274" s="1014"/>
      <c r="R274" s="1014"/>
      <c r="S274" s="1014"/>
      <c r="T274" s="1014"/>
      <c r="U274" s="1014"/>
    </row>
    <row r="275" spans="1:21" s="1092" customFormat="1" ht="30" customHeight="1" thickBot="1" x14ac:dyDescent="0.3">
      <c r="B275" s="1014"/>
      <c r="C275" s="1007" t="s">
        <v>1403</v>
      </c>
      <c r="D275" s="1685" t="str">
        <f>AB21</f>
        <v/>
      </c>
      <c r="E275" s="1686"/>
      <c r="F275" s="1014"/>
      <c r="G275" s="1046"/>
      <c r="H275" s="1093" t="s">
        <v>1511</v>
      </c>
      <c r="I275" s="1014"/>
      <c r="J275" s="1010" t="s">
        <v>1525</v>
      </c>
      <c r="K275" s="1014"/>
      <c r="L275" s="1010" t="s">
        <v>1512</v>
      </c>
      <c r="M275" s="1014"/>
      <c r="N275" s="1010" t="s">
        <v>1526</v>
      </c>
      <c r="O275" s="1014"/>
      <c r="P275" s="1010" t="s">
        <v>1527</v>
      </c>
      <c r="Q275" s="1014"/>
      <c r="R275" s="1010" t="s">
        <v>1528</v>
      </c>
      <c r="S275" s="1014"/>
      <c r="T275" s="1087" t="s">
        <v>1618</v>
      </c>
      <c r="U275" s="1014"/>
    </row>
    <row r="276" spans="1:21" s="1092" customFormat="1" ht="18" customHeight="1" thickBot="1" x14ac:dyDescent="0.3">
      <c r="B276" s="1014"/>
      <c r="C276" s="1002"/>
      <c r="D276" s="1002"/>
      <c r="E276" s="1002"/>
      <c r="F276" s="1014"/>
      <c r="G276" s="1046"/>
      <c r="H276" s="996" t="s">
        <v>647</v>
      </c>
      <c r="I276" s="1014"/>
      <c r="J276" s="953" t="s">
        <v>1513</v>
      </c>
      <c r="K276" s="1014"/>
      <c r="L276" s="1040" t="s">
        <v>1513</v>
      </c>
      <c r="M276" s="1014"/>
      <c r="N276" s="1040" t="s">
        <v>649</v>
      </c>
      <c r="O276" s="1014"/>
      <c r="P276" s="996" t="s">
        <v>647</v>
      </c>
      <c r="Q276" s="1014"/>
      <c r="R276" s="1040" t="s">
        <v>1529</v>
      </c>
      <c r="S276" s="1014"/>
      <c r="T276" s="1088" t="s">
        <v>649</v>
      </c>
      <c r="U276" s="1014"/>
    </row>
    <row r="277" spans="1:21" s="1092" customFormat="1" ht="30" customHeight="1" thickBot="1" x14ac:dyDescent="0.3">
      <c r="B277" s="1014"/>
      <c r="C277" s="1008" t="s">
        <v>1514</v>
      </c>
      <c r="D277" s="1673" t="s">
        <v>647</v>
      </c>
      <c r="E277" s="1674"/>
      <c r="F277" s="1014"/>
      <c r="G277" s="1046"/>
      <c r="H277" s="1014"/>
      <c r="I277" s="1014"/>
      <c r="J277" s="1014"/>
      <c r="K277" s="1014"/>
      <c r="L277" s="1014"/>
      <c r="M277" s="1014"/>
      <c r="N277" s="1014"/>
      <c r="O277" s="1014"/>
      <c r="P277" s="1014"/>
      <c r="Q277" s="1014"/>
      <c r="R277" s="1014"/>
      <c r="S277" s="1014"/>
      <c r="T277" s="1014"/>
      <c r="U277" s="1014"/>
    </row>
    <row r="278" spans="1:21" s="1092" customFormat="1" ht="18" customHeight="1" thickBot="1" x14ac:dyDescent="0.3">
      <c r="B278" s="1014"/>
      <c r="C278" s="1002"/>
      <c r="D278" s="1002"/>
      <c r="E278" s="1002"/>
      <c r="F278" s="1014"/>
      <c r="G278" s="1046"/>
      <c r="H278" s="1014"/>
      <c r="I278" s="1014"/>
      <c r="J278" s="1014"/>
      <c r="K278" s="1014"/>
      <c r="L278" s="1014"/>
      <c r="M278" s="1014"/>
      <c r="N278" s="1014"/>
      <c r="O278" s="1014"/>
      <c r="P278" s="1014"/>
      <c r="Q278" s="1014"/>
      <c r="R278" s="1014"/>
      <c r="S278" s="1014"/>
      <c r="T278" s="1010" t="s">
        <v>524</v>
      </c>
      <c r="U278" s="1014"/>
    </row>
    <row r="279" spans="1:21" s="1092" customFormat="1" ht="18" customHeight="1" thickBot="1" x14ac:dyDescent="0.3">
      <c r="B279" s="1014"/>
      <c r="C279" s="1007" t="s">
        <v>1515</v>
      </c>
      <c r="D279" s="1683" t="s">
        <v>1516</v>
      </c>
      <c r="E279" s="1666"/>
      <c r="F279" s="1014"/>
      <c r="G279" s="1046"/>
      <c r="H279" s="1014"/>
      <c r="I279" s="1014"/>
      <c r="J279" s="1014"/>
      <c r="K279" s="1014"/>
      <c r="L279" s="1014"/>
      <c r="M279" s="1014"/>
      <c r="N279" s="1014"/>
      <c r="O279" s="1014"/>
      <c r="P279" s="1014"/>
      <c r="Q279" s="1014"/>
      <c r="R279" s="1014"/>
      <c r="S279" s="1014"/>
      <c r="T279" s="1040" t="str">
        <f>IF(Z21&lt;&gt;"","Yes","No")</f>
        <v>No</v>
      </c>
      <c r="U279" s="1014"/>
    </row>
    <row r="280" spans="1:21" s="1092" customFormat="1" ht="20.25" customHeight="1" thickBot="1" x14ac:dyDescent="0.3">
      <c r="B280" s="1014"/>
      <c r="C280" s="1014"/>
      <c r="D280" s="1014"/>
      <c r="E280" s="1014"/>
      <c r="F280" s="1014"/>
      <c r="G280" s="1046"/>
      <c r="H280" s="1014"/>
      <c r="I280" s="1014"/>
      <c r="J280" s="1014"/>
      <c r="K280" s="1014"/>
      <c r="L280" s="1014"/>
      <c r="M280" s="1014"/>
      <c r="N280" s="1014"/>
      <c r="O280" s="1014"/>
      <c r="P280" s="1014"/>
      <c r="Q280" s="1014"/>
      <c r="R280" s="1014"/>
      <c r="S280" s="1014"/>
      <c r="T280" s="1014"/>
      <c r="U280" s="1014"/>
    </row>
    <row r="281" spans="1:21" s="1092" customFormat="1" ht="20.25" customHeight="1" thickBot="1" x14ac:dyDescent="0.3">
      <c r="B281" s="1678" t="s">
        <v>1701</v>
      </c>
      <c r="C281" s="1679"/>
      <c r="D281" s="1679"/>
      <c r="E281" s="1679"/>
      <c r="F281" s="1679"/>
      <c r="G281" s="1679"/>
      <c r="H281" s="1679"/>
      <c r="I281" s="1679"/>
      <c r="J281" s="1679"/>
      <c r="K281" s="1679"/>
      <c r="L281" s="1679"/>
      <c r="M281" s="1679"/>
      <c r="N281" s="1679"/>
      <c r="O281" s="1679"/>
      <c r="P281" s="1679"/>
      <c r="Q281" s="1679"/>
      <c r="R281" s="1679"/>
      <c r="S281" s="1679"/>
      <c r="T281" s="1679"/>
      <c r="U281" s="1680"/>
    </row>
    <row r="282" spans="1:21" s="1092" customFormat="1" ht="20.25" customHeight="1" thickBot="1" x14ac:dyDescent="0.3">
      <c r="B282" s="1014"/>
      <c r="C282" s="1014"/>
      <c r="D282" s="1014"/>
      <c r="E282" s="1014"/>
      <c r="F282" s="1014"/>
      <c r="G282" s="1046"/>
      <c r="H282" s="1014"/>
      <c r="I282" s="1014"/>
      <c r="J282" s="1014"/>
      <c r="K282" s="1014"/>
      <c r="L282" s="1014"/>
      <c r="M282" s="1014"/>
      <c r="N282" s="1014"/>
      <c r="O282" s="1014"/>
      <c r="P282" s="1014"/>
      <c r="Q282" s="1014"/>
      <c r="R282" s="1014"/>
      <c r="S282" s="1014"/>
      <c r="T282" s="1014"/>
      <c r="U282" s="1014"/>
    </row>
    <row r="283" spans="1:21" s="1092" customFormat="1" ht="30" customHeight="1" thickBot="1" x14ac:dyDescent="0.3">
      <c r="A283" s="134"/>
      <c r="B283" s="1014"/>
      <c r="C283" s="1007" t="s">
        <v>1400</v>
      </c>
      <c r="D283" s="1681" t="s">
        <v>1558</v>
      </c>
      <c r="E283" s="1682"/>
      <c r="F283" s="1014"/>
      <c r="G283" s="1046"/>
      <c r="H283" s="1010" t="s">
        <v>1397</v>
      </c>
      <c r="I283" s="1014"/>
      <c r="J283" s="1010" t="s">
        <v>1398</v>
      </c>
      <c r="K283" s="1014"/>
      <c r="L283" s="1010" t="s">
        <v>1414</v>
      </c>
      <c r="M283" s="1014"/>
      <c r="N283" s="1010" t="s">
        <v>1399</v>
      </c>
      <c r="O283" s="1014"/>
      <c r="P283" s="1010" t="s">
        <v>1505</v>
      </c>
      <c r="Q283" s="1014"/>
      <c r="R283" s="1010" t="s">
        <v>1506</v>
      </c>
      <c r="S283" s="1014"/>
      <c r="T283" s="1010" t="s">
        <v>1507</v>
      </c>
      <c r="U283" s="1014"/>
    </row>
    <row r="284" spans="1:21" s="1092" customFormat="1" ht="18" customHeight="1" thickBot="1" x14ac:dyDescent="0.3">
      <c r="B284" s="1014"/>
      <c r="C284" s="1002"/>
      <c r="D284" s="1391"/>
      <c r="E284" s="1002"/>
      <c r="F284" s="1014"/>
      <c r="G284" s="1046"/>
      <c r="H284" s="952"/>
      <c r="I284" s="1014"/>
      <c r="J284" s="1000"/>
      <c r="K284" s="1014"/>
      <c r="L284" s="1000"/>
      <c r="M284" s="1014"/>
      <c r="N284" s="1044"/>
      <c r="O284" s="1014"/>
      <c r="P284" s="953" t="s">
        <v>1508</v>
      </c>
      <c r="Q284" s="1014"/>
      <c r="R284" s="953" t="s">
        <v>1509</v>
      </c>
      <c r="S284" s="1014"/>
      <c r="T284" s="996" t="s">
        <v>649</v>
      </c>
      <c r="U284" s="1014"/>
    </row>
    <row r="285" spans="1:21" s="1092" customFormat="1" ht="30" customHeight="1" thickBot="1" x14ac:dyDescent="0.3">
      <c r="B285" s="1014"/>
      <c r="C285" s="1007" t="s">
        <v>1510</v>
      </c>
      <c r="D285" s="1683">
        <v>1304</v>
      </c>
      <c r="E285" s="1684"/>
      <c r="F285" s="1014"/>
      <c r="G285" s="1046"/>
      <c r="H285" s="1014"/>
      <c r="I285" s="1014"/>
      <c r="J285" s="1014"/>
      <c r="K285" s="1014"/>
      <c r="L285" s="1014"/>
      <c r="M285" s="1014"/>
      <c r="N285" s="1014"/>
      <c r="O285" s="1014"/>
      <c r="P285" s="1014"/>
      <c r="Q285" s="1014"/>
      <c r="R285" s="1014"/>
      <c r="S285" s="1014"/>
      <c r="T285" s="1014"/>
      <c r="U285" s="1014"/>
    </row>
    <row r="286" spans="1:21" s="1092" customFormat="1" ht="30" customHeight="1" thickBot="1" x14ac:dyDescent="0.3">
      <c r="B286" s="1014"/>
      <c r="C286" s="1002"/>
      <c r="D286" s="1002"/>
      <c r="E286" s="1002"/>
      <c r="F286" s="1014"/>
      <c r="G286" s="1046"/>
      <c r="H286" s="1011" t="s">
        <v>1404</v>
      </c>
      <c r="I286" s="1014"/>
      <c r="J286" s="1010" t="s">
        <v>1405</v>
      </c>
      <c r="K286" s="1014"/>
      <c r="L286" s="1010" t="s">
        <v>1406</v>
      </c>
      <c r="M286" s="1014"/>
      <c r="N286" s="1010" t="s">
        <v>1520</v>
      </c>
      <c r="O286" s="1014"/>
      <c r="P286" s="1010" t="s">
        <v>1521</v>
      </c>
      <c r="Q286" s="1014"/>
      <c r="R286" s="1010" t="s">
        <v>1522</v>
      </c>
      <c r="S286" s="1014"/>
      <c r="T286" s="1014"/>
      <c r="U286" s="1014"/>
    </row>
    <row r="287" spans="1:21" s="1092" customFormat="1" ht="26.25" customHeight="1" thickBot="1" x14ac:dyDescent="0.3">
      <c r="B287" s="1014"/>
      <c r="C287" s="1007" t="s">
        <v>1402</v>
      </c>
      <c r="D287" s="1685" t="str">
        <f>AA22</f>
        <v/>
      </c>
      <c r="E287" s="1686"/>
      <c r="F287" s="1014"/>
      <c r="G287" s="1098" t="str">
        <f>IF(P290="Yes","Weekly Baseline","Baseline")</f>
        <v>Weekly Baseline</v>
      </c>
      <c r="H287" s="975"/>
      <c r="I287" s="1014"/>
      <c r="J287" s="1004"/>
      <c r="K287" s="1014"/>
      <c r="L287" s="975"/>
      <c r="M287" s="1014"/>
      <c r="N287" s="1040" t="s">
        <v>479</v>
      </c>
      <c r="O287" s="1014"/>
      <c r="P287" s="1040" t="s">
        <v>1523</v>
      </c>
      <c r="Q287" s="1014"/>
      <c r="R287" s="1040" t="s">
        <v>1524</v>
      </c>
      <c r="S287" s="1014"/>
      <c r="T287" s="1014"/>
      <c r="U287" s="1014"/>
    </row>
    <row r="288" spans="1:21" s="1092" customFormat="1" ht="18" customHeight="1" thickBot="1" x14ac:dyDescent="0.3">
      <c r="B288" s="1014"/>
      <c r="C288" s="1002"/>
      <c r="D288" s="995"/>
      <c r="E288" s="995"/>
      <c r="F288" s="1014"/>
      <c r="G288" s="1046"/>
      <c r="H288" s="1014"/>
      <c r="I288" s="1014"/>
      <c r="J288" s="1014"/>
      <c r="K288" s="1014"/>
      <c r="L288" s="1014"/>
      <c r="M288" s="1014"/>
      <c r="N288" s="1014"/>
      <c r="O288" s="1014"/>
      <c r="P288" s="1014"/>
      <c r="Q288" s="1014"/>
      <c r="R288" s="1014"/>
      <c r="S288" s="1014"/>
      <c r="T288" s="1014"/>
      <c r="U288" s="1014"/>
    </row>
    <row r="289" spans="1:21" s="1092" customFormat="1" ht="30" customHeight="1" thickBot="1" x14ac:dyDescent="0.3">
      <c r="B289" s="1014"/>
      <c r="C289" s="1007" t="s">
        <v>1403</v>
      </c>
      <c r="D289" s="1685" t="str">
        <f>AB22</f>
        <v/>
      </c>
      <c r="E289" s="1686"/>
      <c r="F289" s="1014"/>
      <c r="G289" s="1046"/>
      <c r="H289" s="1093" t="s">
        <v>1511</v>
      </c>
      <c r="I289" s="1014"/>
      <c r="J289" s="1010" t="s">
        <v>1525</v>
      </c>
      <c r="K289" s="1014"/>
      <c r="L289" s="1010" t="s">
        <v>1512</v>
      </c>
      <c r="M289" s="1014"/>
      <c r="N289" s="1010" t="s">
        <v>1526</v>
      </c>
      <c r="O289" s="1014"/>
      <c r="P289" s="1010" t="s">
        <v>1527</v>
      </c>
      <c r="Q289" s="1014"/>
      <c r="R289" s="1010" t="s">
        <v>1528</v>
      </c>
      <c r="S289" s="1014"/>
      <c r="T289" s="1087" t="s">
        <v>1618</v>
      </c>
      <c r="U289" s="1014"/>
    </row>
    <row r="290" spans="1:21" s="1092" customFormat="1" ht="18" customHeight="1" thickBot="1" x14ac:dyDescent="0.3">
      <c r="B290" s="1014"/>
      <c r="C290" s="1002"/>
      <c r="D290" s="1002"/>
      <c r="E290" s="1002"/>
      <c r="F290" s="1014"/>
      <c r="G290" s="1046"/>
      <c r="H290" s="996" t="s">
        <v>647</v>
      </c>
      <c r="I290" s="1014"/>
      <c r="J290" s="953" t="s">
        <v>1513</v>
      </c>
      <c r="K290" s="1014"/>
      <c r="L290" s="1040" t="s">
        <v>1513</v>
      </c>
      <c r="M290" s="1014"/>
      <c r="N290" s="1040" t="s">
        <v>649</v>
      </c>
      <c r="O290" s="1014"/>
      <c r="P290" s="996" t="s">
        <v>647</v>
      </c>
      <c r="Q290" s="1014"/>
      <c r="R290" s="1040" t="s">
        <v>1529</v>
      </c>
      <c r="S290" s="1014"/>
      <c r="T290" s="1088" t="s">
        <v>649</v>
      </c>
      <c r="U290" s="1014"/>
    </row>
    <row r="291" spans="1:21" s="1092" customFormat="1" ht="30" customHeight="1" thickBot="1" x14ac:dyDescent="0.3">
      <c r="B291" s="1014"/>
      <c r="C291" s="1008" t="s">
        <v>1514</v>
      </c>
      <c r="D291" s="1673" t="s">
        <v>647</v>
      </c>
      <c r="E291" s="1674"/>
      <c r="F291" s="1014"/>
      <c r="G291" s="1046"/>
      <c r="H291" s="1014"/>
      <c r="I291" s="1014"/>
      <c r="J291" s="1014"/>
      <c r="K291" s="1014"/>
      <c r="L291" s="1014"/>
      <c r="M291" s="1014"/>
      <c r="N291" s="1014"/>
      <c r="O291" s="1014"/>
      <c r="P291" s="1014"/>
      <c r="Q291" s="1014"/>
      <c r="R291" s="1014"/>
      <c r="S291" s="1014"/>
      <c r="T291" s="1014"/>
      <c r="U291" s="1014"/>
    </row>
    <row r="292" spans="1:21" s="1092" customFormat="1" ht="18" customHeight="1" thickBot="1" x14ac:dyDescent="0.3">
      <c r="B292" s="1014"/>
      <c r="C292" s="1002"/>
      <c r="D292" s="1002"/>
      <c r="E292" s="1002"/>
      <c r="F292" s="1014"/>
      <c r="G292" s="1046"/>
      <c r="H292" s="1014"/>
      <c r="I292" s="1014"/>
      <c r="J292" s="1014"/>
      <c r="K292" s="1014"/>
      <c r="L292" s="1014"/>
      <c r="M292" s="1014"/>
      <c r="N292" s="1014"/>
      <c r="O292" s="1014"/>
      <c r="P292" s="1014"/>
      <c r="Q292" s="1014"/>
      <c r="R292" s="1014"/>
      <c r="S292" s="1014"/>
      <c r="T292" s="1010" t="s">
        <v>524</v>
      </c>
      <c r="U292" s="1014"/>
    </row>
    <row r="293" spans="1:21" s="1092" customFormat="1" ht="18" customHeight="1" thickBot="1" x14ac:dyDescent="0.3">
      <c r="B293" s="1014"/>
      <c r="C293" s="1007" t="s">
        <v>1515</v>
      </c>
      <c r="D293" s="1683" t="s">
        <v>1516</v>
      </c>
      <c r="E293" s="1666"/>
      <c r="F293" s="1014"/>
      <c r="G293" s="1046"/>
      <c r="H293" s="1014"/>
      <c r="I293" s="1014"/>
      <c r="J293" s="1014"/>
      <c r="K293" s="1014"/>
      <c r="L293" s="1014"/>
      <c r="M293" s="1014"/>
      <c r="N293" s="1014"/>
      <c r="O293" s="1014"/>
      <c r="P293" s="1014"/>
      <c r="Q293" s="1014"/>
      <c r="R293" s="1014"/>
      <c r="S293" s="1014"/>
      <c r="T293" s="1040" t="str">
        <f>IF(Z22&lt;&gt;"","Yes","No")</f>
        <v>No</v>
      </c>
      <c r="U293" s="1014"/>
    </row>
    <row r="294" spans="1:21" s="1092" customFormat="1" ht="20.25" customHeight="1" thickBot="1" x14ac:dyDescent="0.3">
      <c r="B294" s="1014"/>
      <c r="C294" s="1014"/>
      <c r="D294" s="1014"/>
      <c r="E294" s="1014"/>
      <c r="F294" s="1014"/>
      <c r="G294" s="1046"/>
      <c r="H294" s="1014"/>
      <c r="I294" s="1014"/>
      <c r="J294" s="1014"/>
      <c r="K294" s="1014"/>
      <c r="L294" s="1014"/>
      <c r="M294" s="1014"/>
      <c r="N294" s="1014"/>
      <c r="O294" s="1014"/>
      <c r="P294" s="1014"/>
      <c r="Q294" s="1014"/>
      <c r="R294" s="1014"/>
      <c r="S294" s="1014"/>
      <c r="T294" s="1014"/>
      <c r="U294" s="1014"/>
    </row>
    <row r="295" spans="1:21" s="1092" customFormat="1" ht="20.25" customHeight="1" thickBot="1" x14ac:dyDescent="0.3">
      <c r="B295" s="1678" t="s">
        <v>1702</v>
      </c>
      <c r="C295" s="1679"/>
      <c r="D295" s="1679"/>
      <c r="E295" s="1679"/>
      <c r="F295" s="1679"/>
      <c r="G295" s="1679"/>
      <c r="H295" s="1679"/>
      <c r="I295" s="1679"/>
      <c r="J295" s="1679"/>
      <c r="K295" s="1679"/>
      <c r="L295" s="1679"/>
      <c r="M295" s="1679"/>
      <c r="N295" s="1679"/>
      <c r="O295" s="1679"/>
      <c r="P295" s="1679"/>
      <c r="Q295" s="1679"/>
      <c r="R295" s="1679"/>
      <c r="S295" s="1679"/>
      <c r="T295" s="1679"/>
      <c r="U295" s="1680"/>
    </row>
    <row r="296" spans="1:21" s="1092" customFormat="1" ht="20.25" customHeight="1" thickBot="1" x14ac:dyDescent="0.3">
      <c r="B296" s="1014"/>
      <c r="C296" s="1014"/>
      <c r="D296" s="1014"/>
      <c r="E296" s="1014"/>
      <c r="F296" s="1014"/>
      <c r="G296" s="1046"/>
      <c r="H296" s="1014"/>
      <c r="I296" s="1014"/>
      <c r="J296" s="1014"/>
      <c r="K296" s="1014"/>
      <c r="L296" s="1014"/>
      <c r="M296" s="1014"/>
      <c r="N296" s="1014"/>
      <c r="O296" s="1014"/>
      <c r="P296" s="1014"/>
      <c r="Q296" s="1014"/>
      <c r="R296" s="1014"/>
      <c r="S296" s="1014"/>
      <c r="T296" s="1014"/>
      <c r="U296" s="1014"/>
    </row>
    <row r="297" spans="1:21" s="1092" customFormat="1" ht="30" customHeight="1" thickBot="1" x14ac:dyDescent="0.3">
      <c r="A297" s="134"/>
      <c r="B297" s="1014"/>
      <c r="C297" s="1007" t="s">
        <v>1400</v>
      </c>
      <c r="D297" s="1681" t="s">
        <v>1558</v>
      </c>
      <c r="E297" s="1682"/>
      <c r="F297" s="1014"/>
      <c r="G297" s="1046"/>
      <c r="H297" s="1010" t="s">
        <v>1397</v>
      </c>
      <c r="I297" s="1014"/>
      <c r="J297" s="1010" t="s">
        <v>1398</v>
      </c>
      <c r="K297" s="1014"/>
      <c r="L297" s="1010" t="s">
        <v>1414</v>
      </c>
      <c r="M297" s="1014"/>
      <c r="N297" s="1010" t="s">
        <v>1399</v>
      </c>
      <c r="O297" s="1014"/>
      <c r="P297" s="1010" t="s">
        <v>1505</v>
      </c>
      <c r="Q297" s="1014"/>
      <c r="R297" s="1010" t="s">
        <v>1506</v>
      </c>
      <c r="S297" s="1014"/>
      <c r="T297" s="1010" t="s">
        <v>1507</v>
      </c>
      <c r="U297" s="1014"/>
    </row>
    <row r="298" spans="1:21" s="1092" customFormat="1" ht="18" customHeight="1" thickBot="1" x14ac:dyDescent="0.3">
      <c r="B298" s="1014"/>
      <c r="C298" s="1002"/>
      <c r="D298" s="1002"/>
      <c r="E298" s="1002"/>
      <c r="F298" s="1014"/>
      <c r="G298" s="1046"/>
      <c r="H298" s="952"/>
      <c r="I298" s="1014"/>
      <c r="J298" s="1000"/>
      <c r="K298" s="1014"/>
      <c r="L298" s="1000"/>
      <c r="M298" s="1014"/>
      <c r="N298" s="1044"/>
      <c r="O298" s="1014"/>
      <c r="P298" s="953" t="s">
        <v>1508</v>
      </c>
      <c r="Q298" s="1014"/>
      <c r="R298" s="953" t="s">
        <v>1509</v>
      </c>
      <c r="S298" s="1014"/>
      <c r="T298" s="996" t="s">
        <v>649</v>
      </c>
      <c r="U298" s="1014"/>
    </row>
    <row r="299" spans="1:21" s="1092" customFormat="1" ht="30" customHeight="1" thickBot="1" x14ac:dyDescent="0.3">
      <c r="B299" s="1014"/>
      <c r="C299" s="1007" t="s">
        <v>1510</v>
      </c>
      <c r="D299" s="1683">
        <v>1305</v>
      </c>
      <c r="E299" s="1684"/>
      <c r="F299" s="1014"/>
      <c r="G299" s="1046"/>
      <c r="H299" s="1014"/>
      <c r="I299" s="1014"/>
      <c r="J299" s="1014"/>
      <c r="K299" s="1014"/>
      <c r="L299" s="1014"/>
      <c r="M299" s="1014"/>
      <c r="N299" s="1014"/>
      <c r="O299" s="1014"/>
      <c r="P299" s="1014"/>
      <c r="Q299" s="1014"/>
      <c r="R299" s="1014"/>
      <c r="S299" s="1014"/>
      <c r="T299" s="1014"/>
      <c r="U299" s="1014"/>
    </row>
    <row r="300" spans="1:21" s="1092" customFormat="1" ht="30" customHeight="1" thickBot="1" x14ac:dyDescent="0.3">
      <c r="B300" s="1014"/>
      <c r="C300" s="1002"/>
      <c r="D300" s="1002"/>
      <c r="E300" s="1002"/>
      <c r="F300" s="1014"/>
      <c r="G300" s="1046"/>
      <c r="H300" s="1011" t="s">
        <v>1404</v>
      </c>
      <c r="I300" s="1014"/>
      <c r="J300" s="1010" t="s">
        <v>1405</v>
      </c>
      <c r="K300" s="1014"/>
      <c r="L300" s="1010" t="s">
        <v>1406</v>
      </c>
      <c r="M300" s="1014"/>
      <c r="N300" s="1010" t="s">
        <v>1520</v>
      </c>
      <c r="O300" s="1014"/>
      <c r="P300" s="1010" t="s">
        <v>1521</v>
      </c>
      <c r="Q300" s="1014"/>
      <c r="R300" s="1010" t="s">
        <v>1522</v>
      </c>
      <c r="S300" s="1014"/>
      <c r="T300" s="1014"/>
      <c r="U300" s="1014"/>
    </row>
    <row r="301" spans="1:21" s="1092" customFormat="1" ht="29.25" customHeight="1" thickBot="1" x14ac:dyDescent="0.3">
      <c r="B301" s="1014"/>
      <c r="C301" s="1007" t="s">
        <v>1402</v>
      </c>
      <c r="D301" s="1685" t="str">
        <f>AA23</f>
        <v/>
      </c>
      <c r="E301" s="1686"/>
      <c r="F301" s="1014"/>
      <c r="G301" s="1098" t="str">
        <f>IF(P304="Yes","Weekly Baseline","Baseline")</f>
        <v>Weekly Baseline</v>
      </c>
      <c r="H301" s="975"/>
      <c r="I301" s="1014"/>
      <c r="J301" s="1004"/>
      <c r="K301" s="1014"/>
      <c r="L301" s="975"/>
      <c r="M301" s="1014"/>
      <c r="N301" s="1040" t="s">
        <v>479</v>
      </c>
      <c r="O301" s="1014"/>
      <c r="P301" s="1040" t="s">
        <v>1523</v>
      </c>
      <c r="Q301" s="1014"/>
      <c r="R301" s="1040" t="s">
        <v>1524</v>
      </c>
      <c r="S301" s="1014"/>
      <c r="T301" s="1014"/>
      <c r="U301" s="1014"/>
    </row>
    <row r="302" spans="1:21" s="1092" customFormat="1" ht="18" customHeight="1" thickBot="1" x14ac:dyDescent="0.3">
      <c r="B302" s="1014"/>
      <c r="C302" s="1002"/>
      <c r="D302" s="995"/>
      <c r="E302" s="995"/>
      <c r="F302" s="1014"/>
      <c r="G302" s="1046"/>
      <c r="H302" s="1014"/>
      <c r="I302" s="1014"/>
      <c r="J302" s="1014"/>
      <c r="K302" s="1014"/>
      <c r="L302" s="1014"/>
      <c r="M302" s="1014"/>
      <c r="N302" s="1014"/>
      <c r="O302" s="1014"/>
      <c r="P302" s="1014"/>
      <c r="Q302" s="1014"/>
      <c r="R302" s="1014"/>
      <c r="S302" s="1014"/>
      <c r="T302" s="1014"/>
      <c r="U302" s="1014"/>
    </row>
    <row r="303" spans="1:21" s="1092" customFormat="1" ht="30" customHeight="1" thickBot="1" x14ac:dyDescent="0.3">
      <c r="B303" s="1014"/>
      <c r="C303" s="1007" t="s">
        <v>1403</v>
      </c>
      <c r="D303" s="1685" t="str">
        <f>AB23</f>
        <v/>
      </c>
      <c r="E303" s="1686"/>
      <c r="F303" s="1014"/>
      <c r="G303" s="1046"/>
      <c r="H303" s="1093" t="s">
        <v>1511</v>
      </c>
      <c r="I303" s="1014"/>
      <c r="J303" s="1010" t="s">
        <v>1525</v>
      </c>
      <c r="K303" s="1014"/>
      <c r="L303" s="1010" t="s">
        <v>1512</v>
      </c>
      <c r="M303" s="1014"/>
      <c r="N303" s="1010" t="s">
        <v>1526</v>
      </c>
      <c r="O303" s="1014"/>
      <c r="P303" s="1010" t="s">
        <v>1527</v>
      </c>
      <c r="Q303" s="1014"/>
      <c r="R303" s="1010" t="s">
        <v>1528</v>
      </c>
      <c r="S303" s="1014"/>
      <c r="T303" s="1087" t="s">
        <v>1618</v>
      </c>
      <c r="U303" s="1014"/>
    </row>
    <row r="304" spans="1:21" s="1092" customFormat="1" ht="18" customHeight="1" thickBot="1" x14ac:dyDescent="0.3">
      <c r="B304" s="1014"/>
      <c r="C304" s="1002"/>
      <c r="D304" s="1002"/>
      <c r="E304" s="1002"/>
      <c r="F304" s="1014"/>
      <c r="G304" s="1046"/>
      <c r="H304" s="996" t="s">
        <v>647</v>
      </c>
      <c r="I304" s="1014"/>
      <c r="J304" s="953" t="s">
        <v>1513</v>
      </c>
      <c r="K304" s="1014"/>
      <c r="L304" s="1040" t="s">
        <v>1513</v>
      </c>
      <c r="M304" s="1014"/>
      <c r="N304" s="1040" t="s">
        <v>649</v>
      </c>
      <c r="O304" s="1014"/>
      <c r="P304" s="996" t="s">
        <v>647</v>
      </c>
      <c r="Q304" s="1014"/>
      <c r="R304" s="1040" t="s">
        <v>1529</v>
      </c>
      <c r="S304" s="1014"/>
      <c r="T304" s="1088" t="s">
        <v>649</v>
      </c>
      <c r="U304" s="1014"/>
    </row>
    <row r="305" spans="1:21" s="1092" customFormat="1" ht="30" customHeight="1" thickBot="1" x14ac:dyDescent="0.3">
      <c r="B305" s="1014"/>
      <c r="C305" s="1008" t="s">
        <v>1514</v>
      </c>
      <c r="D305" s="1673" t="s">
        <v>647</v>
      </c>
      <c r="E305" s="1674"/>
      <c r="F305" s="1014"/>
      <c r="G305" s="1046"/>
      <c r="H305" s="1014"/>
      <c r="I305" s="1014"/>
      <c r="J305" s="1014"/>
      <c r="K305" s="1014"/>
      <c r="L305" s="1014"/>
      <c r="M305" s="1014"/>
      <c r="N305" s="1014"/>
      <c r="O305" s="1014"/>
      <c r="P305" s="1014"/>
      <c r="Q305" s="1014"/>
      <c r="R305" s="1014"/>
      <c r="S305" s="1014"/>
      <c r="T305" s="1014"/>
      <c r="U305" s="1014"/>
    </row>
    <row r="306" spans="1:21" s="1092" customFormat="1" ht="18" customHeight="1" thickBot="1" x14ac:dyDescent="0.3">
      <c r="B306" s="1014"/>
      <c r="C306" s="1002"/>
      <c r="D306" s="1002"/>
      <c r="E306" s="1002"/>
      <c r="F306" s="1014"/>
      <c r="G306" s="1046"/>
      <c r="H306" s="1014"/>
      <c r="I306" s="1014"/>
      <c r="J306" s="1014"/>
      <c r="K306" s="1014"/>
      <c r="L306" s="1014"/>
      <c r="M306" s="1014"/>
      <c r="N306" s="1014"/>
      <c r="O306" s="1014"/>
      <c r="P306" s="1014"/>
      <c r="Q306" s="1014"/>
      <c r="R306" s="1014"/>
      <c r="S306" s="1014"/>
      <c r="T306" s="1010" t="s">
        <v>524</v>
      </c>
      <c r="U306" s="1014"/>
    </row>
    <row r="307" spans="1:21" s="1092" customFormat="1" ht="18" customHeight="1" thickBot="1" x14ac:dyDescent="0.3">
      <c r="B307" s="1014"/>
      <c r="C307" s="1007" t="s">
        <v>1515</v>
      </c>
      <c r="D307" s="1683" t="s">
        <v>1516</v>
      </c>
      <c r="E307" s="1666"/>
      <c r="F307" s="1014"/>
      <c r="G307" s="1046"/>
      <c r="H307" s="1014"/>
      <c r="I307" s="1014"/>
      <c r="J307" s="1014"/>
      <c r="K307" s="1014"/>
      <c r="L307" s="1014"/>
      <c r="M307" s="1014"/>
      <c r="N307" s="1014"/>
      <c r="O307" s="1014"/>
      <c r="P307" s="1014"/>
      <c r="Q307" s="1014"/>
      <c r="R307" s="1014"/>
      <c r="S307" s="1014"/>
      <c r="T307" s="1040" t="str">
        <f>IF(Z23&lt;&gt;"","Yes","No")</f>
        <v>No</v>
      </c>
      <c r="U307" s="1014"/>
    </row>
    <row r="308" spans="1:21" s="1092" customFormat="1" ht="20.25" customHeight="1" thickBot="1" x14ac:dyDescent="0.3">
      <c r="B308" s="1014"/>
      <c r="C308" s="1014"/>
      <c r="D308" s="1014"/>
      <c r="E308" s="1014"/>
      <c r="F308" s="1014"/>
      <c r="G308" s="1046"/>
      <c r="H308" s="1014"/>
      <c r="I308" s="1014"/>
      <c r="J308" s="1014"/>
      <c r="K308" s="1014"/>
      <c r="L308" s="1014"/>
      <c r="M308" s="1014"/>
      <c r="N308" s="1014"/>
      <c r="O308" s="1014"/>
      <c r="P308" s="1014"/>
      <c r="Q308" s="1014"/>
      <c r="R308" s="1014"/>
      <c r="S308" s="1014"/>
      <c r="T308" s="1014"/>
      <c r="U308" s="1014"/>
    </row>
    <row r="309" spans="1:21" ht="20.25" customHeight="1" thickBot="1" x14ac:dyDescent="0.3">
      <c r="A309" s="1051"/>
      <c r="B309" s="1687" t="s">
        <v>1561</v>
      </c>
      <c r="C309" s="1665"/>
      <c r="D309" s="1665"/>
      <c r="E309" s="1665"/>
      <c r="F309" s="1665"/>
      <c r="G309" s="1665"/>
      <c r="H309" s="1665"/>
      <c r="I309" s="1665"/>
      <c r="J309" s="1665"/>
      <c r="K309" s="1665"/>
      <c r="L309" s="1665"/>
      <c r="M309" s="1665"/>
      <c r="N309" s="1665"/>
      <c r="O309" s="1665"/>
      <c r="P309" s="1665"/>
      <c r="Q309" s="1665"/>
      <c r="R309" s="1665"/>
      <c r="S309" s="1665"/>
      <c r="T309" s="1665"/>
      <c r="U309" s="1666"/>
    </row>
    <row r="310" spans="1:21" ht="20.25" customHeight="1" thickBot="1" x14ac:dyDescent="0.3">
      <c r="A310" s="1051"/>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1400</v>
      </c>
      <c r="D311" s="1681" t="s">
        <v>1559</v>
      </c>
      <c r="E311" s="1682"/>
      <c r="F311" s="1014"/>
      <c r="G311" s="1014"/>
      <c r="H311" s="1010" t="s">
        <v>1397</v>
      </c>
      <c r="I311" s="1014"/>
      <c r="J311" s="1010" t="s">
        <v>1398</v>
      </c>
      <c r="K311" s="1014"/>
      <c r="L311" s="1010" t="s">
        <v>1414</v>
      </c>
      <c r="M311" s="1014"/>
      <c r="N311" s="1010" t="s">
        <v>1399</v>
      </c>
      <c r="O311" s="1014"/>
      <c r="P311" s="1010" t="s">
        <v>1505</v>
      </c>
      <c r="Q311" s="1014"/>
      <c r="R311" s="1010" t="s">
        <v>1506</v>
      </c>
      <c r="S311" s="1014"/>
      <c r="T311" s="1010" t="s">
        <v>1507</v>
      </c>
      <c r="U311" s="1014"/>
    </row>
    <row r="312" spans="1:21" ht="18" customHeight="1" thickBot="1" x14ac:dyDescent="0.3">
      <c r="A312" s="1051"/>
      <c r="B312" s="1014"/>
      <c r="C312" s="1002"/>
      <c r="D312" s="1002"/>
      <c r="E312" s="1002"/>
      <c r="F312" s="1014"/>
      <c r="G312" s="1014"/>
      <c r="H312" s="952"/>
      <c r="I312" s="1014"/>
      <c r="J312" s="1000"/>
      <c r="K312" s="1014"/>
      <c r="L312" s="1000"/>
      <c r="M312" s="1014"/>
      <c r="N312" s="1044"/>
      <c r="O312" s="1014"/>
      <c r="P312" s="953" t="s">
        <v>1508</v>
      </c>
      <c r="Q312" s="1014"/>
      <c r="R312" s="953" t="s">
        <v>1509</v>
      </c>
      <c r="S312" s="1014"/>
      <c r="T312" s="996" t="s">
        <v>649</v>
      </c>
      <c r="U312" s="1014"/>
    </row>
    <row r="313" spans="1:21" ht="30" customHeight="1" thickBot="1" x14ac:dyDescent="0.3">
      <c r="A313" s="1051"/>
      <c r="B313" s="1014"/>
      <c r="C313" s="1007" t="s">
        <v>1510</v>
      </c>
      <c r="D313" s="1683">
        <v>4001</v>
      </c>
      <c r="E313" s="1684"/>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1"/>
      <c r="B314" s="1014"/>
      <c r="C314" s="1002"/>
      <c r="D314" s="1002"/>
      <c r="E314" s="1002"/>
      <c r="F314" s="1014"/>
      <c r="G314" s="1014"/>
      <c r="H314" s="1011" t="s">
        <v>1404</v>
      </c>
      <c r="I314" s="1014"/>
      <c r="J314" s="1010" t="s">
        <v>1405</v>
      </c>
      <c r="K314" s="1014"/>
      <c r="L314" s="1010" t="s">
        <v>1406</v>
      </c>
      <c r="M314" s="1014"/>
      <c r="N314" s="1010" t="s">
        <v>1520</v>
      </c>
      <c r="O314" s="1014"/>
      <c r="P314" s="1010" t="s">
        <v>1521</v>
      </c>
      <c r="Q314" s="1014"/>
      <c r="R314" s="1010" t="s">
        <v>1522</v>
      </c>
      <c r="S314" s="1014"/>
      <c r="T314" s="1014"/>
      <c r="U314" s="1014"/>
    </row>
    <row r="315" spans="1:21" ht="18" customHeight="1" thickBot="1" x14ac:dyDescent="0.3">
      <c r="A315" s="1051"/>
      <c r="B315" s="1014"/>
      <c r="C315" s="1007" t="s">
        <v>1402</v>
      </c>
      <c r="D315" s="1685" t="str">
        <f>AA24</f>
        <v/>
      </c>
      <c r="E315" s="1686"/>
      <c r="F315" s="1014"/>
      <c r="G315" s="1046" t="s">
        <v>1003</v>
      </c>
      <c r="H315" s="975"/>
      <c r="I315" s="1014"/>
      <c r="J315" s="1015"/>
      <c r="K315" s="1014"/>
      <c r="L315" s="975"/>
      <c r="M315" s="1014"/>
      <c r="N315" s="1040" t="s">
        <v>479</v>
      </c>
      <c r="O315" s="1014"/>
      <c r="P315" s="1040" t="s">
        <v>1157</v>
      </c>
      <c r="Q315" s="1014"/>
      <c r="R315" s="1040" t="s">
        <v>1524</v>
      </c>
      <c r="S315" s="1014"/>
      <c r="T315" s="1014"/>
      <c r="U315" s="1014"/>
    </row>
    <row r="316" spans="1:21" ht="18" customHeight="1" thickBot="1" x14ac:dyDescent="0.3">
      <c r="A316" s="1051"/>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1"/>
      <c r="B317" s="1014"/>
      <c r="C317" s="1007" t="s">
        <v>1403</v>
      </c>
      <c r="D317" s="1685" t="str">
        <f>AB24</f>
        <v/>
      </c>
      <c r="E317" s="1686"/>
      <c r="F317" s="1014"/>
      <c r="G317" s="1014"/>
      <c r="H317" s="1009" t="s">
        <v>1511</v>
      </c>
      <c r="I317" s="1014"/>
      <c r="J317" s="1010" t="s">
        <v>1525</v>
      </c>
      <c r="K317" s="1014"/>
      <c r="L317" s="1010" t="s">
        <v>1512</v>
      </c>
      <c r="M317" s="1014"/>
      <c r="N317" s="1010" t="s">
        <v>1526</v>
      </c>
      <c r="O317" s="1014"/>
      <c r="P317" s="1010" t="s">
        <v>1527</v>
      </c>
      <c r="Q317" s="1014"/>
      <c r="R317" s="1014"/>
      <c r="S317" s="1014"/>
      <c r="T317" s="1010" t="s">
        <v>1618</v>
      </c>
      <c r="U317" s="1014"/>
    </row>
    <row r="318" spans="1:21" ht="18" customHeight="1" thickBot="1" x14ac:dyDescent="0.3">
      <c r="A318" s="1051"/>
      <c r="B318" s="1014"/>
      <c r="C318" s="1002"/>
      <c r="D318" s="1002"/>
      <c r="E318" s="1002"/>
      <c r="F318" s="1014"/>
      <c r="G318" s="1014"/>
      <c r="H318" s="996" t="s">
        <v>647</v>
      </c>
      <c r="I318" s="1014"/>
      <c r="J318" s="953" t="s">
        <v>1513</v>
      </c>
      <c r="K318" s="1014"/>
      <c r="L318" s="1040" t="s">
        <v>1856</v>
      </c>
      <c r="M318" s="1014"/>
      <c r="N318" s="1040" t="s">
        <v>649</v>
      </c>
      <c r="O318" s="1014"/>
      <c r="P318" s="1040" t="s">
        <v>649</v>
      </c>
      <c r="Q318" s="1014"/>
      <c r="R318" s="1014"/>
      <c r="S318" s="1014"/>
      <c r="T318" s="1040" t="s">
        <v>647</v>
      </c>
      <c r="U318" s="1014"/>
    </row>
    <row r="319" spans="1:21" ht="30" customHeight="1" thickBot="1" x14ac:dyDescent="0.3">
      <c r="A319" s="1051"/>
      <c r="B319" s="1014"/>
      <c r="C319" s="1008" t="s">
        <v>1514</v>
      </c>
      <c r="D319" s="1673" t="s">
        <v>647</v>
      </c>
      <c r="E319" s="1674"/>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1"/>
      <c r="B320" s="1014"/>
      <c r="C320" s="1002"/>
      <c r="D320" s="1002"/>
      <c r="E320" s="1002"/>
      <c r="F320" s="1014"/>
      <c r="G320" s="1014"/>
      <c r="H320" s="1014"/>
      <c r="I320" s="1014"/>
      <c r="J320" s="1014"/>
      <c r="K320" s="1014"/>
      <c r="L320" s="1014"/>
      <c r="M320" s="1014"/>
      <c r="N320" s="1014"/>
      <c r="O320" s="1014"/>
      <c r="P320" s="1014"/>
      <c r="Q320" s="1014"/>
      <c r="R320" s="1014"/>
      <c r="S320" s="1014"/>
      <c r="T320" s="1010" t="s">
        <v>524</v>
      </c>
      <c r="U320" s="1014"/>
    </row>
    <row r="321" spans="1:21" ht="18" customHeight="1" thickBot="1" x14ac:dyDescent="0.3">
      <c r="A321" s="1051"/>
      <c r="B321" s="1014"/>
      <c r="C321" s="1007" t="s">
        <v>1515</v>
      </c>
      <c r="D321" s="1683" t="s">
        <v>1516</v>
      </c>
      <c r="E321" s="1666"/>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1"/>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678" t="s">
        <v>1722</v>
      </c>
      <c r="C323" s="1679"/>
      <c r="D323" s="1679"/>
      <c r="E323" s="1679"/>
      <c r="F323" s="1679"/>
      <c r="G323" s="1679"/>
      <c r="H323" s="1679"/>
      <c r="I323" s="1679"/>
      <c r="J323" s="1679"/>
      <c r="K323" s="1679"/>
      <c r="L323" s="1679"/>
      <c r="M323" s="1679"/>
      <c r="N323" s="1679"/>
      <c r="O323" s="1679"/>
      <c r="P323" s="1679"/>
      <c r="Q323" s="1679"/>
      <c r="R323" s="1679"/>
      <c r="S323" s="1679"/>
      <c r="T323" s="1679"/>
      <c r="U323" s="1680"/>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1400</v>
      </c>
      <c r="D325" s="1690" t="s">
        <v>1619</v>
      </c>
      <c r="E325" s="1691"/>
      <c r="F325" s="1054"/>
      <c r="G325" s="1054"/>
      <c r="H325" s="194" t="s">
        <v>1397</v>
      </c>
      <c r="I325" s="1054"/>
      <c r="J325" s="194" t="s">
        <v>1398</v>
      </c>
      <c r="K325" s="1054"/>
      <c r="L325" s="194" t="s">
        <v>1414</v>
      </c>
      <c r="M325" s="1054"/>
      <c r="N325" s="194" t="s">
        <v>1399</v>
      </c>
      <c r="O325" s="1054"/>
      <c r="P325" s="1054"/>
      <c r="Q325" s="1054"/>
      <c r="R325" s="194" t="s">
        <v>1506</v>
      </c>
      <c r="S325" s="1054"/>
      <c r="T325" s="194" t="s">
        <v>1507</v>
      </c>
      <c r="U325" s="1054"/>
    </row>
    <row r="326" spans="1:21" ht="15.75" thickBot="1" x14ac:dyDescent="0.3">
      <c r="A326" s="1053"/>
      <c r="B326" s="1054"/>
      <c r="C326" s="1065"/>
      <c r="D326" s="1065"/>
      <c r="E326" s="1065"/>
      <c r="F326" s="1054"/>
      <c r="G326" s="1054"/>
      <c r="H326" s="1044" t="s">
        <v>1620</v>
      </c>
      <c r="I326" s="1054"/>
      <c r="J326" s="1000"/>
      <c r="K326" s="1054"/>
      <c r="L326" s="1000"/>
      <c r="M326" s="1054"/>
      <c r="N326" s="1044"/>
      <c r="O326" s="1054"/>
      <c r="P326" s="1054"/>
      <c r="Q326" s="1054"/>
      <c r="R326" s="1040" t="s">
        <v>1621</v>
      </c>
      <c r="S326" s="1054"/>
      <c r="T326" s="1040" t="s">
        <v>647</v>
      </c>
      <c r="U326" s="1054"/>
    </row>
    <row r="327" spans="1:21" ht="30.75" thickBot="1" x14ac:dyDescent="0.3">
      <c r="A327" s="1053"/>
      <c r="B327" s="1054"/>
      <c r="C327" s="1055" t="s">
        <v>1510</v>
      </c>
      <c r="D327" s="1689">
        <v>4601</v>
      </c>
      <c r="E327" s="1692"/>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8" t="s">
        <v>1413</v>
      </c>
      <c r="I328" s="1054"/>
      <c r="J328" s="1054"/>
      <c r="K328" s="1054"/>
      <c r="L328" s="1054"/>
      <c r="M328" s="1054"/>
      <c r="N328" s="1054"/>
      <c r="O328" s="1054"/>
      <c r="P328" s="1054"/>
      <c r="Q328" s="1054"/>
      <c r="R328" s="194" t="s">
        <v>1622</v>
      </c>
      <c r="S328" s="1054"/>
      <c r="T328" s="194" t="s">
        <v>1623</v>
      </c>
      <c r="U328" s="1054"/>
    </row>
    <row r="329" spans="1:21" ht="15.75" thickBot="1" x14ac:dyDescent="0.3">
      <c r="A329" s="1053"/>
      <c r="B329" s="1054"/>
      <c r="C329" s="1055" t="s">
        <v>1402</v>
      </c>
      <c r="D329" s="1685" t="str">
        <f>AA25</f>
        <v/>
      </c>
      <c r="E329" s="1686"/>
      <c r="F329" s="1054"/>
      <c r="G329" s="1054"/>
      <c r="H329" s="975"/>
      <c r="I329" s="1054"/>
      <c r="J329" s="1054"/>
      <c r="K329" s="1054"/>
      <c r="L329" s="1054"/>
      <c r="M329" s="1054"/>
      <c r="N329" s="1054"/>
      <c r="O329" s="1054"/>
      <c r="P329" s="1054"/>
      <c r="Q329" s="1054"/>
      <c r="R329" s="1040" t="s">
        <v>1624</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1403</v>
      </c>
      <c r="D331" s="1685" t="str">
        <f>AB25</f>
        <v/>
      </c>
      <c r="E331" s="1686"/>
      <c r="F331" s="1054"/>
      <c r="G331" s="1054"/>
      <c r="H331" s="228" t="s">
        <v>1511</v>
      </c>
      <c r="I331" s="1054"/>
      <c r="J331" s="1054"/>
      <c r="K331" s="1054"/>
      <c r="L331" s="1054"/>
      <c r="M331" s="1054"/>
      <c r="N331" s="1054"/>
      <c r="O331" s="1054"/>
      <c r="P331" s="1054"/>
      <c r="Q331" s="1054"/>
      <c r="R331" s="1054"/>
      <c r="S331" s="1054"/>
      <c r="T331" s="194" t="s">
        <v>1618</v>
      </c>
      <c r="U331" s="1054"/>
    </row>
    <row r="332" spans="1:21" ht="15.75" thickBot="1" x14ac:dyDescent="0.3">
      <c r="A332" s="1053"/>
      <c r="B332" s="1054"/>
      <c r="C332" s="1065"/>
      <c r="D332" s="1065"/>
      <c r="E332" s="1065"/>
      <c r="F332" s="1054"/>
      <c r="G332" s="1054"/>
      <c r="H332" s="996" t="s">
        <v>647</v>
      </c>
      <c r="I332" s="1054"/>
      <c r="J332" s="1054"/>
      <c r="K332" s="1054"/>
      <c r="L332" s="1054"/>
      <c r="M332" s="1054"/>
      <c r="N332" s="1054"/>
      <c r="O332" s="1054"/>
      <c r="P332" s="1054"/>
      <c r="Q332" s="1054"/>
      <c r="R332" s="1054"/>
      <c r="S332" s="1054"/>
      <c r="T332" s="1040" t="s">
        <v>649</v>
      </c>
      <c r="U332" s="1054"/>
    </row>
    <row r="333" spans="1:21" ht="30" customHeight="1" thickBot="1" x14ac:dyDescent="0.3">
      <c r="A333" s="1053"/>
      <c r="B333" s="1054"/>
      <c r="C333" s="1066" t="s">
        <v>1514</v>
      </c>
      <c r="D333" s="1673" t="s">
        <v>647</v>
      </c>
      <c r="E333" s="1674"/>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524</v>
      </c>
      <c r="U334" s="1054"/>
    </row>
    <row r="335" spans="1:21" ht="15.75" thickBot="1" x14ac:dyDescent="0.3">
      <c r="A335" s="1053"/>
      <c r="B335" s="1054"/>
      <c r="C335" s="1055" t="s">
        <v>1515</v>
      </c>
      <c r="D335" s="1689" t="s">
        <v>1625</v>
      </c>
      <c r="E335" s="1680"/>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678" t="s">
        <v>1723</v>
      </c>
      <c r="C337" s="1679"/>
      <c r="D337" s="1679"/>
      <c r="E337" s="1679"/>
      <c r="F337" s="1679"/>
      <c r="G337" s="1679"/>
      <c r="H337" s="1679"/>
      <c r="I337" s="1679"/>
      <c r="J337" s="1679"/>
      <c r="K337" s="1679"/>
      <c r="L337" s="1679"/>
      <c r="M337" s="1679"/>
      <c r="N337" s="1679"/>
      <c r="O337" s="1679"/>
      <c r="P337" s="1679"/>
      <c r="Q337" s="1679"/>
      <c r="R337" s="1679"/>
      <c r="S337" s="1679"/>
      <c r="T337" s="1679"/>
      <c r="U337" s="1680"/>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1400</v>
      </c>
      <c r="D339" s="1690" t="s">
        <v>1619</v>
      </c>
      <c r="E339" s="1691"/>
      <c r="F339" s="1054"/>
      <c r="G339" s="1054"/>
      <c r="H339" s="194" t="s">
        <v>1397</v>
      </c>
      <c r="I339" s="1054"/>
      <c r="J339" s="194" t="s">
        <v>1398</v>
      </c>
      <c r="K339" s="1054"/>
      <c r="L339" s="194" t="s">
        <v>1414</v>
      </c>
      <c r="M339" s="1054"/>
      <c r="N339" s="194" t="s">
        <v>1399</v>
      </c>
      <c r="O339" s="1054"/>
      <c r="P339" s="1054"/>
      <c r="Q339" s="1054"/>
      <c r="R339" s="194" t="s">
        <v>1506</v>
      </c>
      <c r="S339" s="1054"/>
      <c r="T339" s="194" t="s">
        <v>1507</v>
      </c>
      <c r="U339" s="1054"/>
    </row>
    <row r="340" spans="1:21" ht="15.75" thickBot="1" x14ac:dyDescent="0.3">
      <c r="A340" s="1053"/>
      <c r="B340" s="1054"/>
      <c r="C340" s="1065"/>
      <c r="D340" s="1065"/>
      <c r="E340" s="1065"/>
      <c r="F340" s="1054"/>
      <c r="G340" s="1054"/>
      <c r="H340" s="1044" t="s">
        <v>1620</v>
      </c>
      <c r="I340" s="1054"/>
      <c r="J340" s="1000"/>
      <c r="K340" s="1054"/>
      <c r="L340" s="1000"/>
      <c r="M340" s="1054"/>
      <c r="N340" s="1044"/>
      <c r="O340" s="1054"/>
      <c r="P340" s="1054"/>
      <c r="Q340" s="1054"/>
      <c r="R340" s="1040" t="s">
        <v>1621</v>
      </c>
      <c r="S340" s="1054"/>
      <c r="T340" s="1040" t="s">
        <v>647</v>
      </c>
      <c r="U340" s="1054"/>
    </row>
    <row r="341" spans="1:21" ht="30.75" thickBot="1" x14ac:dyDescent="0.3">
      <c r="A341" s="1053"/>
      <c r="B341" s="1054"/>
      <c r="C341" s="1055" t="s">
        <v>1510</v>
      </c>
      <c r="D341" s="1689">
        <v>4602</v>
      </c>
      <c r="E341" s="1692"/>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8" t="s">
        <v>1413</v>
      </c>
      <c r="I342" s="1054"/>
      <c r="J342" s="1054"/>
      <c r="K342" s="1054"/>
      <c r="L342" s="1054"/>
      <c r="M342" s="1054"/>
      <c r="N342" s="1054"/>
      <c r="O342" s="1054"/>
      <c r="P342" s="1054"/>
      <c r="Q342" s="1054"/>
      <c r="R342" s="194" t="s">
        <v>1622</v>
      </c>
      <c r="S342" s="1054"/>
      <c r="T342" s="194" t="s">
        <v>1623</v>
      </c>
      <c r="U342" s="1054"/>
    </row>
    <row r="343" spans="1:21" ht="15.75" thickBot="1" x14ac:dyDescent="0.3">
      <c r="A343" s="1053"/>
      <c r="B343" s="1054"/>
      <c r="C343" s="1055" t="s">
        <v>1402</v>
      </c>
      <c r="D343" s="1685" t="str">
        <f>AA26</f>
        <v/>
      </c>
      <c r="E343" s="1686"/>
      <c r="F343" s="1054"/>
      <c r="G343" s="1054"/>
      <c r="H343" s="975"/>
      <c r="I343" s="1054"/>
      <c r="J343" s="1054"/>
      <c r="K343" s="1054"/>
      <c r="L343" s="1054"/>
      <c r="M343" s="1054"/>
      <c r="N343" s="1054"/>
      <c r="O343" s="1054"/>
      <c r="P343" s="1054"/>
      <c r="Q343" s="1054"/>
      <c r="R343" s="1040" t="s">
        <v>1624</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1403</v>
      </c>
      <c r="D345" s="1685" t="str">
        <f>AB26</f>
        <v/>
      </c>
      <c r="E345" s="1686"/>
      <c r="F345" s="1054"/>
      <c r="G345" s="1054"/>
      <c r="H345" s="228" t="s">
        <v>1511</v>
      </c>
      <c r="I345" s="1054"/>
      <c r="J345" s="1054"/>
      <c r="K345" s="1054"/>
      <c r="L345" s="1054"/>
      <c r="M345" s="1054"/>
      <c r="N345" s="1054"/>
      <c r="O345" s="1054"/>
      <c r="P345" s="1054"/>
      <c r="Q345" s="1054"/>
      <c r="R345" s="1054"/>
      <c r="S345" s="1054"/>
      <c r="T345" s="194" t="s">
        <v>1618</v>
      </c>
      <c r="U345" s="1054"/>
    </row>
    <row r="346" spans="1:21" ht="15.75" thickBot="1" x14ac:dyDescent="0.3">
      <c r="A346" s="1053"/>
      <c r="B346" s="1054"/>
      <c r="C346" s="1065"/>
      <c r="D346" s="1065"/>
      <c r="E346" s="1065"/>
      <c r="F346" s="1054"/>
      <c r="G346" s="1054"/>
      <c r="H346" s="996" t="s">
        <v>647</v>
      </c>
      <c r="I346" s="1054"/>
      <c r="J346" s="1054"/>
      <c r="K346" s="1054"/>
      <c r="L346" s="1054"/>
      <c r="M346" s="1054"/>
      <c r="N346" s="1054"/>
      <c r="O346" s="1054"/>
      <c r="P346" s="1054"/>
      <c r="Q346" s="1054"/>
      <c r="R346" s="1054"/>
      <c r="S346" s="1054"/>
      <c r="T346" s="1040" t="s">
        <v>649</v>
      </c>
      <c r="U346" s="1054"/>
    </row>
    <row r="347" spans="1:21" ht="30" customHeight="1" thickBot="1" x14ac:dyDescent="0.3">
      <c r="A347" s="1053"/>
      <c r="B347" s="1054"/>
      <c r="C347" s="1066" t="s">
        <v>1514</v>
      </c>
      <c r="D347" s="1673" t="s">
        <v>647</v>
      </c>
      <c r="E347" s="1674"/>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524</v>
      </c>
      <c r="U348" s="1054"/>
    </row>
    <row r="349" spans="1:21" ht="15.75" thickBot="1" x14ac:dyDescent="0.3">
      <c r="A349" s="1053"/>
      <c r="B349" s="1054"/>
      <c r="C349" s="1055" t="s">
        <v>1515</v>
      </c>
      <c r="D349" s="1689" t="s">
        <v>1625</v>
      </c>
      <c r="E349" s="1680"/>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693" t="s">
        <v>1806</v>
      </c>
      <c r="C351" s="1694"/>
      <c r="D351" s="1694"/>
      <c r="E351" s="1694"/>
      <c r="F351" s="1694"/>
      <c r="G351" s="1694"/>
      <c r="H351" s="1694"/>
      <c r="I351" s="1694"/>
      <c r="J351" s="1694"/>
      <c r="K351" s="1694"/>
      <c r="L351" s="1694"/>
      <c r="M351" s="1694"/>
      <c r="N351" s="1694"/>
      <c r="O351" s="1694"/>
      <c r="P351" s="1694"/>
      <c r="Q351" s="1694"/>
      <c r="R351" s="1694"/>
      <c r="S351" s="1694"/>
      <c r="T351" s="1694"/>
      <c r="U351" s="1695"/>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1400</v>
      </c>
      <c r="D353" s="1690" t="s">
        <v>1649</v>
      </c>
      <c r="E353" s="1691"/>
      <c r="F353" s="1054"/>
      <c r="G353" s="1054"/>
      <c r="H353" s="194" t="s">
        <v>1397</v>
      </c>
      <c r="I353" s="1054"/>
      <c r="J353" s="194" t="s">
        <v>1398</v>
      </c>
      <c r="K353" s="1054"/>
      <c r="L353" s="194" t="s">
        <v>1414</v>
      </c>
      <c r="M353" s="1054"/>
      <c r="N353" s="194" t="s">
        <v>1399</v>
      </c>
      <c r="O353" s="1054"/>
      <c r="P353" s="1054"/>
      <c r="Q353" s="1054"/>
      <c r="R353" s="194" t="s">
        <v>1506</v>
      </c>
      <c r="S353" s="1054"/>
      <c r="T353" s="194" t="s">
        <v>1507</v>
      </c>
      <c r="U353" s="1054"/>
    </row>
    <row r="354" spans="1:21" ht="15.75" thickBot="1" x14ac:dyDescent="0.3">
      <c r="A354" s="1053"/>
      <c r="B354" s="1054"/>
      <c r="C354" s="1065"/>
      <c r="D354" s="1065"/>
      <c r="E354" s="1065"/>
      <c r="F354" s="1054"/>
      <c r="G354" s="1054"/>
      <c r="H354" s="1056" t="s">
        <v>1620</v>
      </c>
      <c r="I354" s="1054"/>
      <c r="J354" s="1057"/>
      <c r="K354" s="1054"/>
      <c r="L354" s="1057"/>
      <c r="M354" s="1054"/>
      <c r="N354" s="1044"/>
      <c r="O354" s="1054"/>
      <c r="P354" s="1054"/>
      <c r="Q354" s="1054"/>
      <c r="R354" s="1058" t="s">
        <v>1621</v>
      </c>
      <c r="S354" s="1054"/>
      <c r="T354" s="1058" t="s">
        <v>647</v>
      </c>
      <c r="U354" s="1054"/>
    </row>
    <row r="355" spans="1:21" ht="30.75" thickBot="1" x14ac:dyDescent="0.3">
      <c r="A355" s="1053"/>
      <c r="B355" s="1054"/>
      <c r="C355" s="1055" t="s">
        <v>1510</v>
      </c>
      <c r="D355" s="1689">
        <v>4901</v>
      </c>
      <c r="E355" s="1692"/>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8" t="s">
        <v>1413</v>
      </c>
      <c r="I356" s="1054"/>
      <c r="J356" s="1054"/>
      <c r="K356" s="1054"/>
      <c r="L356" s="1054"/>
      <c r="M356" s="1054"/>
      <c r="N356" s="1054"/>
      <c r="O356" s="1054"/>
      <c r="P356" s="1054"/>
      <c r="Q356" s="1054"/>
      <c r="R356" s="194" t="s">
        <v>1622</v>
      </c>
      <c r="S356" s="1054"/>
      <c r="T356" s="194" t="s">
        <v>1623</v>
      </c>
      <c r="U356" s="1054"/>
    </row>
    <row r="357" spans="1:21" ht="15.75" thickBot="1" x14ac:dyDescent="0.3">
      <c r="A357" s="1053"/>
      <c r="B357" s="1054"/>
      <c r="C357" s="1055" t="s">
        <v>1402</v>
      </c>
      <c r="D357" s="1685" t="str">
        <f>AA27</f>
        <v/>
      </c>
      <c r="E357" s="1686"/>
      <c r="F357" s="1054"/>
      <c r="G357" s="1054"/>
      <c r="H357" s="1059"/>
      <c r="I357" s="1054"/>
      <c r="J357" s="1054"/>
      <c r="K357" s="1054"/>
      <c r="L357" s="1054"/>
      <c r="M357" s="1054"/>
      <c r="N357" s="1054"/>
      <c r="O357" s="1054"/>
      <c r="P357" s="1054"/>
      <c r="Q357" s="1054"/>
      <c r="R357" s="1058" t="s">
        <v>1624</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1403</v>
      </c>
      <c r="D359" s="1685" t="str">
        <f>AB27</f>
        <v/>
      </c>
      <c r="E359" s="1686"/>
      <c r="F359" s="1054"/>
      <c r="G359" s="1054"/>
      <c r="H359" s="228" t="s">
        <v>1511</v>
      </c>
      <c r="I359" s="1054"/>
      <c r="J359" s="1054"/>
      <c r="K359" s="1054"/>
      <c r="L359" s="1054"/>
      <c r="M359" s="1054"/>
      <c r="N359" s="1054"/>
      <c r="O359" s="1054"/>
      <c r="P359" s="1054"/>
      <c r="Q359" s="1054"/>
      <c r="R359" s="1054"/>
      <c r="S359" s="1054"/>
      <c r="T359" s="194" t="s">
        <v>1618</v>
      </c>
      <c r="U359" s="1054"/>
    </row>
    <row r="360" spans="1:21" ht="15.75" thickBot="1" x14ac:dyDescent="0.3">
      <c r="A360" s="1053"/>
      <c r="B360" s="1054"/>
      <c r="C360" s="1065"/>
      <c r="D360" s="1065"/>
      <c r="E360" s="1065"/>
      <c r="F360" s="1054"/>
      <c r="G360" s="1054"/>
      <c r="H360" s="996" t="s">
        <v>647</v>
      </c>
      <c r="I360" s="1054"/>
      <c r="J360" s="1054"/>
      <c r="K360" s="1054"/>
      <c r="L360" s="1054"/>
      <c r="M360" s="1054"/>
      <c r="N360" s="1054"/>
      <c r="O360" s="1054"/>
      <c r="P360" s="1054"/>
      <c r="Q360" s="1054"/>
      <c r="R360" s="1054"/>
      <c r="S360" s="1054"/>
      <c r="T360" s="1058" t="s">
        <v>649</v>
      </c>
      <c r="U360" s="1054"/>
    </row>
    <row r="361" spans="1:21" ht="29.25" customHeight="1" thickBot="1" x14ac:dyDescent="0.3">
      <c r="A361" s="1053"/>
      <c r="B361" s="1054"/>
      <c r="C361" s="1066" t="s">
        <v>1514</v>
      </c>
      <c r="D361" s="1673" t="s">
        <v>647</v>
      </c>
      <c r="E361" s="1674"/>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524</v>
      </c>
      <c r="U362" s="1054"/>
    </row>
    <row r="363" spans="1:21" ht="15.75" thickBot="1" x14ac:dyDescent="0.3">
      <c r="A363" s="1053"/>
      <c r="B363" s="1054"/>
      <c r="C363" s="1055" t="s">
        <v>1515</v>
      </c>
      <c r="D363" s="1689" t="s">
        <v>1625</v>
      </c>
      <c r="E363" s="1680"/>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678" t="s">
        <v>1626</v>
      </c>
      <c r="C365" s="1679"/>
      <c r="D365" s="1679"/>
      <c r="E365" s="1679"/>
      <c r="F365" s="1679"/>
      <c r="G365" s="1679"/>
      <c r="H365" s="1679"/>
      <c r="I365" s="1679"/>
      <c r="J365" s="1679"/>
      <c r="K365" s="1679"/>
      <c r="L365" s="1679"/>
      <c r="M365" s="1679"/>
      <c r="N365" s="1679"/>
      <c r="O365" s="1679"/>
      <c r="P365" s="1679"/>
      <c r="Q365" s="1679"/>
      <c r="R365" s="1679"/>
      <c r="S365" s="1679"/>
      <c r="T365" s="1679"/>
      <c r="U365" s="1680"/>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1400</v>
      </c>
      <c r="D367" s="1690" t="s">
        <v>1627</v>
      </c>
      <c r="E367" s="1691"/>
      <c r="F367" s="1054"/>
      <c r="G367" s="1054"/>
      <c r="H367" s="194" t="s">
        <v>1397</v>
      </c>
      <c r="I367" s="1054"/>
      <c r="J367" s="194" t="s">
        <v>1398</v>
      </c>
      <c r="K367" s="1054"/>
      <c r="L367" s="194" t="s">
        <v>1414</v>
      </c>
      <c r="M367" s="1054"/>
      <c r="N367" s="194" t="s">
        <v>1399</v>
      </c>
      <c r="O367" s="1054"/>
      <c r="P367" s="194" t="s">
        <v>1505</v>
      </c>
      <c r="Q367" s="1054"/>
      <c r="R367" s="194" t="s">
        <v>1506</v>
      </c>
      <c r="S367" s="1054"/>
      <c r="T367" s="194" t="s">
        <v>1507</v>
      </c>
      <c r="U367" s="1054"/>
    </row>
    <row r="368" spans="1:21" ht="15.75" thickBot="1" x14ac:dyDescent="0.3">
      <c r="A368" s="1053"/>
      <c r="B368" s="1054"/>
      <c r="C368" s="1065"/>
      <c r="D368" s="1065"/>
      <c r="E368" s="1065"/>
      <c r="F368" s="1054"/>
      <c r="G368" s="1054"/>
      <c r="H368" s="952"/>
      <c r="I368" s="1054"/>
      <c r="J368" s="1057"/>
      <c r="K368" s="1054"/>
      <c r="L368" s="1057"/>
      <c r="M368" s="1054"/>
      <c r="N368" s="1044"/>
      <c r="O368" s="1054"/>
      <c r="P368" s="953" t="s">
        <v>1508</v>
      </c>
      <c r="Q368" s="1054"/>
      <c r="R368" s="953" t="s">
        <v>1509</v>
      </c>
      <c r="S368" s="1054"/>
      <c r="T368" s="996" t="s">
        <v>649</v>
      </c>
      <c r="U368" s="1054"/>
    </row>
    <row r="369" spans="1:21" ht="30.75" thickBot="1" x14ac:dyDescent="0.3">
      <c r="A369" s="1053"/>
      <c r="B369" s="1054"/>
      <c r="C369" s="1055" t="s">
        <v>1510</v>
      </c>
      <c r="D369" s="1689">
        <v>5001</v>
      </c>
      <c r="E369" s="1692"/>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1406</v>
      </c>
      <c r="M370" s="1054"/>
      <c r="N370" s="1054"/>
      <c r="O370" s="1054"/>
      <c r="P370" s="1054"/>
      <c r="Q370" s="1054"/>
      <c r="R370" s="1054"/>
      <c r="S370" s="1054"/>
      <c r="T370" s="1054"/>
      <c r="U370" s="1054"/>
    </row>
    <row r="371" spans="1:21" ht="18" customHeight="1" thickBot="1" x14ac:dyDescent="0.3">
      <c r="A371" s="1053"/>
      <c r="B371" s="1054"/>
      <c r="C371" s="1055" t="s">
        <v>1402</v>
      </c>
      <c r="D371" s="1685" t="str">
        <f>AA28</f>
        <v/>
      </c>
      <c r="E371" s="1686"/>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1403</v>
      </c>
      <c r="D373" s="1685" t="str">
        <f>AB28</f>
        <v/>
      </c>
      <c r="E373" s="1686"/>
      <c r="F373" s="1054"/>
      <c r="G373" s="1054"/>
      <c r="H373" s="228" t="s">
        <v>1511</v>
      </c>
      <c r="I373" s="1054"/>
      <c r="J373" s="1054"/>
      <c r="K373" s="1054"/>
      <c r="L373" s="194" t="s">
        <v>1512</v>
      </c>
      <c r="M373" s="1054"/>
      <c r="N373" s="1054"/>
      <c r="O373" s="1054"/>
      <c r="P373" s="1054"/>
      <c r="Q373" s="1054"/>
      <c r="R373" s="1054"/>
      <c r="S373" s="1054"/>
      <c r="T373" s="194" t="s">
        <v>1618</v>
      </c>
      <c r="U373" s="1054"/>
    </row>
    <row r="374" spans="1:21" ht="18" customHeight="1" thickBot="1" x14ac:dyDescent="0.3">
      <c r="A374" s="1053"/>
      <c r="B374" s="1054"/>
      <c r="C374" s="1065"/>
      <c r="D374" s="1065"/>
      <c r="E374" s="1065"/>
      <c r="F374" s="1054"/>
      <c r="G374" s="1054"/>
      <c r="H374" s="996" t="s">
        <v>647</v>
      </c>
      <c r="I374" s="1054"/>
      <c r="J374" s="1054"/>
      <c r="K374" s="1054"/>
      <c r="L374" s="1058" t="s">
        <v>1513</v>
      </c>
      <c r="M374" s="1054"/>
      <c r="N374" s="1054"/>
      <c r="O374" s="1054"/>
      <c r="P374" s="1054"/>
      <c r="Q374" s="1054"/>
      <c r="R374" s="1054"/>
      <c r="S374" s="1054"/>
      <c r="T374" s="1058" t="s">
        <v>649</v>
      </c>
      <c r="U374" s="1054"/>
    </row>
    <row r="375" spans="1:21" ht="30" customHeight="1" thickBot="1" x14ac:dyDescent="0.3">
      <c r="A375" s="1053"/>
      <c r="B375" s="1054"/>
      <c r="C375" s="1066" t="s">
        <v>1514</v>
      </c>
      <c r="D375" s="1673" t="s">
        <v>647</v>
      </c>
      <c r="E375" s="1674"/>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524</v>
      </c>
      <c r="U376" s="1054"/>
    </row>
    <row r="377" spans="1:21" ht="18" customHeight="1" thickBot="1" x14ac:dyDescent="0.3">
      <c r="A377" s="1053"/>
      <c r="B377" s="1054"/>
      <c r="C377" s="1055" t="s">
        <v>1515</v>
      </c>
      <c r="D377" s="1689" t="s">
        <v>1516</v>
      </c>
      <c r="E377" s="1680"/>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678" t="s">
        <v>1628</v>
      </c>
      <c r="C379" s="1679"/>
      <c r="D379" s="1679"/>
      <c r="E379" s="1679"/>
      <c r="F379" s="1679"/>
      <c r="G379" s="1679"/>
      <c r="H379" s="1679"/>
      <c r="I379" s="1679"/>
      <c r="J379" s="1679"/>
      <c r="K379" s="1679"/>
      <c r="L379" s="1679"/>
      <c r="M379" s="1679"/>
      <c r="N379" s="1679"/>
      <c r="O379" s="1679"/>
      <c r="P379" s="1679"/>
      <c r="Q379" s="1679"/>
      <c r="R379" s="1679"/>
      <c r="S379" s="1679"/>
      <c r="T379" s="1679"/>
      <c r="U379" s="1680"/>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1400</v>
      </c>
      <c r="D381" s="1681" t="s">
        <v>1139</v>
      </c>
      <c r="E381" s="1682"/>
      <c r="F381" s="1014"/>
      <c r="G381" s="1014"/>
      <c r="H381" s="1010" t="s">
        <v>1397</v>
      </c>
      <c r="I381" s="1014"/>
      <c r="J381" s="1010" t="s">
        <v>1398</v>
      </c>
      <c r="K381" s="1014"/>
      <c r="L381" s="1010" t="s">
        <v>1414</v>
      </c>
      <c r="M381" s="1014"/>
      <c r="N381" s="1010" t="s">
        <v>1399</v>
      </c>
      <c r="O381" s="1014"/>
      <c r="P381" s="1014"/>
      <c r="Q381" s="1014"/>
      <c r="R381" s="1010" t="s">
        <v>1506</v>
      </c>
      <c r="S381" s="1014"/>
      <c r="T381" s="1010" t="s">
        <v>1507</v>
      </c>
      <c r="U381" s="1014"/>
    </row>
    <row r="382" spans="1:21" ht="15.75" thickBot="1" x14ac:dyDescent="0.3">
      <c r="A382" s="1053"/>
      <c r="B382" s="1014"/>
      <c r="C382" s="1002"/>
      <c r="D382" s="1002"/>
      <c r="E382" s="1002"/>
      <c r="F382" s="1014"/>
      <c r="G382" s="1014"/>
      <c r="H382" s="1044"/>
      <c r="I382" s="1014"/>
      <c r="J382" s="1000"/>
      <c r="K382" s="1014"/>
      <c r="L382" s="1000"/>
      <c r="M382" s="1014"/>
      <c r="N382" s="1044"/>
      <c r="O382" s="1014"/>
      <c r="P382" s="1014"/>
      <c r="Q382" s="1014"/>
      <c r="R382" s="1040" t="s">
        <v>1621</v>
      </c>
      <c r="S382" s="1014"/>
      <c r="T382" s="1040" t="s">
        <v>647</v>
      </c>
      <c r="U382" s="1014"/>
    </row>
    <row r="383" spans="1:21" ht="30.75" thickBot="1" x14ac:dyDescent="0.3">
      <c r="A383" s="1053"/>
      <c r="B383" s="1014"/>
      <c r="C383" s="1010" t="s">
        <v>1510</v>
      </c>
      <c r="D383" s="1683">
        <v>801</v>
      </c>
      <c r="E383" s="1684"/>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1413</v>
      </c>
      <c r="I384" s="1014"/>
      <c r="J384" s="1009" t="s">
        <v>1493</v>
      </c>
      <c r="K384" s="1014"/>
      <c r="L384" s="1009" t="s">
        <v>1494</v>
      </c>
      <c r="M384" s="1014"/>
      <c r="N384" s="1014"/>
      <c r="O384" s="1014"/>
      <c r="P384" s="1014"/>
      <c r="Q384" s="1014"/>
      <c r="R384" s="1010" t="s">
        <v>1622</v>
      </c>
      <c r="S384" s="1014"/>
      <c r="T384" s="1010" t="s">
        <v>1623</v>
      </c>
      <c r="U384" s="1014"/>
    </row>
    <row r="385" spans="1:21" ht="18" customHeight="1" thickBot="1" x14ac:dyDescent="0.3">
      <c r="A385" s="1053"/>
      <c r="B385" s="1014"/>
      <c r="C385" s="1007" t="s">
        <v>1402</v>
      </c>
      <c r="D385" s="1685" t="str">
        <f>AA29</f>
        <v/>
      </c>
      <c r="E385" s="1686"/>
      <c r="F385" s="1014"/>
      <c r="G385" s="1014"/>
      <c r="H385" s="975"/>
      <c r="I385" s="1014"/>
      <c r="J385" s="975"/>
      <c r="K385" s="1014"/>
      <c r="L385" s="975"/>
      <c r="M385" s="1014"/>
      <c r="N385" s="1014"/>
      <c r="O385" s="1014"/>
      <c r="P385" s="1014"/>
      <c r="Q385" s="1014"/>
      <c r="R385" s="1040" t="s">
        <v>1629</v>
      </c>
      <c r="S385" s="1014"/>
      <c r="T385" s="1040" t="s">
        <v>395</v>
      </c>
      <c r="U385" s="1014"/>
    </row>
    <row r="386" spans="1:21"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1" ht="45.75" customHeight="1" thickBot="1" x14ac:dyDescent="0.3">
      <c r="A387" s="1053"/>
      <c r="B387" s="1014"/>
      <c r="C387" s="1007" t="s">
        <v>1403</v>
      </c>
      <c r="D387" s="1685" t="str">
        <f>AB29</f>
        <v/>
      </c>
      <c r="E387" s="1686"/>
      <c r="F387" s="1014"/>
      <c r="G387" s="1014"/>
      <c r="H387" s="228" t="s">
        <v>1497</v>
      </c>
      <c r="I387" s="1014"/>
      <c r="J387" s="228" t="s">
        <v>1498</v>
      </c>
      <c r="K387" s="1014"/>
      <c r="L387" s="1099" t="s">
        <v>1141</v>
      </c>
      <c r="M387" s="1014"/>
      <c r="N387" s="1099" t="s">
        <v>1499</v>
      </c>
      <c r="O387" s="1014"/>
      <c r="P387" s="228" t="s">
        <v>1140</v>
      </c>
      <c r="Q387" s="1014"/>
      <c r="R387" s="228" t="s">
        <v>1419</v>
      </c>
      <c r="S387" s="1014"/>
      <c r="T387" s="1010" t="s">
        <v>1618</v>
      </c>
      <c r="U387" s="1014"/>
    </row>
    <row r="388" spans="1:21"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649</v>
      </c>
      <c r="U388" s="1014"/>
    </row>
    <row r="389" spans="1:21" ht="30" customHeight="1" thickBot="1" x14ac:dyDescent="0.3">
      <c r="A389" s="1053"/>
      <c r="B389" s="1014"/>
      <c r="C389" s="1008" t="s">
        <v>1514</v>
      </c>
      <c r="D389" s="1673" t="s">
        <v>647</v>
      </c>
      <c r="E389" s="1674"/>
      <c r="F389" s="1014"/>
      <c r="G389" s="1014"/>
      <c r="H389" s="1014"/>
      <c r="I389" s="1014"/>
      <c r="J389" s="1014"/>
      <c r="K389" s="1014"/>
      <c r="L389" s="1014"/>
      <c r="M389" s="1014"/>
      <c r="N389" s="1014"/>
      <c r="O389" s="1014"/>
      <c r="P389" s="1014"/>
      <c r="Q389" s="1014"/>
      <c r="R389" s="1014"/>
      <c r="S389" s="1014"/>
      <c r="T389" s="1014"/>
      <c r="U389" s="1014"/>
    </row>
    <row r="390" spans="1:21" ht="30.75" thickBot="1" x14ac:dyDescent="0.3">
      <c r="A390" s="1053"/>
      <c r="B390" s="1014"/>
      <c r="C390" s="1002"/>
      <c r="D390" s="1002"/>
      <c r="E390" s="1002"/>
      <c r="F390" s="1014"/>
      <c r="G390" s="1014"/>
      <c r="H390" s="1009" t="s">
        <v>1511</v>
      </c>
      <c r="I390" s="1014"/>
      <c r="J390" s="1014"/>
      <c r="K390" s="1014"/>
      <c r="L390" s="1014"/>
      <c r="M390" s="1014"/>
      <c r="N390" s="1014"/>
      <c r="O390" s="1014"/>
      <c r="P390" s="1014"/>
      <c r="Q390" s="1014"/>
      <c r="R390" s="1014"/>
      <c r="S390" s="1014"/>
      <c r="T390" s="1010" t="s">
        <v>524</v>
      </c>
      <c r="U390" s="1014"/>
    </row>
    <row r="391" spans="1:21" ht="18" customHeight="1" thickBot="1" x14ac:dyDescent="0.3">
      <c r="A391" s="1053"/>
      <c r="B391" s="1014"/>
      <c r="C391" s="1007" t="s">
        <v>1515</v>
      </c>
      <c r="D391" s="1683" t="s">
        <v>1625</v>
      </c>
      <c r="E391" s="1666"/>
      <c r="F391" s="1014"/>
      <c r="G391" s="1014"/>
      <c r="H391" s="996" t="s">
        <v>647</v>
      </c>
      <c r="I391" s="1014"/>
      <c r="J391" s="1014"/>
      <c r="K391" s="1014"/>
      <c r="L391" s="1014"/>
      <c r="M391" s="1014"/>
      <c r="N391" s="1014"/>
      <c r="O391" s="1014"/>
      <c r="P391" s="1014"/>
      <c r="Q391" s="1014"/>
      <c r="R391" s="1014"/>
      <c r="S391" s="1014"/>
      <c r="T391" s="1040" t="str">
        <f>IF(Z29&lt;&gt;"","Yes","No")</f>
        <v>No</v>
      </c>
      <c r="U391" s="1014"/>
    </row>
    <row r="392" spans="1:21"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1" ht="20.25" customHeight="1" thickBot="1" x14ac:dyDescent="0.3">
      <c r="A393" s="1053"/>
      <c r="B393" s="1687" t="s">
        <v>1630</v>
      </c>
      <c r="C393" s="1665"/>
      <c r="D393" s="1665"/>
      <c r="E393" s="1665"/>
      <c r="F393" s="1665"/>
      <c r="G393" s="1665"/>
      <c r="H393" s="1665"/>
      <c r="I393" s="1665"/>
      <c r="J393" s="1665"/>
      <c r="K393" s="1665"/>
      <c r="L393" s="1665"/>
      <c r="M393" s="1665"/>
      <c r="N393" s="1665"/>
      <c r="O393" s="1665"/>
      <c r="P393" s="1665"/>
      <c r="Q393" s="1665"/>
      <c r="R393" s="1665"/>
      <c r="S393" s="1665"/>
      <c r="T393" s="1665"/>
      <c r="U393" s="1666"/>
    </row>
    <row r="394" spans="1:21"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1" ht="30.75" thickBot="1" x14ac:dyDescent="0.3">
      <c r="A395" s="134"/>
      <c r="B395" s="1014"/>
      <c r="C395" s="1007" t="s">
        <v>1400</v>
      </c>
      <c r="D395" s="1681" t="s">
        <v>1631</v>
      </c>
      <c r="E395" s="1682"/>
      <c r="F395" s="1014"/>
      <c r="G395" s="1014"/>
      <c r="H395" s="1010" t="s">
        <v>1397</v>
      </c>
      <c r="I395" s="1014"/>
      <c r="J395" s="1010" t="s">
        <v>1398</v>
      </c>
      <c r="K395" s="1014"/>
      <c r="L395" s="1010" t="s">
        <v>1414</v>
      </c>
      <c r="M395" s="1014"/>
      <c r="N395" s="1010" t="s">
        <v>1399</v>
      </c>
      <c r="O395" s="1014"/>
      <c r="P395" s="1014"/>
      <c r="Q395" s="1014"/>
      <c r="R395" s="1010" t="s">
        <v>1506</v>
      </c>
      <c r="S395" s="1014"/>
      <c r="T395" s="1010" t="s">
        <v>1507</v>
      </c>
      <c r="U395" s="1014"/>
    </row>
    <row r="396" spans="1:21" ht="15.75" thickBot="1" x14ac:dyDescent="0.3">
      <c r="A396" s="1053"/>
      <c r="B396" s="1014"/>
      <c r="C396" s="1002"/>
      <c r="D396" s="1002"/>
      <c r="E396" s="1002"/>
      <c r="F396" s="1014"/>
      <c r="G396" s="1014"/>
      <c r="H396" s="1044"/>
      <c r="I396" s="1014"/>
      <c r="J396" s="1000"/>
      <c r="K396" s="1014"/>
      <c r="L396" s="1000"/>
      <c r="M396" s="1014"/>
      <c r="N396" s="1044"/>
      <c r="O396" s="1014"/>
      <c r="P396" s="1014"/>
      <c r="Q396" s="1014"/>
      <c r="R396" s="1040" t="s">
        <v>1621</v>
      </c>
      <c r="S396" s="1014"/>
      <c r="T396" s="1040" t="s">
        <v>647</v>
      </c>
      <c r="U396" s="1014"/>
    </row>
    <row r="397" spans="1:21" ht="30.75" thickBot="1" x14ac:dyDescent="0.3">
      <c r="A397" s="1053"/>
      <c r="B397" s="1014"/>
      <c r="C397" s="1007" t="s">
        <v>1510</v>
      </c>
      <c r="D397" s="1683">
        <v>901</v>
      </c>
      <c r="E397" s="1684"/>
      <c r="F397" s="1014"/>
      <c r="G397" s="1014"/>
      <c r="H397" s="1014"/>
      <c r="I397" s="1014"/>
      <c r="J397" s="1014"/>
      <c r="K397" s="1014"/>
      <c r="L397" s="1014"/>
      <c r="M397" s="1014"/>
      <c r="N397" s="1014"/>
      <c r="O397" s="1014"/>
      <c r="P397" s="1014"/>
      <c r="Q397" s="1014"/>
      <c r="R397" s="1014"/>
      <c r="S397" s="1014"/>
      <c r="T397" s="1014"/>
      <c r="U397" s="1014"/>
    </row>
    <row r="398" spans="1:21" ht="30.75" thickBot="1" x14ac:dyDescent="0.3">
      <c r="A398" s="1053"/>
      <c r="B398" s="1014"/>
      <c r="C398" s="1002"/>
      <c r="D398" s="1002"/>
      <c r="E398" s="1002"/>
      <c r="F398" s="1014"/>
      <c r="G398" s="1014"/>
      <c r="H398" s="1083" t="s">
        <v>1413</v>
      </c>
      <c r="I398" s="1014"/>
      <c r="J398" s="1083" t="s">
        <v>1493</v>
      </c>
      <c r="K398" s="1014"/>
      <c r="L398" s="1014"/>
      <c r="M398" s="1014"/>
      <c r="N398" s="1014"/>
      <c r="O398" s="1014"/>
      <c r="P398" s="1014"/>
      <c r="Q398" s="1014"/>
      <c r="R398" s="1010" t="s">
        <v>1622</v>
      </c>
      <c r="S398" s="1014"/>
      <c r="T398" s="1010" t="s">
        <v>1623</v>
      </c>
      <c r="U398" s="1014"/>
    </row>
    <row r="399" spans="1:21" ht="18" customHeight="1" thickBot="1" x14ac:dyDescent="0.3">
      <c r="A399" s="1053"/>
      <c r="B399" s="1014"/>
      <c r="C399" s="1007" t="s">
        <v>1402</v>
      </c>
      <c r="D399" s="1685" t="str">
        <f>AA30</f>
        <v/>
      </c>
      <c r="E399" s="1686"/>
      <c r="F399" s="1014"/>
      <c r="G399" s="1014"/>
      <c r="H399" s="975">
        <v>0</v>
      </c>
      <c r="I399" s="1014"/>
      <c r="J399" s="975"/>
      <c r="K399" s="1014"/>
      <c r="L399" s="1014"/>
      <c r="M399" s="1014"/>
      <c r="N399" s="1014"/>
      <c r="O399" s="1014"/>
      <c r="P399" s="1014"/>
      <c r="Q399" s="1014"/>
      <c r="R399" s="1040" t="s">
        <v>1629</v>
      </c>
      <c r="S399" s="1014"/>
      <c r="T399" s="1040" t="s">
        <v>395</v>
      </c>
      <c r="U399" s="1014"/>
    </row>
    <row r="400" spans="1:21"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1403</v>
      </c>
      <c r="D401" s="1685" t="str">
        <f>AB30</f>
        <v/>
      </c>
      <c r="E401" s="1686"/>
      <c r="F401" s="1014"/>
      <c r="G401" s="1014"/>
      <c r="H401" s="228" t="s">
        <v>1497</v>
      </c>
      <c r="I401" s="1014"/>
      <c r="J401" s="228" t="s">
        <v>1498</v>
      </c>
      <c r="K401" s="1014"/>
      <c r="L401" s="1099" t="s">
        <v>1141</v>
      </c>
      <c r="M401" s="1014"/>
      <c r="N401" s="1099" t="s">
        <v>1499</v>
      </c>
      <c r="O401" s="1014"/>
      <c r="P401" s="228" t="s">
        <v>1140</v>
      </c>
      <c r="Q401" s="1014"/>
      <c r="R401" s="228" t="s">
        <v>1419</v>
      </c>
      <c r="S401" s="1014"/>
      <c r="T401" s="1010" t="s">
        <v>1618</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649</v>
      </c>
      <c r="U402" s="1014"/>
    </row>
    <row r="403" spans="1:21" ht="30" customHeight="1" thickBot="1" x14ac:dyDescent="0.3">
      <c r="A403" s="1053"/>
      <c r="B403" s="1014"/>
      <c r="C403" s="1008" t="s">
        <v>1514</v>
      </c>
      <c r="D403" s="1673" t="s">
        <v>647</v>
      </c>
      <c r="E403" s="1674"/>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1511</v>
      </c>
      <c r="I404" s="1014"/>
      <c r="J404" s="1014"/>
      <c r="K404" s="1014"/>
      <c r="L404" s="1014"/>
      <c r="M404" s="1014"/>
      <c r="N404" s="1014"/>
      <c r="O404" s="1014"/>
      <c r="P404" s="1014"/>
      <c r="Q404" s="1014"/>
      <c r="R404" s="1014"/>
      <c r="S404" s="1014"/>
      <c r="T404" s="1010" t="s">
        <v>524</v>
      </c>
      <c r="U404" s="1014"/>
    </row>
    <row r="405" spans="1:21" ht="18" customHeight="1" thickBot="1" x14ac:dyDescent="0.3">
      <c r="A405" s="1053"/>
      <c r="B405" s="1014"/>
      <c r="C405" s="1007" t="s">
        <v>1515</v>
      </c>
      <c r="D405" s="1683" t="s">
        <v>1625</v>
      </c>
      <c r="E405" s="1666"/>
      <c r="F405" s="1014"/>
      <c r="G405" s="1014"/>
      <c r="H405" s="996" t="s">
        <v>647</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687" t="s">
        <v>1632</v>
      </c>
      <c r="C407" s="1665"/>
      <c r="D407" s="1665"/>
      <c r="E407" s="1665"/>
      <c r="F407" s="1665"/>
      <c r="G407" s="1665"/>
      <c r="H407" s="1665"/>
      <c r="I407" s="1665"/>
      <c r="J407" s="1665"/>
      <c r="K407" s="1665"/>
      <c r="L407" s="1665"/>
      <c r="M407" s="1665"/>
      <c r="N407" s="1665"/>
      <c r="O407" s="1665"/>
      <c r="P407" s="1665"/>
      <c r="Q407" s="1665"/>
      <c r="R407" s="1665"/>
      <c r="S407" s="1665"/>
      <c r="T407" s="1665"/>
      <c r="U407" s="1666"/>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1400</v>
      </c>
      <c r="D409" s="1681" t="s">
        <v>1633</v>
      </c>
      <c r="E409" s="1682"/>
      <c r="F409" s="1014"/>
      <c r="G409" s="1014"/>
      <c r="H409" s="1010" t="s">
        <v>1397</v>
      </c>
      <c r="I409" s="1014"/>
      <c r="J409" s="1010" t="s">
        <v>1398</v>
      </c>
      <c r="K409" s="1014"/>
      <c r="L409" s="1010" t="s">
        <v>1414</v>
      </c>
      <c r="M409" s="1014"/>
      <c r="N409" s="1010" t="s">
        <v>1399</v>
      </c>
      <c r="O409" s="1014"/>
      <c r="P409" s="1014"/>
      <c r="Q409" s="1014"/>
      <c r="R409" s="1010" t="s">
        <v>1506</v>
      </c>
      <c r="S409" s="1014"/>
      <c r="T409" s="1010" t="s">
        <v>1507</v>
      </c>
      <c r="U409" s="1014"/>
    </row>
    <row r="410" spans="1:21" ht="20.25" customHeight="1" thickBot="1" x14ac:dyDescent="0.3">
      <c r="A410" s="1053"/>
      <c r="B410" s="1014"/>
      <c r="C410" s="1002"/>
      <c r="D410" s="1002"/>
      <c r="E410" s="1002"/>
      <c r="F410" s="1014"/>
      <c r="G410" s="1014"/>
      <c r="H410" s="1044"/>
      <c r="I410" s="1014"/>
      <c r="J410" s="1000"/>
      <c r="K410" s="1014"/>
      <c r="L410" s="1000"/>
      <c r="M410" s="1014"/>
      <c r="N410" s="1044"/>
      <c r="O410" s="1014"/>
      <c r="P410" s="1014"/>
      <c r="Q410" s="1014"/>
      <c r="R410" s="1040" t="s">
        <v>1621</v>
      </c>
      <c r="S410" s="1014"/>
      <c r="T410" s="1040" t="s">
        <v>647</v>
      </c>
      <c r="U410" s="1014"/>
    </row>
    <row r="411" spans="1:21" ht="30.75" thickBot="1" x14ac:dyDescent="0.3">
      <c r="A411" s="1053"/>
      <c r="B411" s="1014"/>
      <c r="C411" s="1007" t="s">
        <v>1510</v>
      </c>
      <c r="D411" s="1683">
        <v>501</v>
      </c>
      <c r="E411" s="1684"/>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1413</v>
      </c>
      <c r="I412" s="1014"/>
      <c r="J412" s="1014"/>
      <c r="K412" s="1014"/>
      <c r="L412" s="1014"/>
      <c r="M412" s="1014"/>
      <c r="N412" s="1014"/>
      <c r="O412" s="1014"/>
      <c r="P412" s="1014"/>
      <c r="Q412" s="1014"/>
      <c r="R412" s="1010" t="s">
        <v>1622</v>
      </c>
      <c r="S412" s="1014"/>
      <c r="T412" s="1010" t="s">
        <v>1623</v>
      </c>
      <c r="U412" s="1014"/>
    </row>
    <row r="413" spans="1:21" ht="18" customHeight="1" thickBot="1" x14ac:dyDescent="0.3">
      <c r="A413" s="1053"/>
      <c r="B413" s="1014"/>
      <c r="C413" s="1007" t="s">
        <v>1402</v>
      </c>
      <c r="D413" s="1685" t="str">
        <f>AA31</f>
        <v/>
      </c>
      <c r="E413" s="1686"/>
      <c r="F413" s="1014"/>
      <c r="G413" s="1014"/>
      <c r="H413" s="975"/>
      <c r="I413" s="1014"/>
      <c r="J413" s="1014"/>
      <c r="K413" s="1014"/>
      <c r="L413" s="1014"/>
      <c r="M413" s="1014"/>
      <c r="N413" s="1014"/>
      <c r="O413" s="1014"/>
      <c r="P413" s="1014"/>
      <c r="Q413" s="1014"/>
      <c r="R413" s="1040" t="s">
        <v>1629</v>
      </c>
      <c r="S413" s="1014"/>
      <c r="T413" s="1040" t="s">
        <v>395</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1403</v>
      </c>
      <c r="D415" s="1685" t="str">
        <f>AB31</f>
        <v/>
      </c>
      <c r="E415" s="1686"/>
      <c r="F415" s="1014"/>
      <c r="G415" s="1014"/>
      <c r="H415" s="1009" t="s">
        <v>1511</v>
      </c>
      <c r="I415" s="1014"/>
      <c r="J415" s="1014"/>
      <c r="K415" s="1014"/>
      <c r="L415" s="1014"/>
      <c r="M415" s="1014"/>
      <c r="N415" s="1014"/>
      <c r="O415" s="1014"/>
      <c r="P415" s="1014"/>
      <c r="Q415" s="1014"/>
      <c r="R415" s="1014"/>
      <c r="S415" s="1014"/>
      <c r="T415" s="1010" t="s">
        <v>1618</v>
      </c>
      <c r="U415" s="1014"/>
    </row>
    <row r="416" spans="1:21" ht="15.75" thickBot="1" x14ac:dyDescent="0.3">
      <c r="A416" s="1053"/>
      <c r="B416" s="1014"/>
      <c r="C416" s="1002"/>
      <c r="D416" s="1002"/>
      <c r="E416" s="1002"/>
      <c r="F416" s="1014"/>
      <c r="G416" s="1014"/>
      <c r="H416" s="996" t="s">
        <v>647</v>
      </c>
      <c r="I416" s="1014"/>
      <c r="J416" s="1014"/>
      <c r="K416" s="1014"/>
      <c r="L416" s="1014"/>
      <c r="M416" s="1014"/>
      <c r="N416" s="1014"/>
      <c r="O416" s="1014"/>
      <c r="P416" s="1014"/>
      <c r="Q416" s="1014"/>
      <c r="R416" s="1014"/>
      <c r="S416" s="1014"/>
      <c r="T416" s="1040" t="s">
        <v>649</v>
      </c>
      <c r="U416" s="1014"/>
    </row>
    <row r="417" spans="1:21" ht="30" customHeight="1" thickBot="1" x14ac:dyDescent="0.3">
      <c r="A417" s="1053"/>
      <c r="B417" s="1014"/>
      <c r="C417" s="1008" t="s">
        <v>1514</v>
      </c>
      <c r="D417" s="1673" t="s">
        <v>647</v>
      </c>
      <c r="E417" s="1674"/>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524</v>
      </c>
      <c r="U418" s="1014"/>
    </row>
    <row r="419" spans="1:21" ht="18" customHeight="1" thickBot="1" x14ac:dyDescent="0.3">
      <c r="A419" s="1053"/>
      <c r="B419" s="1014"/>
      <c r="C419" s="1007" t="s">
        <v>1515</v>
      </c>
      <c r="D419" s="1683" t="s">
        <v>1625</v>
      </c>
      <c r="E419" s="1666"/>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687" t="s">
        <v>1634</v>
      </c>
      <c r="C421" s="1665"/>
      <c r="D421" s="1665"/>
      <c r="E421" s="1665"/>
      <c r="F421" s="1665"/>
      <c r="G421" s="1665"/>
      <c r="H421" s="1665"/>
      <c r="I421" s="1665"/>
      <c r="J421" s="1665"/>
      <c r="K421" s="1665"/>
      <c r="L421" s="1665"/>
      <c r="M421" s="1665"/>
      <c r="N421" s="1665"/>
      <c r="O421" s="1665"/>
      <c r="P421" s="1665"/>
      <c r="Q421" s="1665"/>
      <c r="R421" s="1665"/>
      <c r="S421" s="1665"/>
      <c r="T421" s="1665"/>
      <c r="U421" s="1666"/>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1400</v>
      </c>
      <c r="D423" s="1681" t="s">
        <v>1633</v>
      </c>
      <c r="E423" s="1682"/>
      <c r="F423" s="1014"/>
      <c r="G423" s="1014"/>
      <c r="H423" s="1010" t="s">
        <v>1397</v>
      </c>
      <c r="I423" s="1014"/>
      <c r="J423" s="1010" t="s">
        <v>1398</v>
      </c>
      <c r="K423" s="1014"/>
      <c r="L423" s="1010" t="s">
        <v>1414</v>
      </c>
      <c r="M423" s="1014"/>
      <c r="N423" s="1010" t="s">
        <v>1399</v>
      </c>
      <c r="O423" s="1014"/>
      <c r="P423" s="1014"/>
      <c r="Q423" s="1014"/>
      <c r="R423" s="1010" t="s">
        <v>1506</v>
      </c>
      <c r="S423" s="1014"/>
      <c r="T423" s="1010" t="s">
        <v>1507</v>
      </c>
      <c r="U423" s="1014"/>
    </row>
    <row r="424" spans="1:21" ht="15.75" thickBot="1" x14ac:dyDescent="0.3">
      <c r="A424" s="1053"/>
      <c r="B424" s="1014"/>
      <c r="C424" s="1002"/>
      <c r="D424" s="1002"/>
      <c r="E424" s="1002"/>
      <c r="F424" s="1014"/>
      <c r="G424" s="1014"/>
      <c r="H424" s="1044"/>
      <c r="I424" s="1014"/>
      <c r="J424" s="1000"/>
      <c r="K424" s="1014"/>
      <c r="L424" s="1000"/>
      <c r="M424" s="1014"/>
      <c r="N424" s="1044"/>
      <c r="O424" s="1014"/>
      <c r="P424" s="1014"/>
      <c r="Q424" s="1014"/>
      <c r="R424" s="1040" t="s">
        <v>1621</v>
      </c>
      <c r="S424" s="1014"/>
      <c r="T424" s="1040" t="s">
        <v>647</v>
      </c>
      <c r="U424" s="1014"/>
    </row>
    <row r="425" spans="1:21" ht="30.75" thickBot="1" x14ac:dyDescent="0.3">
      <c r="A425" s="1053"/>
      <c r="B425" s="1014"/>
      <c r="C425" s="1007" t="s">
        <v>1510</v>
      </c>
      <c r="D425" s="1688">
        <v>502</v>
      </c>
      <c r="E425" s="1684"/>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1413</v>
      </c>
      <c r="I426" s="1014"/>
      <c r="J426" s="1014"/>
      <c r="K426"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 t="s">
        <v>1402</v>
      </c>
      <c r="D427" s="1685" t="str">
        <f>AA32</f>
        <v/>
      </c>
      <c r="E427" s="1686"/>
      <c r="F427" s="1014"/>
      <c r="G427" s="1014"/>
      <c r="H427" s="975"/>
      <c r="I427" s="1014"/>
      <c r="J427" s="1014"/>
      <c r="K427" s="1014"/>
      <c r="L427" s="1014"/>
      <c r="M427" s="1014"/>
      <c r="N427" s="1014"/>
      <c r="O427" s="1014"/>
      <c r="P427" s="1014"/>
      <c r="Q427" s="1014"/>
      <c r="R427" s="1040" t="s">
        <v>1629</v>
      </c>
      <c r="S427" s="1014"/>
      <c r="T427" s="1040" t="s">
        <v>395</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1403</v>
      </c>
      <c r="D429" s="1685" t="str">
        <f>AB32</f>
        <v/>
      </c>
      <c r="E429" s="1686"/>
      <c r="F429" s="1014"/>
      <c r="G429" s="1014"/>
      <c r="H429" s="1009" t="s">
        <v>1511</v>
      </c>
      <c r="I429" s="1014"/>
      <c r="J429" s="1014"/>
      <c r="K429" s="1014"/>
      <c r="L429" s="1014"/>
      <c r="M429" s="1014"/>
      <c r="N429" s="1014"/>
      <c r="O429" s="1014"/>
      <c r="P429" s="1014"/>
      <c r="Q429" s="1014"/>
      <c r="R429" s="1014"/>
      <c r="S429" s="1014"/>
      <c r="T429" s="1010" t="s">
        <v>1618</v>
      </c>
      <c r="U429" s="1014"/>
    </row>
    <row r="430" spans="1:21" ht="18" customHeight="1" thickBot="1" x14ac:dyDescent="0.3">
      <c r="A430" s="1053"/>
      <c r="B430" s="1014"/>
      <c r="C430" s="1002"/>
      <c r="D430" s="1002"/>
      <c r="E430" s="1002"/>
      <c r="F430" s="1014"/>
      <c r="G430" s="1014"/>
      <c r="H430" s="996" t="s">
        <v>647</v>
      </c>
      <c r="I430" s="1014"/>
      <c r="J430" s="1014"/>
      <c r="K430" s="1014"/>
      <c r="L430" s="1014"/>
      <c r="M430" s="1014"/>
      <c r="N430" s="1014"/>
      <c r="O430" s="1014"/>
      <c r="P430" s="1014"/>
      <c r="Q430" s="1014"/>
      <c r="R430" s="1014"/>
      <c r="S430" s="1014"/>
      <c r="T430" s="1040" t="s">
        <v>649</v>
      </c>
      <c r="U430" s="1014"/>
    </row>
    <row r="431" spans="1:21" ht="30" customHeight="1" thickBot="1" x14ac:dyDescent="0.3">
      <c r="A431" s="1053"/>
      <c r="B431" s="1014"/>
      <c r="C431" s="1008" t="s">
        <v>1514</v>
      </c>
      <c r="D431" s="1673" t="s">
        <v>647</v>
      </c>
      <c r="E431" s="1674"/>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524</v>
      </c>
      <c r="U432" s="1014"/>
    </row>
    <row r="433" spans="1:21" ht="16.5" customHeight="1" thickBot="1" x14ac:dyDescent="0.3">
      <c r="A433" s="1053"/>
      <c r="B433" s="1014"/>
      <c r="C433" s="1007" t="s">
        <v>1515</v>
      </c>
      <c r="D433" s="1683" t="s">
        <v>1625</v>
      </c>
      <c r="E433" s="1666"/>
      <c r="F433" s="1014"/>
      <c r="G433" s="1014"/>
      <c r="H433" s="1014"/>
      <c r="I433" s="1014"/>
      <c r="J433" s="1014"/>
      <c r="K433" s="1014"/>
      <c r="L433" s="1014"/>
      <c r="M433" s="1014"/>
      <c r="N433" s="1014"/>
      <c r="O433" s="1014"/>
      <c r="P433" s="1014"/>
      <c r="Q433" s="1014"/>
      <c r="R433" s="1014"/>
      <c r="S433" s="1014"/>
      <c r="T433" s="1040" t="str">
        <f>IF(Z32&lt;&gt;"","Yes","No")</f>
        <v>No</v>
      </c>
      <c r="U433" s="1014"/>
    </row>
    <row r="434" spans="1:21"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1" ht="20.25" customHeight="1" thickBot="1" x14ac:dyDescent="0.3">
      <c r="A435" s="1053"/>
      <c r="B435" s="1687" t="s">
        <v>1635</v>
      </c>
      <c r="C435" s="1665"/>
      <c r="D435" s="1665"/>
      <c r="E435" s="1665"/>
      <c r="F435" s="1665"/>
      <c r="G435" s="1665"/>
      <c r="H435" s="1665"/>
      <c r="I435" s="1665"/>
      <c r="J435" s="1665"/>
      <c r="K435" s="1665"/>
      <c r="L435" s="1665"/>
      <c r="M435" s="1665"/>
      <c r="N435" s="1665"/>
      <c r="O435" s="1665"/>
      <c r="P435" s="1665"/>
      <c r="Q435" s="1665"/>
      <c r="R435" s="1665"/>
      <c r="S435" s="1665"/>
      <c r="T435" s="1665"/>
      <c r="U435" s="1666"/>
    </row>
    <row r="436" spans="1:21"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1" ht="30.75" thickBot="1" x14ac:dyDescent="0.3">
      <c r="A437" s="134"/>
      <c r="B437" s="1014"/>
      <c r="C437" s="1007" t="s">
        <v>1400</v>
      </c>
      <c r="D437" s="1681" t="s">
        <v>1636</v>
      </c>
      <c r="E437" s="1682"/>
      <c r="F437" s="1014"/>
      <c r="G437" s="1014"/>
      <c r="H437" s="1010" t="s">
        <v>1397</v>
      </c>
      <c r="I437" s="1014"/>
      <c r="J437" s="1010" t="s">
        <v>1398</v>
      </c>
      <c r="K437" s="1014"/>
      <c r="L437" s="1010" t="s">
        <v>1414</v>
      </c>
      <c r="M437" s="1014"/>
      <c r="N437" s="1010" t="s">
        <v>1399</v>
      </c>
      <c r="O437" s="1014"/>
      <c r="P437" s="1010" t="s">
        <v>1505</v>
      </c>
      <c r="Q437" s="1014"/>
      <c r="R437" s="1010" t="s">
        <v>1506</v>
      </c>
      <c r="S437" s="1014"/>
      <c r="T437" s="1010" t="s">
        <v>1507</v>
      </c>
      <c r="U437" s="1014"/>
    </row>
    <row r="438" spans="1:21" ht="15.75" thickBot="1" x14ac:dyDescent="0.3">
      <c r="A438" s="1053"/>
      <c r="B438" s="1014"/>
      <c r="C438" s="1002"/>
      <c r="D438" s="1002"/>
      <c r="E438" s="1002"/>
      <c r="F438" s="1014"/>
      <c r="G438" s="1014"/>
      <c r="H438" s="952"/>
      <c r="I438" s="1014"/>
      <c r="J438" s="1000"/>
      <c r="K438" s="1014"/>
      <c r="L438" s="1000"/>
      <c r="M438" s="1014"/>
      <c r="N438" s="1044"/>
      <c r="O438" s="1014"/>
      <c r="P438" s="1040" t="s">
        <v>1508</v>
      </c>
      <c r="Q438" s="1014"/>
      <c r="R438" s="953" t="s">
        <v>1621</v>
      </c>
      <c r="S438" s="1014"/>
      <c r="T438" s="953" t="s">
        <v>649</v>
      </c>
      <c r="U438" s="1014"/>
    </row>
    <row r="439" spans="1:21" ht="30.75" thickBot="1" x14ac:dyDescent="0.3">
      <c r="A439" s="1053"/>
      <c r="B439" s="1014"/>
      <c r="C439" s="1007" t="s">
        <v>1510</v>
      </c>
      <c r="D439" s="1683">
        <v>5601</v>
      </c>
      <c r="E439" s="1684"/>
      <c r="F439" s="1014"/>
      <c r="G439" s="1014"/>
      <c r="H439" s="1014"/>
      <c r="I439" s="1014"/>
      <c r="J439" s="1014"/>
      <c r="K439" s="1014"/>
      <c r="L439" s="1014"/>
      <c r="M439" s="1014"/>
      <c r="N439" s="1014"/>
      <c r="O439" s="1014"/>
      <c r="P439" s="1014"/>
      <c r="Q439" s="1014"/>
      <c r="R439" s="1014"/>
      <c r="S439" s="1014"/>
      <c r="T439" s="1014"/>
      <c r="U439" s="1014"/>
    </row>
    <row r="440" spans="1:21" ht="15.75" thickBot="1" x14ac:dyDescent="0.3">
      <c r="A440" s="1053"/>
      <c r="B440" s="1014"/>
      <c r="C440" s="1002"/>
      <c r="D440" s="1002"/>
      <c r="E440" s="1002"/>
      <c r="F440" s="1014"/>
      <c r="G440" s="1014"/>
      <c r="H440" s="1009" t="s">
        <v>1413</v>
      </c>
      <c r="I440" s="1014"/>
      <c r="J440" s="1010" t="s">
        <v>1500</v>
      </c>
      <c r="K440" s="1014"/>
      <c r="L440" s="1010" t="s">
        <v>728</v>
      </c>
      <c r="M440" s="1014"/>
      <c r="N440" s="1010" t="s">
        <v>1501</v>
      </c>
      <c r="O440" s="1014"/>
      <c r="P440" s="1014"/>
      <c r="Q440" s="1014"/>
      <c r="R440" s="1010" t="s">
        <v>1622</v>
      </c>
      <c r="S440" s="1014"/>
      <c r="T440" s="1010" t="s">
        <v>1623</v>
      </c>
      <c r="U440" s="1014"/>
    </row>
    <row r="441" spans="1:21" ht="18" customHeight="1" thickBot="1" x14ac:dyDescent="0.3">
      <c r="A441" s="1053"/>
      <c r="B441" s="1014"/>
      <c r="C441" s="1007" t="s">
        <v>1402</v>
      </c>
      <c r="D441" s="1685" t="str">
        <f>AA33</f>
        <v/>
      </c>
      <c r="E441" s="1686"/>
      <c r="F441" s="1014"/>
      <c r="G441" s="1014"/>
      <c r="H441" s="975">
        <v>0</v>
      </c>
      <c r="I441" s="1014"/>
      <c r="J441" s="976">
        <v>1</v>
      </c>
      <c r="K441" s="1014"/>
      <c r="L441" s="975"/>
      <c r="M441" s="1014"/>
      <c r="N441" s="1001"/>
      <c r="O441" s="1014"/>
      <c r="P441" s="1014"/>
      <c r="Q441" s="1014"/>
      <c r="R441" s="1040" t="s">
        <v>1629</v>
      </c>
      <c r="S441" s="1014"/>
      <c r="T441" s="1040" t="s">
        <v>395</v>
      </c>
      <c r="U441" s="1014"/>
    </row>
    <row r="442" spans="1:21"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1" ht="30.75" thickBot="1" x14ac:dyDescent="0.3">
      <c r="A443" s="1053"/>
      <c r="B443" s="1014"/>
      <c r="C443" s="1007" t="s">
        <v>1403</v>
      </c>
      <c r="D443" s="1685" t="str">
        <f>AB33</f>
        <v/>
      </c>
      <c r="E443" s="1686"/>
      <c r="F443" s="1014"/>
      <c r="G443" s="1014"/>
      <c r="H443" s="1009" t="s">
        <v>1511</v>
      </c>
      <c r="I443" s="1014"/>
      <c r="J443" s="976">
        <v>3</v>
      </c>
      <c r="K443" s="1014"/>
      <c r="L443" s="975"/>
      <c r="M443" s="1014"/>
      <c r="N443" s="1001"/>
      <c r="O443" s="1014"/>
      <c r="P443" s="1014"/>
      <c r="Q443" s="1014"/>
      <c r="R443" s="1014"/>
      <c r="S443" s="1014"/>
      <c r="T443" s="1010" t="s">
        <v>1618</v>
      </c>
      <c r="U443" s="1014"/>
    </row>
    <row r="444" spans="1:21" ht="15.75" thickBot="1" x14ac:dyDescent="0.3">
      <c r="A444" s="1053"/>
      <c r="B444" s="1014"/>
      <c r="C444" s="1002"/>
      <c r="D444" s="1002"/>
      <c r="E444" s="1002"/>
      <c r="F444" s="1014"/>
      <c r="G444" s="1014"/>
      <c r="H444" s="996" t="s">
        <v>647</v>
      </c>
      <c r="I444" s="1014"/>
      <c r="J444" s="976">
        <v>4</v>
      </c>
      <c r="K444" s="1014"/>
      <c r="L444" s="975"/>
      <c r="M444" s="1014"/>
      <c r="N444" s="1001"/>
      <c r="O444" s="1014"/>
      <c r="P444" s="1014"/>
      <c r="Q444" s="1014"/>
      <c r="R444" s="1014"/>
      <c r="S444" s="1014"/>
      <c r="T444" s="1040" t="s">
        <v>649</v>
      </c>
      <c r="U444" s="1014"/>
    </row>
    <row r="445" spans="1:21" ht="30" customHeight="1" thickBot="1" x14ac:dyDescent="0.3">
      <c r="A445" s="1053"/>
      <c r="B445" s="1014"/>
      <c r="C445" s="1008" t="s">
        <v>1514</v>
      </c>
      <c r="D445" s="1673" t="s">
        <v>647</v>
      </c>
      <c r="E445" s="1674"/>
      <c r="F445" s="1014"/>
      <c r="G445" s="1014"/>
      <c r="H445" s="1014"/>
      <c r="I445" s="1014"/>
      <c r="J445" s="976">
        <v>5</v>
      </c>
      <c r="K445" s="1014"/>
      <c r="L445" s="975"/>
      <c r="M445" s="1014"/>
      <c r="N445" s="1001"/>
      <c r="O445" s="1014"/>
      <c r="P445" s="1014"/>
      <c r="Q445" s="1014"/>
      <c r="R445" s="1014"/>
      <c r="S445" s="1014"/>
      <c r="T445" s="1014"/>
      <c r="U445" s="1014"/>
    </row>
    <row r="446" spans="1:21" ht="15.75" thickBot="1" x14ac:dyDescent="0.3">
      <c r="A446" s="1053"/>
      <c r="B446" s="1014"/>
      <c r="C446" s="1002"/>
      <c r="D446" s="1002"/>
      <c r="E446" s="1002"/>
      <c r="F446" s="1014"/>
      <c r="G446" s="1014"/>
      <c r="H446" s="1010" t="s">
        <v>1406</v>
      </c>
      <c r="I446" s="1014"/>
      <c r="J446" s="1014"/>
      <c r="K446" s="1014"/>
      <c r="L446" s="1014"/>
      <c r="M446" s="1014"/>
      <c r="N446" s="1014"/>
      <c r="O446" s="1014"/>
      <c r="P446" s="1014"/>
      <c r="Q446" s="1014"/>
      <c r="R446" s="1014"/>
      <c r="S446" s="1014"/>
      <c r="T446" s="1010" t="s">
        <v>524</v>
      </c>
      <c r="U446" s="1014"/>
    </row>
    <row r="447" spans="1:21" ht="18" customHeight="1" thickBot="1" x14ac:dyDescent="0.3">
      <c r="A447" s="1053"/>
      <c r="B447" s="1014"/>
      <c r="C447" s="1007" t="s">
        <v>1515</v>
      </c>
      <c r="D447" s="1683" t="s">
        <v>1625</v>
      </c>
      <c r="E447" s="1666"/>
      <c r="F447" s="1014"/>
      <c r="G447" s="1014"/>
      <c r="H447" s="975">
        <v>0</v>
      </c>
      <c r="I447" s="1014"/>
      <c r="J447" s="1014"/>
      <c r="K447" s="1014"/>
      <c r="L447" s="1014"/>
      <c r="M447" s="1014"/>
      <c r="N447" s="1014"/>
      <c r="O447" s="1014"/>
      <c r="P447" s="1014"/>
      <c r="Q447" s="1014"/>
      <c r="R447" s="1014"/>
      <c r="S447" s="1014"/>
      <c r="T447" s="1040" t="str">
        <f>IF(Z33&lt;&gt;"","Yes","No")</f>
        <v>No</v>
      </c>
      <c r="U447" s="1014"/>
    </row>
    <row r="448" spans="1:21"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687" t="s">
        <v>1637</v>
      </c>
      <c r="C449" s="1665"/>
      <c r="D449" s="1665"/>
      <c r="E449" s="1665"/>
      <c r="F449" s="1665"/>
      <c r="G449" s="1665"/>
      <c r="H449" s="1665"/>
      <c r="I449" s="1665"/>
      <c r="J449" s="1665"/>
      <c r="K449" s="1665"/>
      <c r="L449" s="1665"/>
      <c r="M449" s="1665"/>
      <c r="N449" s="1665"/>
      <c r="O449" s="1665"/>
      <c r="P449" s="1665"/>
      <c r="Q449" s="1665"/>
      <c r="R449" s="1665"/>
      <c r="S449" s="1665"/>
      <c r="T449" s="1665"/>
      <c r="U449" s="1666"/>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1400</v>
      </c>
      <c r="D451" s="1681" t="s">
        <v>1636</v>
      </c>
      <c r="E451" s="1682"/>
      <c r="F451" s="1014"/>
      <c r="G451" s="1014"/>
      <c r="H451" s="1010" t="s">
        <v>1397</v>
      </c>
      <c r="I451" s="1014"/>
      <c r="J451" s="1010" t="s">
        <v>1398</v>
      </c>
      <c r="K451" s="1014"/>
      <c r="L451" s="1010" t="s">
        <v>1414</v>
      </c>
      <c r="M451" s="1014"/>
      <c r="N451" s="1010" t="s">
        <v>1399</v>
      </c>
      <c r="O451" s="1014"/>
      <c r="P451" s="1010" t="s">
        <v>1505</v>
      </c>
      <c r="Q451" s="1014"/>
      <c r="R451" s="1010" t="s">
        <v>1506</v>
      </c>
      <c r="S451" s="1014"/>
      <c r="T451" s="1010" t="s">
        <v>1507</v>
      </c>
      <c r="U451" s="1014"/>
    </row>
    <row r="452" spans="1:21" ht="15.75" thickBot="1" x14ac:dyDescent="0.3">
      <c r="A452" s="1053"/>
      <c r="B452" s="1014"/>
      <c r="C452" s="1002"/>
      <c r="D452" s="1002"/>
      <c r="E452" s="1002"/>
      <c r="F452" s="1014"/>
      <c r="G452" s="1014"/>
      <c r="H452" s="952"/>
      <c r="I452" s="1014"/>
      <c r="J452" s="1000"/>
      <c r="K452" s="1014"/>
      <c r="L452" s="1000"/>
      <c r="M452" s="1014"/>
      <c r="N452" s="1044"/>
      <c r="O452" s="1014"/>
      <c r="P452" s="1040" t="s">
        <v>1508</v>
      </c>
      <c r="Q452" s="1014"/>
      <c r="R452" s="953" t="s">
        <v>1621</v>
      </c>
      <c r="S452" s="1014"/>
      <c r="T452" s="953" t="s">
        <v>649</v>
      </c>
      <c r="U452" s="1014"/>
    </row>
    <row r="453" spans="1:21" ht="30.75" thickBot="1" x14ac:dyDescent="0.3">
      <c r="A453" s="1053"/>
      <c r="B453" s="1014"/>
      <c r="C453" s="1007" t="s">
        <v>1510</v>
      </c>
      <c r="D453" s="1683">
        <v>5602</v>
      </c>
      <c r="E453" s="1684"/>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1413</v>
      </c>
      <c r="I454" s="1014"/>
      <c r="J454" s="1010" t="s">
        <v>1500</v>
      </c>
      <c r="K454" s="1014"/>
      <c r="L454" s="1010" t="s">
        <v>728</v>
      </c>
      <c r="M454" s="1014"/>
      <c r="N454" s="1010" t="s">
        <v>1501</v>
      </c>
      <c r="O454" s="1014"/>
      <c r="P454" s="1014"/>
      <c r="Q454" s="1014"/>
      <c r="R454" s="1010" t="s">
        <v>1622</v>
      </c>
      <c r="S454" s="1014"/>
      <c r="T454" s="1010" t="s">
        <v>1623</v>
      </c>
      <c r="U454" s="1014"/>
    </row>
    <row r="455" spans="1:21" ht="18" customHeight="1" thickBot="1" x14ac:dyDescent="0.3">
      <c r="A455" s="1053"/>
      <c r="B455" s="1014"/>
      <c r="C455" s="1007" t="s">
        <v>1402</v>
      </c>
      <c r="D455" s="1685" t="str">
        <f>AA34</f>
        <v/>
      </c>
      <c r="E455" s="1686"/>
      <c r="F455" s="1014"/>
      <c r="G455" s="1014"/>
      <c r="H455" s="1039">
        <v>0</v>
      </c>
      <c r="I455" s="1014"/>
      <c r="J455" s="976">
        <v>1</v>
      </c>
      <c r="K455" s="1014"/>
      <c r="L455" s="1001"/>
      <c r="M455" s="1014"/>
      <c r="N455" s="1001"/>
      <c r="O455" s="1014"/>
      <c r="P455" s="1014"/>
      <c r="Q455" s="1014"/>
      <c r="R455" s="1040" t="s">
        <v>1629</v>
      </c>
      <c r="S455" s="1014"/>
      <c r="T455" s="1040" t="s">
        <v>395</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1403</v>
      </c>
      <c r="D457" s="1685" t="str">
        <f>AB34</f>
        <v/>
      </c>
      <c r="E457" s="1686"/>
      <c r="F457" s="1014"/>
      <c r="G457" s="1014"/>
      <c r="H457" s="1091" t="s">
        <v>1511</v>
      </c>
      <c r="I457" s="1014"/>
      <c r="J457" s="976">
        <v>3</v>
      </c>
      <c r="K457" s="1014"/>
      <c r="L457" s="1001"/>
      <c r="M457" s="1014"/>
      <c r="N457" s="1001"/>
      <c r="O457" s="1014"/>
      <c r="P457" s="1014"/>
      <c r="Q457" s="1014"/>
      <c r="R457" s="1014"/>
      <c r="S457" s="1014"/>
      <c r="T457" s="1010" t="s">
        <v>1618</v>
      </c>
      <c r="U457" s="1014"/>
    </row>
    <row r="458" spans="1:21" ht="15.75" thickBot="1" x14ac:dyDescent="0.3">
      <c r="A458" s="1053"/>
      <c r="B458" s="1014"/>
      <c r="C458" s="1002"/>
      <c r="D458" s="1002"/>
      <c r="E458" s="1002"/>
      <c r="F458" s="1014"/>
      <c r="G458" s="1014"/>
      <c r="H458" s="996" t="s">
        <v>647</v>
      </c>
      <c r="I458" s="1014"/>
      <c r="J458" s="976">
        <v>4</v>
      </c>
      <c r="K458" s="1014"/>
      <c r="L458" s="1001"/>
      <c r="M458" s="1014"/>
      <c r="N458" s="1001"/>
      <c r="O458" s="1014"/>
      <c r="P458" s="1014"/>
      <c r="Q458" s="1014"/>
      <c r="R458" s="1014"/>
      <c r="S458" s="1014"/>
      <c r="T458" s="1040" t="s">
        <v>649</v>
      </c>
      <c r="U458" s="1014"/>
    </row>
    <row r="459" spans="1:21" ht="30" customHeight="1" thickBot="1" x14ac:dyDescent="0.3">
      <c r="A459" s="1053"/>
      <c r="B459" s="1014"/>
      <c r="C459" s="1008" t="s">
        <v>1514</v>
      </c>
      <c r="D459" s="1673" t="s">
        <v>647</v>
      </c>
      <c r="E459" s="1674"/>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1406</v>
      </c>
      <c r="I460" s="1014"/>
      <c r="J460" s="1014"/>
      <c r="K460" s="1014"/>
      <c r="L460" s="1014"/>
      <c r="M460" s="1014"/>
      <c r="N460" s="1014"/>
      <c r="O460" s="1014"/>
      <c r="P460" s="1014"/>
      <c r="Q460" s="1014"/>
      <c r="R460" s="1014"/>
      <c r="S460" s="1014"/>
      <c r="T460" s="1010" t="s">
        <v>524</v>
      </c>
      <c r="U460" s="1014"/>
    </row>
    <row r="461" spans="1:21" ht="18" customHeight="1" thickBot="1" x14ac:dyDescent="0.3">
      <c r="A461" s="1053"/>
      <c r="B461" s="1014"/>
      <c r="C461" s="1007" t="s">
        <v>1515</v>
      </c>
      <c r="D461" s="1683" t="s">
        <v>1625</v>
      </c>
      <c r="E461" s="1666"/>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687" t="s">
        <v>1638</v>
      </c>
      <c r="C463" s="1665"/>
      <c r="D463" s="1665"/>
      <c r="E463" s="1665"/>
      <c r="F463" s="1665"/>
      <c r="G463" s="1665"/>
      <c r="H463" s="1665"/>
      <c r="I463" s="1665"/>
      <c r="J463" s="1665"/>
      <c r="K463" s="1665"/>
      <c r="L463" s="1665"/>
      <c r="M463" s="1665"/>
      <c r="N463" s="1665"/>
      <c r="O463" s="1665"/>
      <c r="P463" s="1665"/>
      <c r="Q463" s="1665"/>
      <c r="R463" s="1665"/>
      <c r="S463" s="1665"/>
      <c r="T463" s="1665"/>
      <c r="U463" s="1666"/>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1400</v>
      </c>
      <c r="D465" s="1681" t="s">
        <v>1639</v>
      </c>
      <c r="E465" s="1682"/>
      <c r="F465" s="1014"/>
      <c r="G465" s="1014"/>
      <c r="H465" s="1010" t="s">
        <v>1397</v>
      </c>
      <c r="I465" s="1014"/>
      <c r="J465" s="1010" t="s">
        <v>1398</v>
      </c>
      <c r="K465" s="1014"/>
      <c r="L465" s="1010" t="s">
        <v>1414</v>
      </c>
      <c r="M465" s="1014"/>
      <c r="N465" s="1010" t="s">
        <v>1399</v>
      </c>
      <c r="O465" s="1014"/>
      <c r="P465" s="1014"/>
      <c r="Q465" s="1014"/>
      <c r="R465" s="1010" t="s">
        <v>1506</v>
      </c>
      <c r="S465" s="1014"/>
      <c r="T465" s="1010" t="s">
        <v>1507</v>
      </c>
      <c r="U465" s="1014"/>
    </row>
    <row r="466" spans="1:21" ht="15.75" thickBot="1" x14ac:dyDescent="0.3">
      <c r="A466" s="1053"/>
      <c r="B466" s="1014"/>
      <c r="C466" s="1002"/>
      <c r="D466" s="1002"/>
      <c r="E466" s="1002"/>
      <c r="F466" s="1014"/>
      <c r="G466" s="1014"/>
      <c r="H466" s="1044"/>
      <c r="I466" s="1014"/>
      <c r="J466" s="1000"/>
      <c r="K466" s="1014"/>
      <c r="L466" s="1000"/>
      <c r="M466" s="1014"/>
      <c r="N466" s="1044"/>
      <c r="O466" s="1014"/>
      <c r="P466" s="1014"/>
      <c r="Q466" s="1014"/>
      <c r="R466" s="1040" t="s">
        <v>1621</v>
      </c>
      <c r="S466" s="1014"/>
      <c r="T466" s="1040" t="s">
        <v>647</v>
      </c>
      <c r="U466" s="1014"/>
    </row>
    <row r="467" spans="1:21" ht="30.75" thickBot="1" x14ac:dyDescent="0.3">
      <c r="A467" s="1053"/>
      <c r="B467" s="1014"/>
      <c r="C467" s="1007" t="s">
        <v>1510</v>
      </c>
      <c r="D467" s="1683">
        <v>601</v>
      </c>
      <c r="E467" s="1684"/>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1413</v>
      </c>
      <c r="I468" s="1014"/>
      <c r="J468" s="1010" t="s">
        <v>1500</v>
      </c>
      <c r="K468" s="1014"/>
      <c r="L468" s="1010" t="s">
        <v>728</v>
      </c>
      <c r="M468" s="1014"/>
      <c r="N468" s="1701" t="s">
        <v>1640</v>
      </c>
      <c r="O468" s="1701"/>
      <c r="P468" s="1701"/>
      <c r="Q468" s="1014"/>
      <c r="R468" s="1010" t="s">
        <v>1622</v>
      </c>
      <c r="S468" s="1014"/>
      <c r="T468" s="1010" t="s">
        <v>1623</v>
      </c>
      <c r="U468" s="1014"/>
    </row>
    <row r="469" spans="1:21" ht="30.75" customHeight="1" thickBot="1" x14ac:dyDescent="0.3">
      <c r="A469" s="1053"/>
      <c r="B469" s="1014"/>
      <c r="C469" s="1007" t="s">
        <v>1402</v>
      </c>
      <c r="D469" s="1685" t="str">
        <f>AA35</f>
        <v/>
      </c>
      <c r="E469" s="1686"/>
      <c r="F469" s="1014"/>
      <c r="G469" s="1014"/>
      <c r="H469" s="975"/>
      <c r="I469" s="1014"/>
      <c r="J469" s="976">
        <v>1</v>
      </c>
      <c r="K469" s="1014"/>
      <c r="L469" s="975"/>
      <c r="M469" s="1014"/>
      <c r="N469" s="1702" t="s">
        <v>1641</v>
      </c>
      <c r="O469" s="1702"/>
      <c r="P469" s="1702"/>
      <c r="Q469" s="1014"/>
      <c r="R469" s="1040" t="s">
        <v>1629</v>
      </c>
      <c r="S469" s="1014"/>
      <c r="T469" s="1040" t="s">
        <v>395</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03" t="s">
        <v>1642</v>
      </c>
      <c r="O470" s="1703"/>
      <c r="P470" s="1703"/>
      <c r="Q470" s="1014"/>
      <c r="R470" s="1014"/>
      <c r="S470" s="1014"/>
      <c r="T470" s="1014"/>
      <c r="U470" s="1014"/>
    </row>
    <row r="471" spans="1:21" ht="30.75" thickBot="1" x14ac:dyDescent="0.3">
      <c r="A471" s="1053"/>
      <c r="B471" s="1014"/>
      <c r="C471" s="1007" t="s">
        <v>1403</v>
      </c>
      <c r="D471" s="1685" t="str">
        <f>AB35</f>
        <v/>
      </c>
      <c r="E471" s="1686"/>
      <c r="F471" s="1014"/>
      <c r="G471" s="1014"/>
      <c r="H471" s="1009" t="s">
        <v>1511</v>
      </c>
      <c r="I471" s="1014"/>
      <c r="J471" s="976">
        <v>3</v>
      </c>
      <c r="K471" s="1014"/>
      <c r="L471" s="1001"/>
      <c r="M471" s="1014"/>
      <c r="N471" s="1703" t="s">
        <v>1643</v>
      </c>
      <c r="O471" s="1703"/>
      <c r="P471" s="1703"/>
      <c r="Q471" s="1014"/>
      <c r="R471" s="1014"/>
      <c r="S471" s="1014"/>
      <c r="T471" s="1010" t="s">
        <v>1618</v>
      </c>
      <c r="U471" s="1014"/>
    </row>
    <row r="472" spans="1:21" ht="29.25" customHeight="1" thickBot="1" x14ac:dyDescent="0.3">
      <c r="A472" s="1053"/>
      <c r="B472" s="1014"/>
      <c r="C472" s="1002"/>
      <c r="D472" s="1002"/>
      <c r="E472" s="1002"/>
      <c r="F472" s="1014"/>
      <c r="G472" s="1014"/>
      <c r="H472" s="996" t="s">
        <v>647</v>
      </c>
      <c r="I472" s="1014"/>
      <c r="J472" s="976">
        <v>4</v>
      </c>
      <c r="K472" s="1014"/>
      <c r="L472" s="1001"/>
      <c r="M472" s="1014"/>
      <c r="N472" s="1702" t="s">
        <v>1644</v>
      </c>
      <c r="O472" s="1702"/>
      <c r="P472" s="1702"/>
      <c r="Q472" s="1014"/>
      <c r="R472" s="1014"/>
      <c r="S472" s="1014"/>
      <c r="T472" s="1040" t="s">
        <v>649</v>
      </c>
      <c r="U472" s="1014"/>
    </row>
    <row r="473" spans="1:21" ht="30.75" thickBot="1" x14ac:dyDescent="0.3">
      <c r="A473" s="1053"/>
      <c r="B473" s="1014"/>
      <c r="C473" s="1008" t="s">
        <v>1514</v>
      </c>
      <c r="D473" s="1673" t="s">
        <v>647</v>
      </c>
      <c r="E473" s="1674"/>
      <c r="F473" s="1014"/>
      <c r="G473" s="1014"/>
      <c r="H473" s="1014"/>
      <c r="I473" s="1014"/>
      <c r="J473" s="976">
        <v>5</v>
      </c>
      <c r="K473" s="1014"/>
      <c r="L473" s="1001"/>
      <c r="M473" s="1014"/>
      <c r="N473" s="1702" t="s">
        <v>1645</v>
      </c>
      <c r="O473" s="1702"/>
      <c r="P473" s="1702"/>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524</v>
      </c>
      <c r="U474" s="1014"/>
    </row>
    <row r="475" spans="1:21" ht="15.75" thickBot="1" x14ac:dyDescent="0.3">
      <c r="A475" s="1053"/>
      <c r="B475" s="1014"/>
      <c r="C475" s="1007" t="s">
        <v>1515</v>
      </c>
      <c r="D475" s="1683" t="s">
        <v>1625</v>
      </c>
      <c r="E475" s="1666"/>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687" t="s">
        <v>1646</v>
      </c>
      <c r="C477" s="1665"/>
      <c r="D477" s="1665"/>
      <c r="E477" s="1665"/>
      <c r="F477" s="1665"/>
      <c r="G477" s="1665"/>
      <c r="H477" s="1665"/>
      <c r="I477" s="1665"/>
      <c r="J477" s="1665"/>
      <c r="K477" s="1665"/>
      <c r="L477" s="1665"/>
      <c r="M477" s="1665"/>
      <c r="N477" s="1665"/>
      <c r="O477" s="1665"/>
      <c r="P477" s="1665"/>
      <c r="Q477" s="1665"/>
      <c r="R477" s="1665"/>
      <c r="S477" s="1665"/>
      <c r="T477" s="1665"/>
      <c r="U477" s="1666"/>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1400</v>
      </c>
      <c r="D479" s="1681" t="s">
        <v>1639</v>
      </c>
      <c r="E479" s="1682"/>
      <c r="F479" s="1014"/>
      <c r="G479" s="1014"/>
      <c r="H479" s="1010" t="s">
        <v>1397</v>
      </c>
      <c r="I479" s="1014"/>
      <c r="J479" s="1010" t="s">
        <v>1398</v>
      </c>
      <c r="K479" s="1014"/>
      <c r="L479" s="1010" t="s">
        <v>1414</v>
      </c>
      <c r="M479" s="1014"/>
      <c r="N479" s="1010" t="s">
        <v>1399</v>
      </c>
      <c r="O479" s="1014"/>
      <c r="P479" s="1014"/>
      <c r="Q479" s="1014"/>
      <c r="R479" s="1010" t="s">
        <v>1506</v>
      </c>
      <c r="S479" s="1014"/>
      <c r="T479" s="1010" t="s">
        <v>1507</v>
      </c>
      <c r="U479" s="1014"/>
    </row>
    <row r="480" spans="1:21" ht="15.75" thickBot="1" x14ac:dyDescent="0.3">
      <c r="A480" s="1053"/>
      <c r="B480" s="1014"/>
      <c r="C480" s="1002"/>
      <c r="D480" s="1002"/>
      <c r="E480" s="1002"/>
      <c r="F480" s="1014"/>
      <c r="G480" s="1014"/>
      <c r="H480" s="1044"/>
      <c r="I480" s="1014"/>
      <c r="J480" s="1000"/>
      <c r="K480" s="1014"/>
      <c r="L480" s="1000"/>
      <c r="M480" s="1014"/>
      <c r="N480" s="1044"/>
      <c r="O480" s="1014"/>
      <c r="P480" s="1014"/>
      <c r="Q480" s="1014"/>
      <c r="R480" s="1040" t="s">
        <v>1621</v>
      </c>
      <c r="S480" s="1014"/>
      <c r="T480" s="1040" t="s">
        <v>647</v>
      </c>
      <c r="U480" s="1014"/>
    </row>
    <row r="481" spans="1:21" ht="30.75" thickBot="1" x14ac:dyDescent="0.3">
      <c r="A481" s="1053"/>
      <c r="B481" s="1014"/>
      <c r="C481" s="1007" t="s">
        <v>1510</v>
      </c>
      <c r="D481" s="1683">
        <v>602</v>
      </c>
      <c r="E481" s="1684"/>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1413</v>
      </c>
      <c r="I482" s="1014"/>
      <c r="J482" s="1010" t="s">
        <v>1500</v>
      </c>
      <c r="K482" s="1014"/>
      <c r="L482" s="1010" t="s">
        <v>728</v>
      </c>
      <c r="M482" s="1014"/>
      <c r="N482" s="1701" t="s">
        <v>1640</v>
      </c>
      <c r="O482" s="1701"/>
      <c r="P482" s="1701"/>
      <c r="Q482" s="1014"/>
      <c r="R482" s="1010" t="s">
        <v>1622</v>
      </c>
      <c r="S482" s="1014"/>
      <c r="T482" s="1010" t="s">
        <v>1623</v>
      </c>
      <c r="U482" s="1014"/>
    </row>
    <row r="483" spans="1:21" ht="30.75" customHeight="1" thickBot="1" x14ac:dyDescent="0.3">
      <c r="A483" s="1053"/>
      <c r="B483" s="1014"/>
      <c r="C483" s="1007" t="s">
        <v>1402</v>
      </c>
      <c r="D483" s="1685" t="str">
        <f>AA36</f>
        <v/>
      </c>
      <c r="E483" s="1686"/>
      <c r="F483" s="1014"/>
      <c r="G483" s="1014"/>
      <c r="H483" s="1039"/>
      <c r="I483" s="1014"/>
      <c r="J483" s="976">
        <v>1</v>
      </c>
      <c r="K483" s="1014"/>
      <c r="L483" s="1001"/>
      <c r="M483" s="1014"/>
      <c r="N483" s="1702" t="s">
        <v>1641</v>
      </c>
      <c r="O483" s="1702"/>
      <c r="P483" s="1702"/>
      <c r="Q483" s="1014"/>
      <c r="R483" s="1040" t="s">
        <v>1629</v>
      </c>
      <c r="S483" s="1014"/>
      <c r="T483" s="1040" t="s">
        <v>395</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02" t="s">
        <v>1642</v>
      </c>
      <c r="O484" s="1702"/>
      <c r="P484" s="1702"/>
      <c r="Q484" s="1014"/>
      <c r="R484" s="1014"/>
      <c r="S484" s="1014"/>
      <c r="T484" s="1014"/>
      <c r="U484" s="1014"/>
    </row>
    <row r="485" spans="1:21" ht="30.75" thickBot="1" x14ac:dyDescent="0.3">
      <c r="A485" s="1053"/>
      <c r="B485" s="1014"/>
      <c r="C485" s="1007" t="s">
        <v>1403</v>
      </c>
      <c r="D485" s="1685" t="str">
        <f>AB36</f>
        <v/>
      </c>
      <c r="E485" s="1686"/>
      <c r="F485" s="1014"/>
      <c r="G485" s="1014"/>
      <c r="H485" s="1009" t="s">
        <v>1511</v>
      </c>
      <c r="I485" s="1014"/>
      <c r="J485" s="976">
        <v>3</v>
      </c>
      <c r="K485" s="1014"/>
      <c r="L485" s="1001"/>
      <c r="M485" s="1014"/>
      <c r="N485" s="1702" t="s">
        <v>1643</v>
      </c>
      <c r="O485" s="1702"/>
      <c r="P485" s="1702"/>
      <c r="Q485" s="1014"/>
      <c r="R485" s="1014"/>
      <c r="S485" s="1014"/>
      <c r="T485" s="1010" t="s">
        <v>1618</v>
      </c>
      <c r="U485" s="1014"/>
    </row>
    <row r="486" spans="1:21" ht="30" customHeight="1" thickBot="1" x14ac:dyDescent="0.3">
      <c r="A486" s="1053"/>
      <c r="B486" s="1014"/>
      <c r="C486" s="1002"/>
      <c r="D486" s="1002"/>
      <c r="E486" s="1002"/>
      <c r="F486" s="1014"/>
      <c r="G486" s="1014"/>
      <c r="H486" s="996" t="s">
        <v>647</v>
      </c>
      <c r="I486" s="1014"/>
      <c r="J486" s="976">
        <v>4</v>
      </c>
      <c r="K486" s="1014"/>
      <c r="L486" s="1001"/>
      <c r="M486" s="1014"/>
      <c r="N486" s="1702" t="s">
        <v>1644</v>
      </c>
      <c r="O486" s="1702"/>
      <c r="P486" s="1702"/>
      <c r="Q486" s="1014"/>
      <c r="R486" s="1014"/>
      <c r="S486" s="1014"/>
      <c r="T486" s="1040" t="s">
        <v>649</v>
      </c>
      <c r="U486" s="1014"/>
    </row>
    <row r="487" spans="1:21" ht="30.75" thickBot="1" x14ac:dyDescent="0.3">
      <c r="A487" s="1053"/>
      <c r="B487" s="1014"/>
      <c r="C487" s="1008" t="s">
        <v>1514</v>
      </c>
      <c r="D487" s="1673" t="s">
        <v>647</v>
      </c>
      <c r="E487" s="1674"/>
      <c r="F487" s="1014"/>
      <c r="G487" s="1014"/>
      <c r="H487" s="1014"/>
      <c r="I487" s="1014"/>
      <c r="J487" s="976">
        <v>5</v>
      </c>
      <c r="K487" s="1014"/>
      <c r="L487" s="1001"/>
      <c r="M487" s="1014"/>
      <c r="N487" s="1702" t="s">
        <v>1645</v>
      </c>
      <c r="O487" s="1702"/>
      <c r="P487" s="1702"/>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524</v>
      </c>
      <c r="U488" s="1014"/>
    </row>
    <row r="489" spans="1:21" ht="18" customHeight="1" thickBot="1" x14ac:dyDescent="0.3">
      <c r="A489" s="1053"/>
      <c r="B489" s="1014"/>
      <c r="C489" s="1007" t="s">
        <v>1515</v>
      </c>
      <c r="D489" s="1683" t="s">
        <v>1625</v>
      </c>
      <c r="E489" s="1666"/>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687" t="s">
        <v>1647</v>
      </c>
      <c r="C491" s="1665"/>
      <c r="D491" s="1665"/>
      <c r="E491" s="1665"/>
      <c r="F491" s="1665"/>
      <c r="G491" s="1665"/>
      <c r="H491" s="1665"/>
      <c r="I491" s="1665"/>
      <c r="J491" s="1665"/>
      <c r="K491" s="1665"/>
      <c r="L491" s="1665"/>
      <c r="M491" s="1665"/>
      <c r="N491" s="1665"/>
      <c r="O491" s="1665"/>
      <c r="P491" s="1665"/>
      <c r="Q491" s="1665"/>
      <c r="R491" s="1665"/>
      <c r="S491" s="1665"/>
      <c r="T491" s="1665"/>
      <c r="U491" s="1666"/>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1400</v>
      </c>
      <c r="D493" s="1681" t="s">
        <v>1648</v>
      </c>
      <c r="E493" s="1682"/>
      <c r="F493" s="1014"/>
      <c r="G493" s="1014"/>
      <c r="H493" s="1014"/>
      <c r="I493" s="1014"/>
      <c r="J493" s="1010" t="s">
        <v>1398</v>
      </c>
      <c r="K493" s="1014"/>
      <c r="L493" s="1010" t="s">
        <v>1414</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1510</v>
      </c>
      <c r="D495" s="1683">
        <v>1001</v>
      </c>
      <c r="E495" s="1684"/>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1406</v>
      </c>
      <c r="M496" s="1014"/>
      <c r="N496" s="1014"/>
      <c r="O496" s="1014"/>
      <c r="P496" s="1014"/>
      <c r="Q496" s="1014"/>
      <c r="R496" s="1014"/>
      <c r="S496" s="1014"/>
      <c r="T496" s="1010" t="s">
        <v>1618</v>
      </c>
      <c r="U496" s="1014"/>
    </row>
    <row r="497" spans="1:21" ht="15.75" thickBot="1" x14ac:dyDescent="0.3">
      <c r="A497" s="1053"/>
      <c r="B497" s="1014"/>
      <c r="C497" s="1007" t="s">
        <v>1402</v>
      </c>
      <c r="D497" s="1685" t="str">
        <f>AA37</f>
        <v/>
      </c>
      <c r="E497" s="1686"/>
      <c r="F497" s="1014"/>
      <c r="G497" s="1014"/>
      <c r="H497" s="1014"/>
      <c r="I497" s="1014"/>
      <c r="J497" s="1014"/>
      <c r="K497" s="1014"/>
      <c r="L497" s="975"/>
      <c r="M497" s="1014"/>
      <c r="N497" s="1014"/>
      <c r="O497" s="1014"/>
      <c r="P497" s="1014"/>
      <c r="Q497" s="1014"/>
      <c r="R497" s="1014"/>
      <c r="S497" s="1014"/>
      <c r="T497" s="1040" t="s">
        <v>649</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1403</v>
      </c>
      <c r="D499" s="1685" t="str">
        <f>AB37</f>
        <v/>
      </c>
      <c r="E499" s="1686"/>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524</v>
      </c>
      <c r="U500" s="1014"/>
    </row>
    <row r="501" spans="1:21" ht="30" customHeight="1" thickBot="1" x14ac:dyDescent="0.3">
      <c r="A501" s="1053"/>
      <c r="B501" s="1014"/>
      <c r="C501" s="1008" t="s">
        <v>1514</v>
      </c>
      <c r="D501" s="1673" t="s">
        <v>647</v>
      </c>
      <c r="E501" s="1674"/>
      <c r="F501" s="1014"/>
      <c r="G501" s="1014"/>
      <c r="H501" s="1014"/>
      <c r="I501" s="1014"/>
      <c r="J501" s="1014"/>
      <c r="K501" s="1014"/>
      <c r="L501" s="1014"/>
      <c r="M501" s="1014"/>
      <c r="N501" s="1014"/>
      <c r="O501" s="1014"/>
      <c r="P501" s="1014"/>
      <c r="Q501" s="1014"/>
      <c r="R501" s="1014"/>
      <c r="S501" s="1014"/>
      <c r="T501" s="1040" t="str">
        <f>IF(Z37&lt;&gt;"","Yes","No")</f>
        <v>No</v>
      </c>
      <c r="U501" s="1014"/>
    </row>
    <row r="502" spans="1:21" x14ac:dyDescent="0.25">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x14ac:dyDescent="0.25">
      <c r="A503" s="584"/>
      <c r="B503" s="752"/>
      <c r="C503" s="752"/>
      <c r="D503" s="752"/>
      <c r="E503" s="752"/>
      <c r="F503" s="752"/>
      <c r="G503" s="1068"/>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49"/>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49"/>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49"/>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49"/>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49"/>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49"/>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49"/>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49"/>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49"/>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49"/>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49"/>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49"/>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49"/>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49"/>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49"/>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49"/>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49"/>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49"/>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49"/>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49"/>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49"/>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49"/>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49"/>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49"/>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49"/>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49"/>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49"/>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49"/>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49"/>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49"/>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49"/>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49"/>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49"/>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49"/>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49"/>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49"/>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49"/>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49"/>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49"/>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49"/>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49"/>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49"/>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49"/>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49"/>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49"/>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49"/>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49"/>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49"/>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49"/>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49"/>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49"/>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49"/>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49"/>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49"/>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49"/>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49"/>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49"/>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49"/>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49"/>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49"/>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49"/>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49"/>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49"/>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49"/>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49"/>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49"/>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49"/>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49"/>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49"/>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49"/>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49"/>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49"/>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49"/>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49"/>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49"/>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49"/>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49"/>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49"/>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49"/>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49"/>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49"/>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49"/>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49"/>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49"/>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49"/>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49"/>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49"/>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49"/>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49"/>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49"/>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49"/>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49"/>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49"/>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49"/>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49"/>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49"/>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49"/>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49"/>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49"/>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49"/>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49"/>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49"/>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49"/>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49"/>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49"/>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49"/>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49"/>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49"/>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49"/>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49"/>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49"/>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49"/>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49"/>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49"/>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49"/>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49"/>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49"/>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49"/>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49"/>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49"/>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49"/>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49"/>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49"/>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49"/>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49"/>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49"/>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49"/>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49"/>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49"/>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49"/>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49"/>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49"/>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49"/>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49"/>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49"/>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49"/>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49"/>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49"/>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49"/>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49"/>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49"/>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49"/>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49"/>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49"/>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49"/>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49"/>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49"/>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49"/>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49"/>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49"/>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49"/>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49"/>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49"/>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49"/>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49"/>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49"/>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49"/>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49"/>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49"/>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49"/>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49"/>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49"/>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49"/>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49"/>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49"/>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49"/>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49"/>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49"/>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49"/>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49"/>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49"/>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49"/>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49"/>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49"/>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49"/>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49"/>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49"/>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49"/>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49"/>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49"/>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49"/>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49"/>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49"/>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49"/>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49"/>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49"/>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49"/>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49"/>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49"/>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49"/>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49"/>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49"/>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49"/>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49"/>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49"/>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49"/>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49"/>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49"/>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49"/>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49"/>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49"/>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49"/>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49"/>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49"/>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49"/>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49"/>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49"/>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49"/>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49"/>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49"/>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49"/>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49"/>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49"/>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49"/>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49"/>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49"/>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49"/>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49"/>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49"/>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49"/>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49"/>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49"/>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49"/>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49"/>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49"/>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49"/>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49"/>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49"/>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49"/>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49"/>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49"/>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49"/>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49"/>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49"/>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49"/>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49"/>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49"/>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49"/>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49"/>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49"/>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49"/>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49"/>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49"/>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49"/>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49"/>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49"/>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49"/>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49"/>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49"/>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49"/>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49"/>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49"/>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49"/>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49"/>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49"/>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49"/>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49"/>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49"/>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49"/>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49"/>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49"/>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49"/>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49"/>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49"/>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49"/>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49"/>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49"/>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49"/>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49"/>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49"/>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49"/>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49"/>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49"/>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49"/>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49"/>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49"/>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49"/>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49"/>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49"/>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49"/>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49"/>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49"/>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49"/>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49"/>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49"/>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49"/>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49"/>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49"/>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49"/>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49"/>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49"/>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49"/>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49"/>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49"/>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49"/>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49"/>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49"/>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49"/>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49"/>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49"/>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49"/>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49"/>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49"/>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49"/>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49"/>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49"/>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49"/>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49"/>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49"/>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49"/>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49"/>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49"/>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49"/>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49"/>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49"/>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49"/>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49"/>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49"/>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49"/>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49"/>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49"/>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49"/>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49"/>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49"/>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49"/>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49"/>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49"/>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49"/>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49"/>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49"/>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49"/>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49"/>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49"/>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49"/>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49"/>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49"/>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49"/>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49"/>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49"/>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49"/>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49"/>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49"/>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49"/>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49"/>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49"/>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49"/>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49"/>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49"/>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49"/>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49"/>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49"/>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49"/>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49"/>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49"/>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49"/>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49"/>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49"/>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49"/>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49"/>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49"/>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49"/>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49"/>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49"/>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49"/>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49"/>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49"/>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49"/>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49"/>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49"/>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49"/>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49"/>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49"/>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49"/>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49"/>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49"/>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49"/>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49"/>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49"/>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49"/>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49"/>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49"/>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49"/>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49"/>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49"/>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49"/>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49"/>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49"/>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49"/>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49"/>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49"/>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49"/>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49"/>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49"/>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49"/>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49"/>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49"/>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49"/>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49"/>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49"/>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49"/>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49"/>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49"/>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49"/>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49"/>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49"/>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49"/>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49"/>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49"/>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49"/>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49"/>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49"/>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49"/>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49"/>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49"/>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49"/>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49"/>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49"/>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49"/>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49"/>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49"/>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49"/>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49"/>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49"/>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49"/>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49"/>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49"/>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49"/>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49"/>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49"/>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49"/>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49"/>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49"/>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49"/>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49"/>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49"/>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49"/>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49"/>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49"/>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49"/>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49"/>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49"/>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49"/>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49"/>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49"/>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49"/>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49"/>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49"/>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49"/>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49"/>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49"/>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49"/>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49"/>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49"/>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49"/>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49"/>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49"/>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49"/>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49"/>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49"/>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49"/>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49"/>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49"/>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49"/>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49"/>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49"/>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49"/>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49"/>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49"/>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49"/>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49"/>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49"/>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49"/>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49"/>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49"/>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49"/>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49"/>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49"/>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49"/>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49"/>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49"/>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49"/>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49"/>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49"/>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49"/>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49"/>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49"/>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49"/>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49"/>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49"/>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49"/>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49"/>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49"/>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49"/>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49"/>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49"/>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49"/>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49"/>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49"/>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49"/>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49"/>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49"/>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49"/>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49"/>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49"/>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49"/>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49"/>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49"/>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49"/>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49"/>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49"/>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49"/>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49"/>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49"/>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49"/>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49"/>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49"/>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49"/>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49"/>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49"/>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49"/>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49"/>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49"/>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49"/>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49"/>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49"/>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49"/>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49"/>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49"/>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49"/>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49"/>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49"/>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49"/>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49"/>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49"/>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49"/>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49"/>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49"/>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49"/>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49"/>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49"/>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49"/>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49"/>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49"/>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49"/>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49"/>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49"/>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49"/>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49"/>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49"/>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49"/>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49"/>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49"/>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49"/>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49"/>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49"/>
      <c r="H1058" s="584"/>
      <c r="I1058" s="584"/>
      <c r="J1058" s="584"/>
      <c r="K1058" s="584"/>
      <c r="L1058" s="584"/>
      <c r="M1058" s="584"/>
      <c r="N1058" s="584"/>
      <c r="O1058" s="584"/>
      <c r="P1058" s="584"/>
      <c r="Q1058" s="584"/>
      <c r="R1058" s="584"/>
      <c r="S1058" s="584"/>
      <c r="T1058" s="584"/>
      <c r="U1058" s="584"/>
    </row>
  </sheetData>
  <sheetProtection algorithmName="SHA-512" hashValue="HRf1XsqDjHbh2M0EUAlTW+uMrRBU+RFQXV+DxVSU7RkKcEbhDNUIAhBQF4fARzlLPf3TVEYCOgrSlBaKeIrs+w==" saltValue="btBJeG+RrnBdtHRGo1PDv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9">
    <dataValidation type="list" allowBlank="1" showInputMessage="1" showErrorMessage="1" sqref="H6 H34 H20 H62 H78 H48 H94 H108 H122 H138 H242 H298 H226 H210 H182 H168 H154 H312 H284 H438 H452 H256 H270"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 type="list" allowBlank="1" showInputMessage="1" showErrorMessage="1" errorTitle="Incentive Error" error="This is not a valid value for this field." sqref="H368" xr:uid="{F43DC1F1-8BD9-477E-8A29-81422370B9C1}">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0"/>
      <c r="BB1" s="1079"/>
      <c r="BC1" s="1079"/>
      <c r="BD1" s="1079"/>
    </row>
    <row r="2" spans="1:56" ht="15" x14ac:dyDescent="0.25">
      <c r="I2" s="512"/>
      <c r="J2" s="1707"/>
      <c r="K2" s="1707"/>
      <c r="O2" s="512"/>
      <c r="P2" s="512"/>
      <c r="Q2" s="512"/>
      <c r="R2" s="512"/>
      <c r="S2" s="512"/>
      <c r="T2" s="512"/>
      <c r="U2" s="512"/>
      <c r="V2" s="512"/>
      <c r="W2" s="512"/>
      <c r="X2" s="512"/>
      <c r="Y2" s="512"/>
      <c r="Z2" s="512"/>
      <c r="AA2" s="512"/>
      <c r="AH2" s="140" t="s">
        <v>62</v>
      </c>
      <c r="AI2" s="140" t="s">
        <v>1</v>
      </c>
      <c r="AJ2" s="140" t="s">
        <v>62</v>
      </c>
      <c r="AK2" s="642" t="s">
        <v>113</v>
      </c>
      <c r="BA2" s="1030"/>
      <c r="BB2" s="536"/>
      <c r="BC2" s="1032"/>
      <c r="BD2" s="536"/>
    </row>
    <row r="3" spans="1:56" ht="15" x14ac:dyDescent="0.25">
      <c r="I3" s="513" t="s">
        <v>876</v>
      </c>
      <c r="J3" s="1622" t="e">
        <f>VLOOKUP($J$4,'Market Geography'!$D:$G,4,FALSE)</f>
        <v>#N/A</v>
      </c>
      <c r="K3" s="1622"/>
      <c r="O3" s="512"/>
      <c r="P3" s="512"/>
      <c r="Q3" s="512"/>
      <c r="R3" s="512"/>
      <c r="S3" s="512"/>
      <c r="T3" s="512"/>
      <c r="U3" s="512"/>
      <c r="V3" s="512"/>
      <c r="W3" s="512"/>
      <c r="X3" s="512"/>
      <c r="Y3" s="512"/>
      <c r="Z3" s="512"/>
      <c r="AA3" s="512"/>
      <c r="AH3" s="140" t="s">
        <v>74</v>
      </c>
      <c r="AI3" s="140" t="s">
        <v>1</v>
      </c>
      <c r="AJ3" s="140" t="s">
        <v>74</v>
      </c>
      <c r="AK3" s="642" t="s">
        <v>113</v>
      </c>
      <c r="BA3" s="1030"/>
      <c r="BB3" s="536"/>
      <c r="BC3" s="1032"/>
      <c r="BD3" s="536"/>
    </row>
    <row r="4" spans="1:56" ht="15" x14ac:dyDescent="0.25">
      <c r="I4" s="513" t="s">
        <v>877</v>
      </c>
      <c r="J4" s="1622">
        <f>Welcome!$D$4</f>
        <v>0</v>
      </c>
      <c r="K4" s="1622"/>
      <c r="L4" s="514"/>
      <c r="M4" s="514"/>
      <c r="O4" s="512"/>
      <c r="P4" s="512"/>
      <c r="Q4" s="512"/>
      <c r="R4" s="512"/>
      <c r="S4" s="512"/>
      <c r="T4" s="512"/>
      <c r="U4" s="512"/>
      <c r="V4" s="512"/>
      <c r="W4" s="512"/>
      <c r="X4" s="512"/>
      <c r="Y4" s="512"/>
      <c r="Z4" s="512"/>
      <c r="AA4" s="512"/>
      <c r="AC4" s="27"/>
      <c r="AH4" s="140" t="s">
        <v>34</v>
      </c>
      <c r="AI4" s="140" t="s">
        <v>1</v>
      </c>
      <c r="AJ4" s="140" t="s">
        <v>34</v>
      </c>
      <c r="AK4" s="642" t="s">
        <v>113</v>
      </c>
      <c r="BA4" s="1030"/>
      <c r="BB4" s="536"/>
      <c r="BC4" s="1032"/>
      <c r="BD4" s="536"/>
    </row>
    <row r="5" spans="1:56" ht="15" x14ac:dyDescent="0.25">
      <c r="I5" s="513" t="s">
        <v>878</v>
      </c>
      <c r="J5" s="1708" t="e">
        <f>VLOOKUP($J$4,'Market Geography'!$D:$F,3,FALSE)</f>
        <v>#N/A</v>
      </c>
      <c r="K5" s="1708"/>
      <c r="O5" s="512"/>
      <c r="P5" s="512"/>
      <c r="Q5" s="512"/>
      <c r="R5" s="512"/>
      <c r="S5" s="512"/>
      <c r="T5" s="512"/>
      <c r="U5" s="512"/>
      <c r="V5" s="512"/>
      <c r="W5" s="512"/>
      <c r="X5" s="512"/>
      <c r="Y5" s="512"/>
      <c r="Z5" s="512"/>
      <c r="AA5" s="512"/>
      <c r="AH5" s="140" t="s">
        <v>0</v>
      </c>
      <c r="AI5" s="140" t="s">
        <v>1</v>
      </c>
      <c r="AJ5" s="140" t="s">
        <v>0</v>
      </c>
      <c r="AK5" s="642" t="s">
        <v>113</v>
      </c>
      <c r="BA5" s="1030"/>
      <c r="BB5" s="536"/>
      <c r="BC5" s="1032"/>
      <c r="BD5" s="536"/>
    </row>
    <row r="6" spans="1:56" ht="15" x14ac:dyDescent="0.25">
      <c r="I6" s="515" t="s">
        <v>879</v>
      </c>
      <c r="J6" s="1622" t="s">
        <v>134</v>
      </c>
      <c r="K6" s="1622" t="s">
        <v>206</v>
      </c>
      <c r="O6" s="512"/>
      <c r="P6" s="512"/>
      <c r="Q6" s="512"/>
      <c r="R6" s="512"/>
      <c r="S6" s="512"/>
      <c r="T6" s="512"/>
      <c r="U6" s="512"/>
      <c r="V6" s="512"/>
      <c r="W6" s="512"/>
      <c r="X6" s="512"/>
      <c r="Y6" s="512"/>
      <c r="Z6" s="512"/>
      <c r="AA6" s="512"/>
      <c r="AH6" s="140" t="s">
        <v>69</v>
      </c>
      <c r="AI6" s="140" t="s">
        <v>1</v>
      </c>
      <c r="AJ6" s="140" t="s">
        <v>69</v>
      </c>
      <c r="AK6" s="642" t="s">
        <v>113</v>
      </c>
      <c r="BA6" s="1030"/>
      <c r="BB6" s="536"/>
      <c r="BC6" s="1032"/>
      <c r="BD6" s="536"/>
    </row>
    <row r="7" spans="1:56" ht="15" x14ac:dyDescent="0.25">
      <c r="I7" s="515" t="s">
        <v>880</v>
      </c>
      <c r="J7" s="1622" t="str">
        <f>IF(Welcome!$D$8="MDA","C","N")</f>
        <v>N</v>
      </c>
      <c r="K7" s="1622"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0"/>
      <c r="BB7" s="536"/>
      <c r="BC7" s="1032"/>
      <c r="BD7" s="536"/>
    </row>
    <row r="8" spans="1:56" ht="15" x14ac:dyDescent="0.25">
      <c r="AH8" s="140" t="s">
        <v>35</v>
      </c>
      <c r="AI8" s="140" t="s">
        <v>1</v>
      </c>
      <c r="AJ8" s="140" t="s">
        <v>35</v>
      </c>
      <c r="AK8" s="642" t="s">
        <v>113</v>
      </c>
      <c r="BA8" s="1030"/>
      <c r="BB8" s="536"/>
      <c r="BC8" s="1032"/>
      <c r="BD8" s="536"/>
    </row>
    <row r="9" spans="1:56" ht="15" x14ac:dyDescent="0.25">
      <c r="I9" s="516"/>
      <c r="AH9" s="140" t="s">
        <v>6</v>
      </c>
      <c r="AI9" s="140" t="s">
        <v>1</v>
      </c>
      <c r="AJ9" s="140" t="s">
        <v>6</v>
      </c>
      <c r="AK9" s="642" t="s">
        <v>113</v>
      </c>
      <c r="BA9" s="1030"/>
      <c r="BB9" s="536"/>
      <c r="BC9" s="1032"/>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0"/>
      <c r="BB10" s="536"/>
      <c r="BC10" s="1032"/>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0"/>
      <c r="BB11" s="536"/>
      <c r="BC11" s="1032"/>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0"/>
      <c r="BB12" s="536"/>
      <c r="BC12" s="1032"/>
      <c r="BD12" s="536"/>
    </row>
    <row r="13" spans="1:56" ht="15" x14ac:dyDescent="0.25">
      <c r="J13" s="501"/>
      <c r="N13" s="502"/>
      <c r="AD13" s="1704" t="s">
        <v>931</v>
      </c>
      <c r="AE13" s="1705"/>
      <c r="AF13" s="1706"/>
      <c r="AH13" s="140" t="s">
        <v>60</v>
      </c>
      <c r="AI13" s="140" t="s">
        <v>1</v>
      </c>
      <c r="AJ13" s="140" t="s">
        <v>60</v>
      </c>
      <c r="AK13" s="642" t="s">
        <v>113</v>
      </c>
      <c r="BA13" s="1030"/>
      <c r="BB13" s="536"/>
      <c r="BC13" s="1032"/>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0"/>
      <c r="BB14" s="536"/>
      <c r="BC14" s="1032"/>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6" t="e">
        <f>SUM(AD15:AF15)</f>
        <v>#N/A</v>
      </c>
      <c r="AH15" s="140" t="s">
        <v>36</v>
      </c>
      <c r="AI15" s="140" t="s">
        <v>1</v>
      </c>
      <c r="AJ15" s="140" t="s">
        <v>36</v>
      </c>
      <c r="AK15" s="642" t="s">
        <v>113</v>
      </c>
      <c r="BA15" s="1030"/>
      <c r="BB15" s="536"/>
      <c r="BC15" s="1032"/>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6" t="e">
        <f t="shared" ref="AG16:AG24" si="9">SUM(AD16:AF16)</f>
        <v>#N/A</v>
      </c>
      <c r="AH16" s="140" t="s">
        <v>71</v>
      </c>
      <c r="AI16" s="140" t="s">
        <v>1</v>
      </c>
      <c r="AJ16" s="140" t="s">
        <v>71</v>
      </c>
      <c r="AK16" s="642" t="s">
        <v>113</v>
      </c>
      <c r="BA16" s="1030"/>
      <c r="BB16" s="536"/>
      <c r="BC16" s="1032"/>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6" t="e">
        <f t="shared" si="9"/>
        <v>#N/A</v>
      </c>
      <c r="AH17" s="140" t="s">
        <v>11</v>
      </c>
      <c r="AI17" s="140" t="s">
        <v>1</v>
      </c>
      <c r="AJ17" s="140" t="s">
        <v>11</v>
      </c>
      <c r="AK17" s="642" t="s">
        <v>113</v>
      </c>
      <c r="BA17" s="1030"/>
      <c r="BB17" s="536"/>
      <c r="BC17" s="1032"/>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6" t="e">
        <f t="shared" si="9"/>
        <v>#N/A</v>
      </c>
      <c r="AH18" s="140" t="s">
        <v>9</v>
      </c>
      <c r="AI18" s="140" t="s">
        <v>1</v>
      </c>
      <c r="AJ18" s="140" t="s">
        <v>9</v>
      </c>
      <c r="AK18" s="642" t="s">
        <v>113</v>
      </c>
      <c r="BA18" s="1030"/>
      <c r="BB18" s="536"/>
      <c r="BC18" s="1032"/>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6" t="e">
        <f t="shared" si="9"/>
        <v>#N/A</v>
      </c>
      <c r="AH19" s="140" t="s">
        <v>38</v>
      </c>
      <c r="AI19" s="140" t="s">
        <v>1</v>
      </c>
      <c r="AJ19" s="140" t="s">
        <v>38</v>
      </c>
      <c r="AK19" s="642" t="s">
        <v>113</v>
      </c>
      <c r="BA19" s="1030"/>
      <c r="BB19" s="536"/>
      <c r="BC19" s="1032"/>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6" t="e">
        <f t="shared" si="9"/>
        <v>#N/A</v>
      </c>
      <c r="AH20" s="140" t="s">
        <v>259</v>
      </c>
      <c r="AI20" s="140" t="s">
        <v>1</v>
      </c>
      <c r="AJ20" s="140" t="s">
        <v>259</v>
      </c>
      <c r="AK20" s="642" t="s">
        <v>113</v>
      </c>
      <c r="BA20" s="1030"/>
      <c r="BB20" s="536"/>
      <c r="BC20" s="1032"/>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6" t="e">
        <f t="shared" si="9"/>
        <v>#N/A</v>
      </c>
      <c r="AH21" s="140" t="s">
        <v>255</v>
      </c>
      <c r="AI21" s="140" t="s">
        <v>114</v>
      </c>
      <c r="AJ21" s="140" t="s">
        <v>255</v>
      </c>
      <c r="AK21" s="140" t="s">
        <v>114</v>
      </c>
      <c r="BA21" s="1030"/>
      <c r="BB21" s="536"/>
      <c r="BC21" s="1032"/>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6" t="e">
        <f t="shared" si="9"/>
        <v>#N/A</v>
      </c>
      <c r="AH22" s="140" t="s">
        <v>256</v>
      </c>
      <c r="AI22" s="140" t="s">
        <v>116</v>
      </c>
      <c r="AJ22" s="140" t="s">
        <v>256</v>
      </c>
      <c r="AK22" s="140" t="s">
        <v>116</v>
      </c>
      <c r="BA22" s="1030"/>
      <c r="BB22" s="536"/>
      <c r="BC22" s="1032"/>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6" t="e">
        <f t="shared" si="9"/>
        <v>#N/A</v>
      </c>
      <c r="AH23" s="140" t="s">
        <v>257</v>
      </c>
      <c r="AI23" s="140" t="s">
        <v>112</v>
      </c>
      <c r="AJ23" s="140" t="s">
        <v>257</v>
      </c>
      <c r="AK23" s="140" t="s">
        <v>112</v>
      </c>
      <c r="BA23" s="1030"/>
      <c r="BB23" s="536"/>
      <c r="BC23" s="1032"/>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7" t="e">
        <f t="shared" si="9"/>
        <v>#N/A</v>
      </c>
      <c r="AH24" s="140" t="s">
        <v>258</v>
      </c>
      <c r="AI24" s="140" t="s">
        <v>113</v>
      </c>
      <c r="AJ24" s="140" t="s">
        <v>258</v>
      </c>
      <c r="AK24" s="140" t="s">
        <v>113</v>
      </c>
      <c r="BA24" s="1030"/>
      <c r="BB24" s="536"/>
      <c r="BC24" s="1032"/>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0"/>
      <c r="BB25" s="536"/>
      <c r="BC25" s="1032"/>
      <c r="BD25" s="536"/>
    </row>
    <row r="26" spans="1:56" ht="15" x14ac:dyDescent="0.25">
      <c r="J26" s="506" t="s">
        <v>869</v>
      </c>
      <c r="K26" s="505">
        <f>IFERROR(SUM($K$15:$K$24)/COUNTIF($K$15:$K$24,"&gt;0"),0)</f>
        <v>0</v>
      </c>
      <c r="AB26" s="506"/>
      <c r="AH26" s="140" t="s">
        <v>261</v>
      </c>
      <c r="AI26" s="140" t="s">
        <v>118</v>
      </c>
      <c r="AJ26" s="140" t="s">
        <v>261</v>
      </c>
      <c r="AK26" s="140" t="s">
        <v>118</v>
      </c>
      <c r="BA26" s="1030"/>
      <c r="BB26" s="536"/>
      <c r="BC26" s="1032"/>
      <c r="BD26" s="536"/>
    </row>
    <row r="27" spans="1:56" ht="15" x14ac:dyDescent="0.25">
      <c r="AB27" s="506"/>
      <c r="AH27" s="140" t="s">
        <v>262</v>
      </c>
      <c r="AI27" s="140" t="s">
        <v>115</v>
      </c>
      <c r="AJ27" s="140" t="s">
        <v>262</v>
      </c>
      <c r="AK27" s="140" t="s">
        <v>115</v>
      </c>
      <c r="BA27" s="1030"/>
      <c r="BB27" s="536"/>
      <c r="BC27" s="1032"/>
      <c r="BD27" s="536"/>
    </row>
    <row r="28" spans="1:56" ht="15" x14ac:dyDescent="0.25">
      <c r="AH28" s="140" t="s">
        <v>263</v>
      </c>
      <c r="AI28" s="140" t="s">
        <v>117</v>
      </c>
      <c r="AJ28" s="140" t="s">
        <v>263</v>
      </c>
      <c r="AK28" s="140" t="s">
        <v>117</v>
      </c>
      <c r="BA28" s="1030"/>
      <c r="BB28" s="536"/>
      <c r="BC28" s="1032"/>
      <c r="BD28" s="536"/>
    </row>
    <row r="29" spans="1:56" ht="15" x14ac:dyDescent="0.25">
      <c r="BA29" s="1030"/>
      <c r="BB29" s="536"/>
      <c r="BC29" s="1032"/>
      <c r="BD29" s="536"/>
    </row>
    <row r="30" spans="1:56" ht="15" x14ac:dyDescent="0.25">
      <c r="BA30" s="1030"/>
      <c r="BB30" s="536"/>
      <c r="BC30" s="1032"/>
      <c r="BD30" s="536"/>
    </row>
    <row r="31" spans="1:56" ht="15" x14ac:dyDescent="0.25">
      <c r="BA31" s="1030"/>
      <c r="BB31" s="536"/>
      <c r="BC31" s="1032"/>
      <c r="BD31" s="536"/>
    </row>
    <row r="32" spans="1:56" ht="15" x14ac:dyDescent="0.25">
      <c r="BA32" s="1030"/>
      <c r="BB32" s="536"/>
      <c r="BC32" s="1032"/>
      <c r="BD32" s="536"/>
    </row>
    <row r="33" spans="53:56" ht="14.45" customHeight="1" x14ac:dyDescent="0.25">
      <c r="BA33" s="1030"/>
      <c r="BB33" s="536"/>
      <c r="BC33" s="1032"/>
      <c r="BD33" s="536"/>
    </row>
    <row r="34" spans="53:56" ht="15" x14ac:dyDescent="0.25">
      <c r="BA34" s="1030"/>
      <c r="BB34" s="536"/>
      <c r="BC34" s="1032"/>
      <c r="BD34" s="536"/>
    </row>
    <row r="35" spans="53:56" ht="15" x14ac:dyDescent="0.25">
      <c r="BA35" s="1030"/>
      <c r="BB35" s="536"/>
      <c r="BC35" s="1032"/>
      <c r="BD35" s="536"/>
    </row>
    <row r="36" spans="53:56" ht="15" x14ac:dyDescent="0.25">
      <c r="BA36" s="1030"/>
      <c r="BB36" s="536"/>
      <c r="BC36" s="1032"/>
      <c r="BD36" s="536"/>
    </row>
    <row r="37" spans="53:56" ht="15" x14ac:dyDescent="0.25">
      <c r="BA37" s="1030"/>
      <c r="BB37" s="536"/>
      <c r="BC37" s="1032"/>
      <c r="BD37" s="536"/>
    </row>
    <row r="38" spans="53:56" ht="15" x14ac:dyDescent="0.25">
      <c r="BA38" s="1030"/>
      <c r="BB38" s="536"/>
      <c r="BC38" s="1032"/>
      <c r="BD38" s="536"/>
    </row>
    <row r="39" spans="53:56" ht="15" x14ac:dyDescent="0.25">
      <c r="BA39" s="1030"/>
      <c r="BB39" s="536"/>
      <c r="BC39" s="1032"/>
      <c r="BD39" s="536"/>
    </row>
    <row r="40" spans="53:56" ht="15" x14ac:dyDescent="0.25">
      <c r="BA40" s="1030"/>
      <c r="BB40" s="536"/>
      <c r="BC40" s="1032"/>
      <c r="BD40" s="536"/>
    </row>
    <row r="41" spans="53:56" ht="15" x14ac:dyDescent="0.25">
      <c r="BA41" s="1030"/>
      <c r="BB41" s="536"/>
      <c r="BC41" s="1032"/>
      <c r="BD41" s="536"/>
    </row>
    <row r="42" spans="53:56" ht="15" x14ac:dyDescent="0.25">
      <c r="BA42" s="1030"/>
      <c r="BB42" s="536"/>
      <c r="BC42" s="1032"/>
      <c r="BD42" s="536"/>
    </row>
    <row r="43" spans="53:56" ht="15" x14ac:dyDescent="0.25">
      <c r="BA43" s="1030"/>
      <c r="BB43" s="536"/>
      <c r="BC43" s="1032"/>
      <c r="BD43" s="536"/>
    </row>
    <row r="44" spans="53:56" ht="15" x14ac:dyDescent="0.25">
      <c r="BA44" s="1030"/>
      <c r="BB44" s="536"/>
      <c r="BC44" s="1032"/>
      <c r="BD44" s="536"/>
    </row>
    <row r="45" spans="53:56" ht="15" x14ac:dyDescent="0.25">
      <c r="BA45" s="1030"/>
      <c r="BB45" s="536"/>
      <c r="BC45" s="1032"/>
      <c r="BD45" s="536"/>
    </row>
    <row r="46" spans="53:56" ht="15" x14ac:dyDescent="0.25">
      <c r="BA46" s="1030"/>
      <c r="BB46" s="536"/>
      <c r="BC46" s="1032"/>
      <c r="BD46" s="536"/>
    </row>
    <row r="47" spans="53:56" ht="15" x14ac:dyDescent="0.25">
      <c r="BA47" s="1030"/>
      <c r="BB47" s="536"/>
      <c r="BC47" s="1032"/>
      <c r="BD47" s="536"/>
    </row>
    <row r="48" spans="53:56" ht="15" x14ac:dyDescent="0.25">
      <c r="BA48" s="1030"/>
      <c r="BB48" s="536"/>
      <c r="BC48" s="1032"/>
      <c r="BD48" s="536"/>
    </row>
    <row r="49" spans="53:56" ht="15" x14ac:dyDescent="0.25">
      <c r="BA49" s="1030"/>
      <c r="BB49" s="536"/>
      <c r="BC49" s="1032"/>
      <c r="BD49" s="536"/>
    </row>
    <row r="50" spans="53:56" ht="15" x14ac:dyDescent="0.25">
      <c r="BA50" s="1030"/>
      <c r="BB50" s="536"/>
      <c r="BC50" s="1032"/>
      <c r="BD50" s="536"/>
    </row>
    <row r="51" spans="53:56" ht="15" x14ac:dyDescent="0.25">
      <c r="BA51" s="1030"/>
      <c r="BB51" s="536"/>
      <c r="BC51" s="1032"/>
      <c r="BD51" s="536"/>
    </row>
    <row r="52" spans="53:56" ht="15" x14ac:dyDescent="0.25">
      <c r="BA52" s="1030"/>
      <c r="BB52" s="536"/>
      <c r="BC52" s="1032"/>
      <c r="BD52" s="536"/>
    </row>
    <row r="53" spans="53:56" ht="15" x14ac:dyDescent="0.25">
      <c r="BA53" s="1030"/>
      <c r="BB53" s="536"/>
      <c r="BC53" s="1032"/>
      <c r="BD53" s="536"/>
    </row>
    <row r="54" spans="53:56" ht="15" x14ac:dyDescent="0.25">
      <c r="BA54" s="1030"/>
      <c r="BB54" s="536"/>
      <c r="BC54" s="1032"/>
      <c r="BD54" s="536"/>
    </row>
    <row r="55" spans="53:56" ht="15" x14ac:dyDescent="0.25">
      <c r="BA55" s="1030"/>
      <c r="BB55" s="536"/>
      <c r="BC55" s="1032"/>
      <c r="BD55" s="536"/>
    </row>
    <row r="56" spans="53:56" ht="15" x14ac:dyDescent="0.25">
      <c r="BA56" s="1030"/>
      <c r="BB56" s="536"/>
      <c r="BC56" s="1032"/>
      <c r="BD56" s="536"/>
    </row>
    <row r="57" spans="53:56" ht="15" x14ac:dyDescent="0.25">
      <c r="BA57" s="1030"/>
      <c r="BB57" s="536"/>
      <c r="BC57" s="1032"/>
      <c r="BD57" s="536"/>
    </row>
    <row r="58" spans="53:56" ht="15" x14ac:dyDescent="0.25">
      <c r="BA58" s="1030"/>
      <c r="BB58" s="536"/>
      <c r="BC58" s="1032"/>
      <c r="BD58" s="536"/>
    </row>
    <row r="59" spans="53:56" ht="15" x14ac:dyDescent="0.25">
      <c r="BA59" s="1030"/>
      <c r="BB59" s="536"/>
      <c r="BC59" s="1032"/>
      <c r="BD59" s="536"/>
    </row>
    <row r="60" spans="53:56" ht="15" x14ac:dyDescent="0.25">
      <c r="BA60" s="1030"/>
      <c r="BB60" s="536"/>
      <c r="BC60" s="1032"/>
      <c r="BD60" s="536"/>
    </row>
    <row r="61" spans="53:56" ht="15" x14ac:dyDescent="0.25">
      <c r="BA61" s="1030"/>
      <c r="BB61" s="536"/>
      <c r="BC61" s="1032"/>
      <c r="BD61" s="536"/>
    </row>
    <row r="62" spans="53:56" ht="15" x14ac:dyDescent="0.25">
      <c r="BA62" s="1030"/>
      <c r="BB62" s="536"/>
      <c r="BC62" s="1032"/>
      <c r="BD62" s="536"/>
    </row>
    <row r="63" spans="53:56" ht="15" x14ac:dyDescent="0.25">
      <c r="BA63" s="1030"/>
      <c r="BB63" s="536"/>
      <c r="BC63" s="1032"/>
      <c r="BD63" s="536"/>
    </row>
    <row r="64" spans="53:56" ht="15" x14ac:dyDescent="0.25">
      <c r="BA64" s="1030"/>
      <c r="BB64" s="536"/>
      <c r="BC64" s="1032"/>
      <c r="BD64" s="536"/>
    </row>
    <row r="65" spans="53:56" ht="15" x14ac:dyDescent="0.25">
      <c r="BA65" s="1030"/>
      <c r="BB65" s="536"/>
      <c r="BC65" s="1032"/>
      <c r="BD65" s="536"/>
    </row>
    <row r="66" spans="53:56" ht="15" x14ac:dyDescent="0.25">
      <c r="BA66" s="1030"/>
      <c r="BB66" s="536"/>
      <c r="BC66" s="1032"/>
      <c r="BD66" s="536"/>
    </row>
    <row r="67" spans="53:56" ht="15" x14ac:dyDescent="0.25">
      <c r="BA67" s="1030"/>
      <c r="BB67" s="536"/>
      <c r="BC67" s="1032"/>
      <c r="BD67" s="536"/>
    </row>
    <row r="68" spans="53:56" ht="15" x14ac:dyDescent="0.25">
      <c r="BA68" s="1030"/>
      <c r="BB68" s="536"/>
      <c r="BC68" s="1032"/>
      <c r="BD68" s="536"/>
    </row>
    <row r="69" spans="53:56" ht="15" x14ac:dyDescent="0.25">
      <c r="BA69" s="1030"/>
      <c r="BB69" s="536"/>
      <c r="BC69" s="1032"/>
      <c r="BD69" s="536"/>
    </row>
    <row r="70" spans="53:56" ht="15" x14ac:dyDescent="0.25">
      <c r="BA70" s="1030"/>
      <c r="BB70" s="536"/>
      <c r="BC70" s="1032"/>
      <c r="BD70" s="536"/>
    </row>
    <row r="71" spans="53:56" ht="15" x14ac:dyDescent="0.25">
      <c r="BA71" s="1030"/>
      <c r="BB71" s="536"/>
      <c r="BC71" s="1032"/>
      <c r="BD71" s="536"/>
    </row>
    <row r="72" spans="53:56" ht="15" x14ac:dyDescent="0.25">
      <c r="BA72" s="1030"/>
      <c r="BB72" s="536"/>
      <c r="BC72" s="1032"/>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0" t="s">
        <v>976</v>
      </c>
      <c r="F1" s="1711"/>
      <c r="G1" s="1711"/>
      <c r="H1" s="1711"/>
      <c r="I1" s="1711"/>
      <c r="J1" s="1712"/>
      <c r="L1" s="1710" t="s">
        <v>975</v>
      </c>
      <c r="M1" s="1712"/>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0" t="s">
        <v>977</v>
      </c>
      <c r="F20" s="1711"/>
      <c r="G20" s="1712"/>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09" t="s">
        <v>113</v>
      </c>
      <c r="M22" s="1709"/>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0" t="s">
        <v>975</v>
      </c>
      <c r="M23" s="1712"/>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09" t="s">
        <v>978</v>
      </c>
      <c r="F28" s="1709"/>
      <c r="G28" s="1709"/>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3">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3">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3">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3">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3">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3">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3">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3">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3">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1" customWidth="1"/>
    <col min="8" max="8" width="13.42578125" style="1461" customWidth="1"/>
    <col min="10" max="10" width="12.42578125" style="839" customWidth="1"/>
    <col min="11" max="13" width="9.140625" style="839"/>
    <col min="14" max="16" width="9.140625" style="1461"/>
    <col min="17" max="17" width="12.85546875" style="839" customWidth="1"/>
    <col min="18" max="18" width="17.42578125" style="839" customWidth="1"/>
    <col min="19" max="19" width="35.85546875" style="839"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2"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39" customWidth="1"/>
    <col min="66" max="66" width="11.85546875" style="839" customWidth="1"/>
    <col min="67" max="67" width="21" style="839" customWidth="1"/>
    <col min="68" max="68" width="11.140625" style="839" customWidth="1"/>
    <col min="69" max="69" width="11.28515625" style="839" customWidth="1"/>
    <col min="70" max="70" width="12.140625" style="839" customWidth="1"/>
    <col min="71" max="71" width="10.28515625" style="839" customWidth="1"/>
    <col min="72" max="74" width="8.5703125" style="839" customWidth="1"/>
    <col min="75" max="75" width="10.28515625" style="839" customWidth="1"/>
    <col min="76" max="76" width="10.85546875" style="839" customWidth="1"/>
    <col min="77" max="77" width="10.7109375" style="839" customWidth="1"/>
    <col min="80" max="80" width="10.5703125" style="862" customWidth="1"/>
    <col min="81" max="81" width="28.28515625" bestFit="1" customWidth="1"/>
    <col min="82" max="82" width="17.5703125" bestFit="1" customWidth="1"/>
    <col min="84" max="84" width="12.140625" customWidth="1"/>
    <col min="85" max="85" width="11.7109375" customWidth="1"/>
    <col min="88" max="90" width="9.140625" style="839"/>
    <col min="91" max="91" width="11.85546875" style="839" customWidth="1"/>
    <col min="92" max="92" width="11.7109375" style="839" customWidth="1"/>
    <col min="93" max="93" width="10.140625" style="839" customWidth="1"/>
    <col min="94" max="94" width="9.85546875" style="839" customWidth="1"/>
    <col min="95" max="97" width="9.140625" style="839"/>
    <col min="98" max="98" width="10.28515625" style="839" customWidth="1"/>
    <col min="99" max="99" width="10.140625" style="839" customWidth="1"/>
    <col min="100" max="100" width="10" style="839" customWidth="1"/>
    <col min="103" max="103" width="10.42578125" style="862" customWidth="1"/>
    <col min="104" max="104" width="28.28515625" bestFit="1" customWidth="1"/>
    <col min="105" max="105" width="17.5703125" bestFit="1" customWidth="1"/>
    <col min="107" max="107" width="11.140625" customWidth="1"/>
    <col min="108" max="108" width="10.42578125" customWidth="1"/>
    <col min="111" max="114" width="9.140625" style="839"/>
    <col min="115" max="115" width="11" style="839" customWidth="1"/>
    <col min="116" max="116" width="9" style="839" customWidth="1"/>
    <col min="117" max="117" width="9.42578125" style="839" customWidth="1"/>
    <col min="118" max="120" width="9.140625" style="839"/>
    <col min="121" max="121" width="9.28515625" style="839" customWidth="1"/>
    <col min="122" max="122" width="10.5703125" style="839" customWidth="1"/>
    <col min="123" max="123" width="9.42578125" style="839" customWidth="1"/>
    <col min="126" max="126" width="10.85546875" style="862" customWidth="1"/>
    <col min="127" max="127" width="28.28515625" bestFit="1" customWidth="1"/>
    <col min="128" max="128" width="17.5703125" bestFit="1" customWidth="1"/>
    <col min="130" max="130" width="11.7109375" customWidth="1"/>
    <col min="131" max="131" width="10.28515625" customWidth="1"/>
    <col min="134" max="136" width="9.140625" style="839"/>
    <col min="137" max="137" width="10.140625" style="839" customWidth="1"/>
    <col min="138" max="138" width="10.7109375" style="839" customWidth="1"/>
    <col min="139" max="139" width="10" style="839" customWidth="1"/>
    <col min="140" max="140" width="10.140625" style="839" customWidth="1"/>
    <col min="141" max="143" width="9.140625" style="839"/>
    <col min="144" max="144" width="10" style="839" customWidth="1"/>
    <col min="145" max="146" width="9.140625" style="839"/>
    <col min="149" max="149" width="10.5703125" style="862" customWidth="1"/>
    <col min="150" max="150" width="28.28515625" bestFit="1" customWidth="1"/>
    <col min="151" max="151" width="17.5703125" bestFit="1" customWidth="1"/>
    <col min="153" max="153" width="10.140625" customWidth="1"/>
    <col min="154" max="154" width="10.28515625" customWidth="1"/>
    <col min="157" max="160" width="9.140625" style="839"/>
    <col min="161" max="161" width="11.7109375" style="839" customWidth="1"/>
    <col min="162" max="169" width="9.140625" style="839"/>
    <col min="172" max="172" width="10.140625" style="862" customWidth="1"/>
    <col min="173" max="173" width="28.28515625" bestFit="1" customWidth="1"/>
    <col min="174" max="174" width="17.5703125" bestFit="1" customWidth="1"/>
    <col min="176" max="176" width="10.140625" customWidth="1"/>
    <col min="180" max="182" width="9.140625" style="839"/>
    <col min="183" max="183" width="10.7109375" style="839" customWidth="1"/>
    <col min="184" max="184" width="11.5703125" style="839" customWidth="1"/>
    <col min="185" max="192" width="9.140625" style="839"/>
    <col min="195" max="195" width="11.7109375" style="862" customWidth="1"/>
    <col min="196" max="196" width="28.28515625" bestFit="1" customWidth="1"/>
    <col min="197" max="197" width="17.5703125" bestFit="1" customWidth="1"/>
    <col min="199" max="199" width="10.140625" customWidth="1"/>
    <col min="200" max="200" width="10.85546875" customWidth="1"/>
    <col min="203" max="206" width="9.140625" style="839"/>
    <col min="207" max="207" width="11.5703125" style="839" customWidth="1"/>
    <col min="208" max="215" width="9.140625" style="839"/>
    <col min="218" max="218" width="11.5703125" style="862" customWidth="1"/>
    <col min="219" max="219" width="28.28515625" bestFit="1" customWidth="1"/>
    <col min="220" max="220" width="17.5703125" bestFit="1" customWidth="1"/>
    <col min="222" max="222" width="11.5703125" customWidth="1"/>
    <col min="223" max="223" width="10.42578125" customWidth="1"/>
    <col min="226" max="229" width="9.140625" style="839"/>
    <col min="230" max="230" width="11.42578125" style="839" customWidth="1"/>
    <col min="231" max="238" width="9.140625" style="839"/>
    <col min="241" max="241" width="10.85546875" style="862" customWidth="1"/>
    <col min="242" max="242" width="28.28515625" bestFit="1" customWidth="1"/>
    <col min="243" max="243" width="17.5703125" bestFit="1" customWidth="1"/>
    <col min="245" max="246" width="10.42578125" customWidth="1"/>
    <col min="249" max="252" width="9.140625" style="839"/>
    <col min="253" max="253" width="11.42578125" style="839" customWidth="1"/>
    <col min="254" max="261" width="9.140625" style="839"/>
    <col min="263" max="263" width="15" customWidth="1"/>
    <col min="264" max="264" width="10.5703125" style="862"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39" customWidth="1"/>
    <col min="273" max="273" width="9.42578125" style="839" customWidth="1"/>
    <col min="274" max="275" width="7.7109375" style="839" customWidth="1"/>
    <col min="276" max="276" width="12.5703125" style="839" customWidth="1"/>
    <col min="277" max="277" width="10.85546875" style="839" customWidth="1"/>
    <col min="278" max="278" width="10.42578125" style="839" customWidth="1"/>
    <col min="279" max="281" width="7.7109375" style="839" customWidth="1"/>
    <col min="282" max="282" width="8.5703125" style="839" customWidth="1"/>
    <col min="283" max="283" width="9.28515625" style="839" customWidth="1"/>
    <col min="284" max="284" width="11" style="839"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3" t="s">
        <v>806</v>
      </c>
      <c r="Z1" s="1713"/>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0">
        <f>'Customer Inputs'!$U$6</f>
        <v>0</v>
      </c>
      <c r="CC2" s="82" t="s">
        <v>859</v>
      </c>
      <c r="CD2" s="85" t="str">
        <f>'Customer Inputs'!$K$7</f>
        <v/>
      </c>
      <c r="CE2" s="861">
        <f>'Customer Inputs'!$U$7</f>
        <v>0</v>
      </c>
      <c r="CZ2" s="82" t="s">
        <v>859</v>
      </c>
      <c r="DA2" s="85" t="str">
        <f>'Customer Inputs'!$K$8</f>
        <v/>
      </c>
      <c r="DB2" s="861">
        <f>'Customer Inputs'!$U$8</f>
        <v>0</v>
      </c>
      <c r="DW2" s="82" t="s">
        <v>859</v>
      </c>
      <c r="DX2" s="85" t="str">
        <f>'Customer Inputs'!$K$9</f>
        <v/>
      </c>
      <c r="DY2" s="861">
        <f>'Customer Inputs'!$U$9</f>
        <v>0</v>
      </c>
      <c r="ET2" s="82" t="s">
        <v>859</v>
      </c>
      <c r="EU2" s="85" t="str">
        <f>'Customer Inputs'!$K$10</f>
        <v/>
      </c>
      <c r="EV2" s="861">
        <f>'Customer Inputs'!$U$10</f>
        <v>0</v>
      </c>
      <c r="FQ2" s="82" t="s">
        <v>859</v>
      </c>
      <c r="FR2" s="85" t="str">
        <f>'Customer Inputs'!$K$11</f>
        <v/>
      </c>
      <c r="FS2" s="861">
        <f>'Customer Inputs'!$U$11</f>
        <v>0</v>
      </c>
      <c r="GN2" s="82" t="s">
        <v>859</v>
      </c>
      <c r="GO2" s="85" t="str">
        <f>'Customer Inputs'!$K$12</f>
        <v/>
      </c>
      <c r="GP2" s="861">
        <f>'Customer Inputs'!$U$12</f>
        <v>0</v>
      </c>
      <c r="HK2" s="82" t="s">
        <v>859</v>
      </c>
      <c r="HL2" s="85" t="str">
        <f>'Customer Inputs'!$K$13</f>
        <v/>
      </c>
      <c r="HM2" s="861">
        <f>'Customer Inputs'!$U$13</f>
        <v>0</v>
      </c>
      <c r="IH2" s="82" t="s">
        <v>859</v>
      </c>
      <c r="II2" s="85" t="str">
        <f>'Customer Inputs'!$K$14</f>
        <v/>
      </c>
      <c r="IJ2" s="861">
        <f>'Customer Inputs'!$U$14</f>
        <v>0</v>
      </c>
      <c r="JE2" s="82" t="s">
        <v>859</v>
      </c>
      <c r="JF2" s="85" t="str">
        <f>'Customer Inputs'!$K$15</f>
        <v/>
      </c>
      <c r="JG2" s="860">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3" t="s">
        <v>807</v>
      </c>
      <c r="Z5" s="1713"/>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3"/>
      <c r="Z6" s="1713"/>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39" customFormat="1" x14ac:dyDescent="0.25">
      <c r="G9" s="1461"/>
      <c r="H9" s="1461"/>
      <c r="N9" s="1461"/>
      <c r="O9" s="1461"/>
      <c r="P9" s="1461"/>
      <c r="BE9" s="862"/>
      <c r="BF9" s="840" t="s">
        <v>528</v>
      </c>
      <c r="BG9" s="298">
        <f>IFERROR($BM$35/$BG$35,0)</f>
        <v>0</v>
      </c>
      <c r="CB9" s="862"/>
      <c r="CC9" s="840" t="s">
        <v>528</v>
      </c>
      <c r="CD9" s="298">
        <f>IFERROR($CJ$35/$CD$35,0)</f>
        <v>0</v>
      </c>
      <c r="CY9" s="862"/>
      <c r="CZ9" s="840" t="s">
        <v>528</v>
      </c>
      <c r="DA9" s="298">
        <f>IFERROR($DG$35/$DA$35,0)</f>
        <v>0</v>
      </c>
      <c r="DV9" s="862"/>
      <c r="DW9" s="840" t="s">
        <v>528</v>
      </c>
      <c r="DX9" s="298">
        <f>IFERROR($ED$35/$DX$35,0)</f>
        <v>0</v>
      </c>
      <c r="ES9" s="862"/>
      <c r="ET9" s="840" t="s">
        <v>528</v>
      </c>
      <c r="EU9" s="298">
        <f>IFERROR($FA$35/$EU$35,0)</f>
        <v>0</v>
      </c>
      <c r="FP9" s="862"/>
      <c r="FQ9" s="840" t="s">
        <v>528</v>
      </c>
      <c r="FR9" s="298">
        <f>IFERROR($FX$35/$FR$35,0)</f>
        <v>0</v>
      </c>
      <c r="GM9" s="862"/>
      <c r="GN9" s="840" t="s">
        <v>528</v>
      </c>
      <c r="GO9" s="298">
        <f>IFERROR($GU$35/$GO$35,0)</f>
        <v>0</v>
      </c>
      <c r="HJ9" s="862"/>
      <c r="HK9" s="840" t="s">
        <v>528</v>
      </c>
      <c r="HL9" s="298">
        <f>IFERROR($HR$35/$HL$35,0)</f>
        <v>0</v>
      </c>
      <c r="IG9" s="862"/>
      <c r="IH9" s="840" t="s">
        <v>528</v>
      </c>
      <c r="II9" s="298">
        <f>IFERROR($IO$35/$II$35,0)</f>
        <v>0</v>
      </c>
      <c r="JD9" s="862"/>
      <c r="JE9" s="840" t="s">
        <v>528</v>
      </c>
      <c r="JF9" s="298">
        <f>IFERROR($JL$35/$JF$35,0)</f>
        <v>0</v>
      </c>
    </row>
    <row r="10" spans="2:301" s="839" customFormat="1" x14ac:dyDescent="0.25">
      <c r="G10" s="1461"/>
      <c r="H10" s="1461"/>
      <c r="N10" s="1461"/>
      <c r="O10" s="1461"/>
      <c r="P10" s="1461"/>
      <c r="BE10" s="862"/>
      <c r="BF10" s="840" t="s">
        <v>1344</v>
      </c>
      <c r="BG10" s="298">
        <f>IFERROR($BN$35/$BG$35,0)</f>
        <v>0</v>
      </c>
      <c r="CB10" s="862"/>
      <c r="CC10" s="840" t="s">
        <v>1344</v>
      </c>
      <c r="CD10" s="298">
        <f>IFERROR($CK$35/$CD$35,0)</f>
        <v>0</v>
      </c>
      <c r="CY10" s="862"/>
      <c r="CZ10" s="840" t="s">
        <v>1344</v>
      </c>
      <c r="DA10" s="298">
        <f>IFERROR($DH$35/$DA$35,0)</f>
        <v>0</v>
      </c>
      <c r="DV10" s="862"/>
      <c r="DW10" s="840" t="s">
        <v>1344</v>
      </c>
      <c r="DX10" s="298">
        <f>IFERROR($EE$35/$DX$35,0)</f>
        <v>0</v>
      </c>
      <c r="ES10" s="862"/>
      <c r="ET10" s="840" t="s">
        <v>1344</v>
      </c>
      <c r="EU10" s="298">
        <f>IFERROR($FB$35/$EU$35,0)</f>
        <v>0</v>
      </c>
      <c r="FP10" s="862"/>
      <c r="FQ10" s="840" t="s">
        <v>1344</v>
      </c>
      <c r="FR10" s="298">
        <f>IFERROR($FY$35/$FR$35,0)</f>
        <v>0</v>
      </c>
      <c r="GM10" s="862"/>
      <c r="GN10" s="840" t="s">
        <v>1344</v>
      </c>
      <c r="GO10" s="298">
        <f>IFERROR($GV$35/$GO$35,0)</f>
        <v>0</v>
      </c>
      <c r="HJ10" s="862"/>
      <c r="HK10" s="840" t="s">
        <v>1344</v>
      </c>
      <c r="HL10" s="298">
        <f>IFERROR($HS$35/$HL$35,0)</f>
        <v>0</v>
      </c>
      <c r="IG10" s="862"/>
      <c r="IH10" s="840" t="s">
        <v>1344</v>
      </c>
      <c r="II10" s="298">
        <f>IFERROR($IP$35/$II$35,0)</f>
        <v>0</v>
      </c>
      <c r="JD10" s="862"/>
      <c r="JE10" s="840" t="s">
        <v>1344</v>
      </c>
      <c r="JF10" s="298">
        <f>IFERROR($JM$35/$JF$35,0)</f>
        <v>0</v>
      </c>
    </row>
    <row r="11" spans="2:301" ht="15.75" thickBot="1" x14ac:dyDescent="0.3">
      <c r="X11" s="82" t="s">
        <v>791</v>
      </c>
      <c r="Z11" t="s">
        <v>903</v>
      </c>
      <c r="AA11" s="24">
        <f>IFERROR(AA35/Z35,0)</f>
        <v>0</v>
      </c>
      <c r="AH11" t="s">
        <v>906</v>
      </c>
      <c r="AM11" t="s">
        <v>959</v>
      </c>
      <c r="AZ11" s="1714"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4"/>
      <c r="BF12" s="82"/>
      <c r="BG12" s="851"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3"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4"/>
      <c r="BA13" s="297"/>
      <c r="BB13" s="297"/>
      <c r="BC13" s="297"/>
      <c r="BD13" s="63" t="s">
        <v>862</v>
      </c>
      <c r="BE13" s="867" t="s">
        <v>1395</v>
      </c>
      <c r="BF13" s="87" t="s">
        <v>108</v>
      </c>
      <c r="BG13" s="88" t="s">
        <v>82</v>
      </c>
      <c r="BH13" s="89" t="s">
        <v>83</v>
      </c>
      <c r="BI13" s="89" t="s">
        <v>396</v>
      </c>
      <c r="BJ13" s="89" t="s">
        <v>498</v>
      </c>
      <c r="BK13" s="304" t="s">
        <v>397</v>
      </c>
      <c r="BL13" s="90" t="s">
        <v>200</v>
      </c>
      <c r="BM13" s="90" t="s">
        <v>891</v>
      </c>
      <c r="BN13" s="847" t="s">
        <v>1336</v>
      </c>
      <c r="BO13" s="90" t="s">
        <v>1337</v>
      </c>
      <c r="BP13" s="90" t="s">
        <v>1338</v>
      </c>
      <c r="BQ13" s="90" t="s">
        <v>1339</v>
      </c>
      <c r="BR13" s="90" t="s">
        <v>1340</v>
      </c>
      <c r="BS13" s="852" t="s">
        <v>1341</v>
      </c>
      <c r="BT13" s="852" t="s">
        <v>216</v>
      </c>
      <c r="BU13" s="90" t="s">
        <v>1332</v>
      </c>
      <c r="BV13" s="90" t="s">
        <v>202</v>
      </c>
      <c r="BW13" s="852" t="s">
        <v>1342</v>
      </c>
      <c r="BX13" s="852" t="s">
        <v>1343</v>
      </c>
      <c r="BY13" s="852" t="s">
        <v>1335</v>
      </c>
      <c r="BZ13" s="297"/>
      <c r="CA13" s="63" t="s">
        <v>862</v>
      </c>
      <c r="CB13" s="867" t="s">
        <v>1395</v>
      </c>
      <c r="CC13" s="87" t="s">
        <v>108</v>
      </c>
      <c r="CD13" s="88" t="s">
        <v>82</v>
      </c>
      <c r="CE13" s="89" t="s">
        <v>83</v>
      </c>
      <c r="CF13" s="89" t="s">
        <v>396</v>
      </c>
      <c r="CG13" s="89" t="s">
        <v>498</v>
      </c>
      <c r="CH13" s="90" t="s">
        <v>397</v>
      </c>
      <c r="CI13" s="90" t="s">
        <v>200</v>
      </c>
      <c r="CJ13" s="90" t="s">
        <v>891</v>
      </c>
      <c r="CK13" s="847" t="s">
        <v>1336</v>
      </c>
      <c r="CL13" s="90" t="s">
        <v>1337</v>
      </c>
      <c r="CM13" s="90" t="s">
        <v>1338</v>
      </c>
      <c r="CN13" s="90" t="s">
        <v>1339</v>
      </c>
      <c r="CO13" s="852" t="s">
        <v>1340</v>
      </c>
      <c r="CP13" s="852" t="s">
        <v>1341</v>
      </c>
      <c r="CQ13" s="90" t="s">
        <v>216</v>
      </c>
      <c r="CR13" s="90" t="s">
        <v>1332</v>
      </c>
      <c r="CS13" s="90" t="s">
        <v>202</v>
      </c>
      <c r="CT13" s="852" t="s">
        <v>1342</v>
      </c>
      <c r="CU13" s="852" t="s">
        <v>1343</v>
      </c>
      <c r="CV13" s="852" t="s">
        <v>1335</v>
      </c>
      <c r="CW13" s="297"/>
      <c r="CX13" s="63" t="s">
        <v>862</v>
      </c>
      <c r="CY13" s="867"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2" t="s">
        <v>1340</v>
      </c>
      <c r="DM13" s="852" t="s">
        <v>1341</v>
      </c>
      <c r="DN13" s="90" t="s">
        <v>216</v>
      </c>
      <c r="DO13" s="90" t="s">
        <v>1332</v>
      </c>
      <c r="DP13" s="90" t="s">
        <v>202</v>
      </c>
      <c r="DQ13" s="852" t="s">
        <v>1342</v>
      </c>
      <c r="DR13" s="852" t="s">
        <v>1343</v>
      </c>
      <c r="DS13" s="852" t="s">
        <v>1335</v>
      </c>
      <c r="DT13" s="297"/>
      <c r="DU13" s="63" t="s">
        <v>862</v>
      </c>
      <c r="DV13" s="867"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2" t="s">
        <v>1340</v>
      </c>
      <c r="EJ13" s="852" t="s">
        <v>1341</v>
      </c>
      <c r="EK13" s="90" t="s">
        <v>216</v>
      </c>
      <c r="EL13" s="90" t="s">
        <v>1332</v>
      </c>
      <c r="EM13" s="90" t="s">
        <v>202</v>
      </c>
      <c r="EN13" s="852" t="s">
        <v>1342</v>
      </c>
      <c r="EO13" s="852" t="s">
        <v>1343</v>
      </c>
      <c r="EP13" s="852" t="s">
        <v>1335</v>
      </c>
      <c r="EQ13" s="297"/>
      <c r="ER13" s="63" t="s">
        <v>862</v>
      </c>
      <c r="ES13" s="867"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2" t="s">
        <v>1340</v>
      </c>
      <c r="FG13" s="852" t="s">
        <v>1341</v>
      </c>
      <c r="FH13" s="90" t="s">
        <v>216</v>
      </c>
      <c r="FI13" s="90" t="s">
        <v>1332</v>
      </c>
      <c r="FJ13" s="90" t="s">
        <v>202</v>
      </c>
      <c r="FK13" s="852" t="s">
        <v>1342</v>
      </c>
      <c r="FL13" s="852" t="s">
        <v>1343</v>
      </c>
      <c r="FM13" s="852" t="s">
        <v>1335</v>
      </c>
      <c r="FN13" s="297"/>
      <c r="FO13" s="63" t="s">
        <v>862</v>
      </c>
      <c r="FP13" s="867"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2" t="s">
        <v>1340</v>
      </c>
      <c r="GD13" s="852" t="s">
        <v>1341</v>
      </c>
      <c r="GE13" s="90" t="s">
        <v>216</v>
      </c>
      <c r="GF13" s="90" t="s">
        <v>1332</v>
      </c>
      <c r="GG13" s="90" t="s">
        <v>202</v>
      </c>
      <c r="GH13" s="852" t="s">
        <v>1342</v>
      </c>
      <c r="GI13" s="852" t="s">
        <v>1343</v>
      </c>
      <c r="GJ13" s="852" t="s">
        <v>1335</v>
      </c>
      <c r="GK13" s="297"/>
      <c r="GL13" s="63" t="s">
        <v>862</v>
      </c>
      <c r="GM13" s="867"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2" t="s">
        <v>1340</v>
      </c>
      <c r="HA13" s="852" t="s">
        <v>1341</v>
      </c>
      <c r="HB13" s="90" t="s">
        <v>216</v>
      </c>
      <c r="HC13" s="90" t="s">
        <v>1332</v>
      </c>
      <c r="HD13" s="90" t="s">
        <v>202</v>
      </c>
      <c r="HE13" s="852" t="s">
        <v>1342</v>
      </c>
      <c r="HF13" s="852" t="s">
        <v>1343</v>
      </c>
      <c r="HG13" s="852" t="s">
        <v>1335</v>
      </c>
      <c r="HH13" s="297"/>
      <c r="HI13" s="63" t="s">
        <v>862</v>
      </c>
      <c r="HJ13" s="867"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2" t="s">
        <v>1340</v>
      </c>
      <c r="HX13" s="852" t="s">
        <v>1341</v>
      </c>
      <c r="HY13" s="90" t="s">
        <v>216</v>
      </c>
      <c r="HZ13" s="90" t="s">
        <v>1332</v>
      </c>
      <c r="IA13" s="90" t="s">
        <v>202</v>
      </c>
      <c r="IB13" s="852" t="s">
        <v>1342</v>
      </c>
      <c r="IC13" s="852" t="s">
        <v>1343</v>
      </c>
      <c r="ID13" s="852" t="s">
        <v>1335</v>
      </c>
      <c r="IE13" s="297"/>
      <c r="IF13" s="63" t="s">
        <v>862</v>
      </c>
      <c r="IG13" s="867"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2" t="s">
        <v>1340</v>
      </c>
      <c r="IU13" s="852" t="s">
        <v>1341</v>
      </c>
      <c r="IV13" s="90" t="s">
        <v>216</v>
      </c>
      <c r="IW13" s="90" t="s">
        <v>1332</v>
      </c>
      <c r="IX13" s="90" t="s">
        <v>202</v>
      </c>
      <c r="IY13" s="852" t="s">
        <v>1342</v>
      </c>
      <c r="IZ13" s="852" t="s">
        <v>1343</v>
      </c>
      <c r="JA13" s="852" t="s">
        <v>1335</v>
      </c>
      <c r="JB13" s="297"/>
      <c r="JC13" s="63" t="s">
        <v>862</v>
      </c>
      <c r="JD13" s="867"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2" t="s">
        <v>1340</v>
      </c>
      <c r="JR13" s="852" t="s">
        <v>1341</v>
      </c>
      <c r="JS13" s="90" t="s">
        <v>216</v>
      </c>
      <c r="JT13" s="90" t="s">
        <v>1332</v>
      </c>
      <c r="JU13" s="90" t="s">
        <v>202</v>
      </c>
      <c r="JV13" s="852" t="s">
        <v>1342</v>
      </c>
      <c r="JW13" s="852" t="s">
        <v>1343</v>
      </c>
      <c r="JX13" s="852"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66">
        <f t="shared" ref="G14:H34" si="0">BU14+CR14+DO14+EL14+FI14+GF14+HC14+HZ14+IW14+JT14</f>
        <v>0</v>
      </c>
      <c r="H14" s="1466">
        <f t="shared" si="0"/>
        <v>0</v>
      </c>
      <c r="I14" s="395">
        <f>($BK14+$CH14+$DE14+$EB14+$EY14+$FV14+$GS14+$HP14+$IM14+$JJ14)</f>
        <v>0</v>
      </c>
      <c r="J14" s="394">
        <f>($BL14+$CI14+$DF14+$EC14+$EZ14+$FW14+$GT14+$HQ14+$IN14+$JK14)</f>
        <v>0</v>
      </c>
      <c r="K14" s="844">
        <f>IF(C14&gt;0,IFERROR(ROUND(SUM($BG14*BT14+$CD14*CQ14+$DA14*DN14+$DX14*EK14+$EU14*FH14+$FR14*GE14+$GO14*HB14+$HL14*HY14+$II14*IV14+$JF14*JS14)/$C14,2),0),IFERROR(ROUND(SUM($BG$3*BT14+$CD$3*CQ14+$DA$3*DN14+$DX$3*EK14+$EU$3*FH14+$FR$3*GE14+$GO$3*HB14+$HL$3*HY14+$II$3*IV14+$JF$3*JS14)/$C$35,2),0))</f>
        <v>0</v>
      </c>
      <c r="L14" s="844">
        <f>IF(C14&gt;0,IFERROR(ROUND(SUM($BG14*BU14+$CD14*CR14+$DA14*DO14+$DX14*EL14+$EU14*FI14+$FR14*GF14+$GO14*HC14+$HL14*HZ14+$II14*IW14+$JF14*JT14)/$C14,2),0),IFERROR(ROUND(SUM($BG$3*BU14+$CD$3*CR14+$DA$3*DO14+$DX$3*EL14+$EU$3*FI14+$FR$3*GF14+$GO$3*HC14+$HL$3*HZ14+$II$3*IW14+$JF$3*JT14)/$C$35,2),0))</f>
        <v>0</v>
      </c>
      <c r="M14" s="844">
        <f>IF(C14&gt;0,IFERROR(ROUND(SUM($BG14*BV14+$CD14*CS14+$DA14*DP14+$DX14*EM14+$EU14*FJ14+$FR14*GG14+$GO14*HD14+$HL14*IA14+$II14*IX14+$JF14*JU14)/$C14,2),0),IFERROR(ROUND(SUM($BG$3*BV14+$CD$3*CS14+$DA$3*DP14+$DX$3*EM14+$EU$3*FJ14+$FR$3*GG14+$GO$3*HD14+$HL$3*IA14+$II$3*IX14+$JF$3*JU14)/$C$35,2),0))</f>
        <v>0</v>
      </c>
      <c r="N14" s="1466">
        <f>IF('PIM Model'!D10="$/CS",IFERROR(ROUND(SUM(BT14*$BR$35+CQ14*$CO$35+DN14*$DL$35+EK14*$EI$35+FH14*$FF$35+GE14*$GC$35+HB14*$GZ$35+HY14*$HW$35+IV14*$IT$35+JS14*$JQ$35)/$G$35,2),0),IF('PIM Model'!D10="$/LB",IFERROR(ROUND(SUM(BT14*$BS$35+CQ14*$CP$35+DN14*$DM$35+EK14*$EJ$35+FH14*$FG$35+GE14*$GD$35+HB14*$HA$35+HY14*$HX$35+IV14*$IU$35+JS14*$JR$35)/$H$35,2),0),0))</f>
        <v>0</v>
      </c>
      <c r="O14" s="1466">
        <f>IF('PIM Model'!D10="$/CS",IFERROR(ROUND(SUM(BU14*$BR$35+CR14*$CO$35+DO14*$DL$35+EL14*$EI$35+FI14*$FF$35+GF14*$GC$35+HC14*$GZ$35+HZ14*$HW$35+IW14*$IT$35+JT14*$JQ$35)/$G$35,2),0),IF('PIM Model'!D10="$/LB",IFERROR(ROUND(SUM(BU14*$BS$35+CR14*$CP$35+DO14*$DM$35+EL14*$EJ$35+FI14*$FG$35+GF14*$GD$35+HC14*$HA$35+HZ14*$HX$35+IW14*$IU$35+JT14*$JR$35)/$H$35,2),0),0))</f>
        <v>0</v>
      </c>
      <c r="P14" s="1466">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5">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8" t="e">
        <f>_xlfn.CONCAT('Customer Inputs'!$AG$6,"_",BF14)</f>
        <v>#N/A</v>
      </c>
      <c r="BP14" s="849">
        <f t="array" ref="BP14">IFERROR(INDEX('Margin Guidence Table'!$A$1:$AG$10000,MATCH(1,('Margin Guidence Table'!$A$1:$A$10000=$BO14)*('Margin Guidence Table'!$I$1:$I$10000&lt;=ROUND($BG$3,0))*('Margin Guidence Table'!$J$1:$J$10000&gt;=ROUND($BG$3,0)),0),MATCH("DATA_POINTS",'Margin Guidence Table'!$A$1:$AG$1,0)),0)</f>
        <v>0</v>
      </c>
      <c r="BQ14" s="846" t="str">
        <f>IF(BP14&gt;15,"SEGMENT","DEFAULT")</f>
        <v>DEFAULT</v>
      </c>
      <c r="BR14" s="846">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6">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0">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0">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0">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0">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0">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0">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6">
        <f>IFERROR(IF(AND($CD$2&lt;&gt;"Enter Spend&gt;&gt;&gt;",$CE$2="EXISTING"),SUMIFS('Existing Customers'!$S:$S,'Existing Customers'!$H:$H,$CC14,'Existing Customers'!$A:$A,$CD$1)*$CD$4,CT14*CD14),0)</f>
        <v>0</v>
      </c>
      <c r="CK14" s="846">
        <f>IFERROR(IF(AND($CD$2&lt;&gt;"Enter Spend&gt;&gt;&gt;",$CE$2="EXISTING"),SUMIFS('Existing Customers'!$U:$U,'Existing Customers'!$H:$H,$CC14,'Existing Customers'!$A:$A,$CD$1)*$CD$4,CU14*CD14),0)</f>
        <v>0</v>
      </c>
      <c r="CL14" s="849" t="e">
        <f>_xlfn.CONCAT('Customer Inputs'!$AG$7,"_",CC14)</f>
        <v>#N/A</v>
      </c>
      <c r="CM14" s="849">
        <f t="array" ref="CM14">IFERROR(INDEX('Margin Guidence Table'!$A$1:$AG$10000,MATCH(1,('Margin Guidence Table'!$A$1:$A$10000=$CL14)*('Margin Guidence Table'!$I$1:$I$10000&lt;=ROUND($CD$3,0))*('Margin Guidence Table'!$J$1:$J$10000&gt;=ROUND($CD$3,0)),0),MATCH("DATA_POINTS",'Margin Guidence Table'!$A$1:$AG$1,0)),0)</f>
        <v>0</v>
      </c>
      <c r="CN14" s="846" t="str">
        <f>IF(CM14&gt;15,"SEGMENT","DEFAULT")</f>
        <v>DEFAULT</v>
      </c>
      <c r="CO14" s="846">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6">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0">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0">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0">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0">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0">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0">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6">
        <f>IFERROR(IF(AND($DA$2&lt;&gt;"Enter Spend&gt;&gt;&gt;",$DB$2="EXISTING"),SUMIFS('Existing Customers'!$S:$S,'Existing Customers'!$H:$H,$CZ14,'Existing Customers'!$A:$A,$DA$1)*$DA$4,DQ14*DA14),0)</f>
        <v>0</v>
      </c>
      <c r="DH14" s="846">
        <f>IFERROR(IF(AND($DA$2&lt;&gt;"Enter Spend&gt;&gt;&gt;",$DB$2="EXISTING"),SUMIFS('Existing Customers'!$U:$U,'Existing Customers'!$H:$H,$CZ14,'Existing Customers'!$A:$A,$DA$1)*$DA$4,DR14*DA14),0)</f>
        <v>0</v>
      </c>
      <c r="DI14" s="849" t="e">
        <f>_xlfn.CONCAT('Customer Inputs'!$AG$8,"_",CZ14)</f>
        <v>#N/A</v>
      </c>
      <c r="DJ14" s="849">
        <f t="array" ref="DJ14">IFERROR(INDEX('Margin Guidence Table'!$A$1:$AG$10000,MATCH(1,('Margin Guidence Table'!$A$1:$A$10000=DI14)*('Margin Guidence Table'!$I$1:$I$10000&lt;=ROUND($DA$3,0))*('Margin Guidence Table'!$J$1:$J$10000&gt;=ROUND($DA$3,0)),0),MATCH("DATA_POINTS",'Margin Guidence Table'!$A$1:$AG$1,0)),0)</f>
        <v>0</v>
      </c>
      <c r="DK14" s="846" t="str">
        <f>IF(DJ14&gt;15,"SEGMENT","DEFAULT")</f>
        <v>DEFAULT</v>
      </c>
      <c r="DL14" s="846">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6">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0">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0">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0">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0">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0">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0">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6">
        <f>IFERROR(IF(AND($DX$2&lt;&gt;"Enter Spend&gt;&gt;&gt;",$DY$2="EXISTING"),SUMIFS('Existing Customers'!$S:$S,'Existing Customers'!$H:$H,$DY14,'Existing Customers'!$A:$A,$DX$1)*$DX$4,EN14*DX14),0)</f>
        <v>0</v>
      </c>
      <c r="EE14" s="846">
        <f>IFERROR(IF(AND($DX$2&lt;&gt;"Enter Spend&gt;&gt;&gt;",$DY$2="EXISTING"),SUMIFS('Existing Customers'!$U:$U,'Existing Customers'!$H:$H,$DW14,'Existing Customers'!$A:$A,$DX$1)*$DX$4,EO14*DX14),0)</f>
        <v>0</v>
      </c>
      <c r="EF14" s="849" t="e">
        <f>_xlfn.CONCAT('Customer Inputs'!$AG$9,"_",DW14)</f>
        <v>#N/A</v>
      </c>
      <c r="EG14" s="849">
        <f t="array" ref="EG14">IFERROR(INDEX('Margin Guidence Table'!$A$1:$AG$10000,MATCH(1,('Margin Guidence Table'!$A$1:$A$10000=EF14)*('Margin Guidence Table'!$I$1:$I$10000&lt;=ROUND($DX$3,0))*('Margin Guidence Table'!$J$1:$J$10000&gt;=ROUND($DX$3,0)),0),MATCH("DATA_POINTS",'Margin Guidence Table'!$A$1:$AG$1,0)),0)</f>
        <v>0</v>
      </c>
      <c r="EH14" s="846" t="str">
        <f>IF(EG14&gt;15,"SEGMENT","DEFAULT")</f>
        <v>DEFAULT</v>
      </c>
      <c r="EI14" s="846">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6">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0">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0">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0">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0">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0">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0">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6">
        <f>IFERROR(IF(AND($EU$2&lt;&gt;"Enter Spend&gt;&gt;&gt;",$EV$2="EXISTING"),SUMIFS('Existing Customers'!$S:$S,'Existing Customers'!$H:$H,$ET14,'Existing Customers'!$A:$A,$EU$1)*$EU$4,FK14*EU14),0)</f>
        <v>0</v>
      </c>
      <c r="FB14" s="846">
        <f>IFERROR(IF(AND($EU$2&lt;&gt;"Enter Spend&gt;&gt;&gt;",$EV$2="EXISTING"),SUMIFS('Existing Customers'!$U:$U,'Existing Customers'!$H:$H,$ET14,'Existing Customers'!$A:$A,$EU$1)*$EU$4,FL14*EU14),0)</f>
        <v>0</v>
      </c>
      <c r="FC14" s="849" t="e">
        <f>_xlfn.CONCAT('Customer Inputs'!$AG$10,"_",ET14)</f>
        <v>#N/A</v>
      </c>
      <c r="FD14" s="849">
        <f t="array" ref="FD14">IFERROR(INDEX('Margin Guidence Table'!$A$1:$AG$10000,MATCH(1,('Margin Guidence Table'!$A$1:$A$10000=FC14)*('Margin Guidence Table'!$I$1:$I$10000&lt;=ROUND($EU$3,0))*('Margin Guidence Table'!$J$1:$J$10000&gt;=ROUND($EU$3,0)),0),MATCH("DATA_POINTS",'Margin Guidence Table'!$A$1:$AG$1,0)),0)</f>
        <v>0</v>
      </c>
      <c r="FE14" s="846" t="str">
        <f>IF(FD14&gt;15,"SEGMENT","DEFAULT")</f>
        <v>DEFAULT</v>
      </c>
      <c r="FF14" s="846">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6"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0">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0">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0">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0">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0">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0">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6">
        <f>IFERROR(IF(AND($FR$2&lt;&gt;"Enter Spend&gt;&gt;&gt;",$FS$2="EXISTING"),SUMIFS('Existing Customers'!$S:$S,'Existing Customers'!$H:$H,$FQ14,'Existing Customers'!$A:$A,$FR$1)*$FR$4,GH14*FR14),0)</f>
        <v>0</v>
      </c>
      <c r="FY14" s="846">
        <f>IFERROR(IF(AND($FR$2&lt;&gt;"Enter Spend&gt;&gt;&gt;",$FS$2="EXISTING"),SUMIFS('Existing Customers'!$U:$U,'Existing Customers'!$H:$H,$FQ14,'Existing Customers'!$A:$A,$FR$1)*$FR$4,GI14*FR14),0)</f>
        <v>0</v>
      </c>
      <c r="FZ14" s="849" t="e">
        <f>_xlfn.CONCAT('Customer Inputs'!$AG$11,"_",FQ14)</f>
        <v>#N/A</v>
      </c>
      <c r="GA14" s="849">
        <f t="array" ref="GA14">IFERROR(INDEX('Margin Guidence Table'!$A$1:$AG$10000,MATCH(1,('Margin Guidence Table'!$A$1:$A$10000=FZ14)*('Margin Guidence Table'!$I$1:$I$10000&lt;=ROUND($FR$3,0))*('Margin Guidence Table'!$J$1:$J$10000&gt;=ROUND($FR$3,0)),0),MATCH("DATA_POINTS",'Margin Guidence Table'!$A$1:$AG$1,0)),0)</f>
        <v>0</v>
      </c>
      <c r="GB14" s="846" t="str">
        <f>IF(GA14&gt;15,"SEGMENT","DEFAULT")</f>
        <v>DEFAULT</v>
      </c>
      <c r="GC14" s="846">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6">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0">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0">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0">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0">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0">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0">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6">
        <f>IFERROR(IF(AND($GO$2&lt;&gt;"Enter Spend&gt;&gt;&gt;",$GP$2="EXISTING"),SUMIFS('Existing Customers'!$S:$S,'Existing Customers'!$H:$H,$GN14,'Existing Customers'!$A:$A,$GO$1)*$GO$4,HE14*GO14),0)</f>
        <v>0</v>
      </c>
      <c r="GV14" s="846">
        <f>IFERROR(IF(AND($GO$2&lt;&gt;"Enter Spend&gt;&gt;&gt;",$GP$2="EXISTING"),SUMIFS('Existing Customers'!$U:$U,'Existing Customers'!$H:$H,$GN14,'Existing Customers'!$A:$A,$GO$1)*$GO$4,HF14*GO14),0)</f>
        <v>0</v>
      </c>
      <c r="GW14" s="849" t="e">
        <f>_xlfn.CONCAT('Customer Inputs'!$AG$12,"_",GN14)</f>
        <v>#N/A</v>
      </c>
      <c r="GX14" s="849">
        <f t="array" ref="GX14">IFERROR(INDEX('Margin Guidence Table'!$A$1:$AG$10000,MATCH(1,('Margin Guidence Table'!$A$1:$A$10000=GW14)*('Margin Guidence Table'!$I$1:$I$10000&lt;=ROUND($GO$3,0))*('Margin Guidence Table'!$J$1:$J$10000&gt;=ROUND($GO$3,0)),0),MATCH("DATA_POINTS",'Margin Guidence Table'!$A$1:$AG$1,0)),0)</f>
        <v>0</v>
      </c>
      <c r="GY14" s="846" t="str">
        <f>IF(GX14&gt;15,"SEGMENT","DEFAULT")</f>
        <v>DEFAULT</v>
      </c>
      <c r="GZ14" s="846">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6">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0">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0">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0">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0">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0">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0">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6">
        <f>IFERROR(IF(AND($HL$2&lt;&gt;"Enter Spend&gt;&gt;&gt;",$HM$2="EXISTING"),SUMIFS('Existing Customers'!$S:$S,'Existing Customers'!$H:$H,$HK14,'Existing Customers'!$A:$A,$HL$1)*$HL$4,IB14*HL14),0)</f>
        <v>0</v>
      </c>
      <c r="HS14" s="846">
        <f>IFERROR(IF(AND($HL$2&lt;&gt;"Enter Spend&gt;&gt;&gt;",$HM$2="EXISTING"),SUMIFS('Existing Customers'!$U:$U,'Existing Customers'!$H:$H,$HK14,'Existing Customers'!$A:$A,$HL$1)*$HL$4,IC14*HL14),0)</f>
        <v>0</v>
      </c>
      <c r="HT14" s="849" t="e">
        <f>_xlfn.CONCAT('Customer Inputs'!$AG$13,"_",HK14)</f>
        <v>#N/A</v>
      </c>
      <c r="HU14" s="849">
        <f t="array" ref="HU14">IFERROR(INDEX('Margin Guidence Table'!$A$1:$AG$10000,MATCH(1,('Margin Guidence Table'!$A$1:$A$10000=HT14)*('Margin Guidence Table'!$I$1:$I$10000&lt;=ROUND($HL$3,0))*('Margin Guidence Table'!$J$1:$J$10000&gt;=ROUND($HL$3,0)),0),MATCH("DATA_POINTS",'Margin Guidence Table'!$A$1:$AG$1,0)),0)</f>
        <v>0</v>
      </c>
      <c r="HV14" s="846" t="str">
        <f>IF(HU14&gt;15,"SEGMENT","DEFAULT")</f>
        <v>DEFAULT</v>
      </c>
      <c r="HW14" s="846">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6">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0">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0">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0">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0">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0">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0">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6">
        <f>IFERROR(IF(AND($II$2&lt;&gt;"Enter Spend&gt;&gt;&gt;",$IJ$2="EXISTING"),SUMIFS('Existing Customers'!$S:$S,'Existing Customers'!$H:$H,$IH14,'Existing Customers'!$A:$A,$II$1)*$II$4,IY14*II14),0)</f>
        <v>0</v>
      </c>
      <c r="IP14" s="846">
        <f>IFERROR(IF(AND($II$2&lt;&gt;"Enter Spend&gt;&gt;&gt;",$IJ$2="EXISTING"),SUMIFS('Existing Customers'!$U:$U,'Existing Customers'!$H:$H,$IH14,'Existing Customers'!$A:$A,$II$1)*$II$4,IZ14*II14),0)</f>
        <v>0</v>
      </c>
      <c r="IQ14" s="849" t="e">
        <f>_xlfn.CONCAT('Customer Inputs'!$AG$14,"_",IH14)</f>
        <v>#N/A</v>
      </c>
      <c r="IR14" s="849">
        <f t="array" ref="IR14">IFERROR(INDEX('Margin Guidence Table'!$A$1:$AG$10000,MATCH(1,('Margin Guidence Table'!$A$1:$A$10000=IQ14)*('Margin Guidence Table'!$I$1:$I$10000&lt;=ROUND($II$3,0))*('Margin Guidence Table'!$J$1:$J$10000&gt;=ROUND($II$3,0)),0),MATCH("DATA_POINTS",'Margin Guidence Table'!$A$1:$AG$1,0)),0)</f>
        <v>0</v>
      </c>
      <c r="IS14" s="846" t="str">
        <f>IF(IR14&gt;15,"SEGMENT","DEFAULT")</f>
        <v>DEFAULT</v>
      </c>
      <c r="IT14" s="846">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6">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0">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0">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0">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0">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0">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0">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6">
        <f>IFERROR(IF(AND($JF$2&lt;&gt;"Enter Spend&gt;&gt;&gt;",$JG$2="EXISTING"),SUMIFS('Existing Customers'!$S:$S,'Existing Customers'!$H:$H,$JE14,'Existing Customers'!$A:$A,$JF$1)*$JF$4,JV14*JF14),0)</f>
        <v>0</v>
      </c>
      <c r="JM14" s="846">
        <f>IFERROR(IF(AND($JF$2&lt;&gt;"Enter Spend&gt;&gt;&gt;",$JG$2="EXISTING"),SUMIFS('Existing Customers'!$U:$U,'Existing Customers'!$H:$H,$JE14,'Existing Customers'!$A:$A,$JF$1)*$JF$4,JW14*JF14),0)</f>
        <v>0</v>
      </c>
      <c r="JN14" s="849" t="e">
        <f>_xlfn.CONCAT('Customer Inputs'!$AG$15,"_",JE14)</f>
        <v>#N/A</v>
      </c>
      <c r="JO14" s="849">
        <f t="array" ref="JO14">IFERROR(INDEX('Margin Guidence Table'!$A$1:$AG$10000,MATCH(1,('Margin Guidence Table'!$A$1:$A$10000=JN14)*('Margin Guidence Table'!$I$1:$I$10000&lt;=ROUND($JF$3,0))*('Margin Guidence Table'!$J$1:$J$10000&gt;=ROUND($JF$3,0)),0),MATCH("DATA_POINTS",'Margin Guidence Table'!$A$1:$AG$1,0)),0)</f>
        <v>0</v>
      </c>
      <c r="JP14" s="846" t="str">
        <f>IF(JO14&gt;15,"SEGMENT","DEFAULT")</f>
        <v>DEFAULT</v>
      </c>
      <c r="JQ14" s="846">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6">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0">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0">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0">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0">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0">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0">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66">
        <f t="shared" si="0"/>
        <v>0</v>
      </c>
      <c r="H15" s="1466">
        <f t="shared" si="0"/>
        <v>0</v>
      </c>
      <c r="I15" s="395">
        <f t="shared" ref="I15:I34" si="11">($BK15+$CH15+$DE15+$EB15+$EY15+$FV15+$GS15+$HP15+$IM15+$JJ15)</f>
        <v>0</v>
      </c>
      <c r="J15" s="394">
        <f t="shared" ref="J15:J34" si="12">($BL15+$CI15+$DF15+$EC15+$EZ15+$FW15+$GT15+$HQ15+$IN15+$JK15)</f>
        <v>0</v>
      </c>
      <c r="K15" s="844">
        <f t="shared" ref="K15:K35" si="13">IF(C15&gt;0,IFERROR(ROUND(SUM($BG15*BT15+$CD15*CQ15+$DA15*DN15+$DX15*EK15+$EU15*FH15+$FR15*GE15+$GO15*HB15+$HL15*HY15+$II15*IV15+$JF15*JS15)/$C15,2),0),IFERROR(ROUND(SUM($BG$3*BT15+$CD$3*CQ15+$DA$3*DN15+$DX$3*EK15+$EU$3*FH15+$FR$3*GE15+$GO$3*HB15+$HL$3*HY15+$II$3*IV15+$JF$3*JS15)/$C$35,2),0))</f>
        <v>0</v>
      </c>
      <c r="L15" s="844">
        <f t="shared" ref="L15:L35" si="14">IF(C15&gt;0,IFERROR(ROUND(SUM($BG15*BU15+$CD15*CR15+$DA15*DO15+$DX15*EL15+$EU15*FI15+$FR15*GF15+$GO15*HC15+$HL15*HZ15+$II15*IW15+$JF15*JT15)/$C15,2),0),IFERROR(ROUND(SUM($BG$3*BU15+$CD$3*CR15+$DA$3*DO15+$DX$3*EL15+$EU$3*FI15+$FR$3*GF15+$GO$3*HC15+$HL$3*HZ15+$II$3*IW15+$JF$3*JT15)/$C$35,2),0))</f>
        <v>0</v>
      </c>
      <c r="M15" s="844">
        <f t="shared" ref="M15:M35" si="15">IF(C15&gt;0,IFERROR(ROUND(SUM($BG15*BV15+$CD15*CS15+$DA15*DP15+$DX15*EM15+$EU15*FJ15+$FR15*GG15+$GO15*HD15+$HL15*IA15+$II15*IX15+$JF15*JU15)/$C15,2),0),IFERROR(ROUND(SUM($BG$3*BV15+$CD$3*CS15+$DA$3*DP15+$DX$3*EM15+$EU$3*FJ15+$FR$3*GG15+$GO$3*HD15+$HL$3*IA15+$II$3*IX15+$JF$3*JU15)/$C$35,2),0))</f>
        <v>0</v>
      </c>
      <c r="N15" s="1466">
        <f>IF('PIM Model'!D11="$/CS",IFERROR(ROUND(SUM(BT15*$BR$35+CQ15*$CO$35+DN15*$DL$35+EK15*$EI$35+FH15*$FF$35+GE15*$GC$35+HB15*$GZ$35+HY15*$HW$35+IV15*$IT$35+JS15*$JQ$35)/$G$35,2),0),IF('PIM Model'!D11="$/LB",IFERROR(ROUND(SUM(BT15*$BS$35+CQ15*$CP$35+DN15*$DM$35+EK15*$EJ$35+FH15*$FG$35+GE15*$GD$35+HB15*$HA$35+HY15*$HX$35+IV15*$IU$35+JS15*$JR$35)/$H$35,2),0),0))</f>
        <v>0</v>
      </c>
      <c r="O15" s="1466">
        <f>IF('PIM Model'!D11="$/CS",IFERROR(ROUND(SUM(BU15*$BR$35+CR15*$CO$35+DO15*$DL$35+EL15*$EI$35+FI15*$FF$35+GF15*$GC$35+HC15*$GZ$35+HZ15*$HW$35+IW15*$IT$35+JT15*$JQ$35)/$G$35,2),0),IF('PIM Model'!D11="$/LB",IFERROR(ROUND(SUM(BU15*$BS$35+CR15*$CP$35+DO15*$DM$35+EL15*$EJ$35+FI15*$FG$35+GF15*$GD$35+HC15*$HA$35+HZ15*$HX$35+IW15*$IU$35+JT15*$JR$35)/$H$35,2),0),0))</f>
        <v>0</v>
      </c>
      <c r="P15" s="1466">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5">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8" t="e">
        <f>_xlfn.CONCAT('Customer Inputs'!$AG$6,"_",BF15)</f>
        <v>#N/A</v>
      </c>
      <c r="BP15" s="849">
        <f t="array" ref="BP15">IFERROR(INDEX('Margin Guidence Table'!$A$1:$AG$10000,MATCH(1,('Margin Guidence Table'!$A$1:$A$10000=$BO15)*('Margin Guidence Table'!$I$1:$I$10000&lt;=ROUND($BG$3,0))*('Margin Guidence Table'!$J$1:$J$10000&gt;=ROUND($BG$3,0)),0),MATCH("DATA_POINTS",'Margin Guidence Table'!$A$1:$AG$1,0)),0)</f>
        <v>0</v>
      </c>
      <c r="BQ15" s="846" t="str">
        <f t="shared" ref="BQ15:BQ34" si="28">IF(BP15&gt;15,"SEGMENT","DEFAULT")</f>
        <v>DEFAULT</v>
      </c>
      <c r="BR15" s="846">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6">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0">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0">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0">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0">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0">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0">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6">
        <f>IFERROR(IF(AND($CD$2&lt;&gt;"Enter Spend&gt;&gt;&gt;",$CE$2="EXISTING"),SUMIFS('Existing Customers'!$S:$S,'Existing Customers'!$H:$H,$CC15,'Existing Customers'!$A:$A,$CD$1)*$CD$4,CT15*CD15),0)</f>
        <v>0</v>
      </c>
      <c r="CK15" s="846">
        <f>IFERROR(IF(AND($CD$2&lt;&gt;"Enter Spend&gt;&gt;&gt;",$CE$2="EXISTING"),SUMIFS('Existing Customers'!$U:$U,'Existing Customers'!$H:$H,$CC15,'Existing Customers'!$A:$A,$CD$1)*$CD$4,CU15*CD15),0)</f>
        <v>0</v>
      </c>
      <c r="CL15" s="849" t="e">
        <f>_xlfn.CONCAT('Customer Inputs'!$AG$7,"_",CC15)</f>
        <v>#N/A</v>
      </c>
      <c r="CM15" s="849">
        <f t="array" ref="CM15">IFERROR(INDEX('Margin Guidence Table'!$A$1:$AG$10000,MATCH(1,('Margin Guidence Table'!$A$1:$A$10000=$CL15)*('Margin Guidence Table'!$I$1:$I$10000&lt;=ROUND($CD$3,0))*('Margin Guidence Table'!$J$1:$J$10000&gt;=ROUND($CD$3,0)),0),MATCH("DATA_POINTS",'Margin Guidence Table'!$A$1:$AG$1,0)),0)</f>
        <v>0</v>
      </c>
      <c r="CN15" s="846" t="str">
        <f t="shared" ref="CN15:CN34" si="30">IF(CM15&gt;15,"SEGMENT","DEFAULT")</f>
        <v>DEFAULT</v>
      </c>
      <c r="CO15" s="846">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6">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0">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0">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0">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0">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0">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0">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6">
        <f>IFERROR(IF(AND($DA$2&lt;&gt;"Enter Spend&gt;&gt;&gt;",$DB$2="EXISTING"),SUMIFS('Existing Customers'!$S:$S,'Existing Customers'!$H:$H,$CZ15,'Existing Customers'!$A:$A,$DA$1)*$DA$4,DQ15*DA15),0)</f>
        <v>0</v>
      </c>
      <c r="DH15" s="846">
        <f>IFERROR(IF(AND($DA$2&lt;&gt;"Enter Spend&gt;&gt;&gt;",$DB$2="EXISTING"),SUMIFS('Existing Customers'!$U:$U,'Existing Customers'!$H:$H,$CZ15,'Existing Customers'!$A:$A,$DA$1)*$DA$4,DR15*DA15),0)</f>
        <v>0</v>
      </c>
      <c r="DI15" s="849" t="e">
        <f>_xlfn.CONCAT('Customer Inputs'!$AG$8,"_",CZ15)</f>
        <v>#N/A</v>
      </c>
      <c r="DJ15" s="849">
        <f t="array" ref="DJ15">IFERROR(INDEX('Margin Guidence Table'!$A$1:$AG$10000,MATCH(1,('Margin Guidence Table'!$A$1:$A$10000=DI15)*('Margin Guidence Table'!$I$1:$I$10000&lt;=ROUND($DA$3,0))*('Margin Guidence Table'!$J$1:$J$10000&gt;=ROUND($DA$3,0)),0),MATCH("DATA_POINTS",'Margin Guidence Table'!$A$1:$AG$1,0)),0)</f>
        <v>0</v>
      </c>
      <c r="DK15" s="846" t="str">
        <f t="shared" ref="DK15:DK34" si="32">IF(DJ15&gt;15,"SEGMENT","DEFAULT")</f>
        <v>DEFAULT</v>
      </c>
      <c r="DL15" s="846">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6">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0">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0">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0">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0">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0">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0">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6">
        <f>IFERROR(IF(AND($DX$2&lt;&gt;"Enter Spend&gt;&gt;&gt;",$DY$2="EXISTING"),SUMIFS('Existing Customers'!$S:$S,'Existing Customers'!$H:$H,$DY15,'Existing Customers'!$A:$A,$DX$1)*$DX$4,EN15*DX15),0)</f>
        <v>0</v>
      </c>
      <c r="EE15" s="846">
        <f>IFERROR(IF(AND($DX$2&lt;&gt;"Enter Spend&gt;&gt;&gt;",$DY$2="EXISTING"),SUMIFS('Existing Customers'!$U:$U,'Existing Customers'!$H:$H,$DW15,'Existing Customers'!$A:$A,$DX$1)*$DX$4,EO15*DX15),0)</f>
        <v>0</v>
      </c>
      <c r="EF15" s="849" t="e">
        <f>_xlfn.CONCAT('Customer Inputs'!$AG$9,"_",DW15)</f>
        <v>#N/A</v>
      </c>
      <c r="EG15" s="849">
        <f t="array" ref="EG15">IFERROR(INDEX('Margin Guidence Table'!$A$1:$AG$10000,MATCH(1,('Margin Guidence Table'!$A$1:$A$10000=EF15)*('Margin Guidence Table'!$I$1:$I$10000&lt;=ROUND($DX$3,0))*('Margin Guidence Table'!$J$1:$J$10000&gt;=ROUND($DX$3,0)),0),MATCH("DATA_POINTS",'Margin Guidence Table'!$A$1:$AG$1,0)),0)</f>
        <v>0</v>
      </c>
      <c r="EH15" s="846" t="str">
        <f t="shared" ref="EH15:EH34" si="34">IF(EG15&gt;15,"SEGMENT","DEFAULT")</f>
        <v>DEFAULT</v>
      </c>
      <c r="EI15" s="846">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6">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0">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0">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0">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0">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0">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0">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6">
        <f>IFERROR(IF(AND($EU$2&lt;&gt;"Enter Spend&gt;&gt;&gt;",$EV$2="EXISTING"),SUMIFS('Existing Customers'!$S:$S,'Existing Customers'!$H:$H,$ET15,'Existing Customers'!$A:$A,$EU$1)*$EU$4,FK15*EU15),0)</f>
        <v>0</v>
      </c>
      <c r="FB15" s="846">
        <f>IFERROR(IF(AND($EU$2&lt;&gt;"Enter Spend&gt;&gt;&gt;",$EV$2="EXISTING"),SUMIFS('Existing Customers'!$U:$U,'Existing Customers'!$H:$H,$ET15,'Existing Customers'!$A:$A,$EU$1)*$EU$4,FL15*EU15),0)</f>
        <v>0</v>
      </c>
      <c r="FC15" s="849" t="e">
        <f>_xlfn.CONCAT('Customer Inputs'!$AG$10,"_",ET15)</f>
        <v>#N/A</v>
      </c>
      <c r="FD15" s="849">
        <f t="array" ref="FD15">IFERROR(INDEX('Margin Guidence Table'!$A$1:$AG$10000,MATCH(1,('Margin Guidence Table'!$A$1:$A$10000=FC15)*('Margin Guidence Table'!$I$1:$I$10000&lt;=ROUND($EU$3,0))*('Margin Guidence Table'!$J$1:$J$10000&gt;=ROUND($EU$3,0)),0),MATCH("DATA_POINTS",'Margin Guidence Table'!$A$1:$AG$1,0)),0)</f>
        <v>0</v>
      </c>
      <c r="FE15" s="846" t="str">
        <f t="shared" ref="FE15:FE34" si="36">IF(FD15&gt;15,"SEGMENT","DEFAULT")</f>
        <v>DEFAULT</v>
      </c>
      <c r="FF15" s="846">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6"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0">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0">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0">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0">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0">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0">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6">
        <f>IFERROR(IF(AND($FR$2&lt;&gt;"Enter Spend&gt;&gt;&gt;",$FS$2="EXISTING"),SUMIFS('Existing Customers'!$S:$S,'Existing Customers'!$H:$H,$FQ15,'Existing Customers'!$A:$A,$FR$1)*$FR$4,GH15*FR15),0)</f>
        <v>0</v>
      </c>
      <c r="FY15" s="846">
        <f>IFERROR(IF(AND($FR$2&lt;&gt;"Enter Spend&gt;&gt;&gt;",$FS$2="EXISTING"),SUMIFS('Existing Customers'!$U:$U,'Existing Customers'!$H:$H,$FQ15,'Existing Customers'!$A:$A,$FR$1)*$FR$4,GI15*FR15),0)</f>
        <v>0</v>
      </c>
      <c r="FZ15" s="849" t="e">
        <f>_xlfn.CONCAT('Customer Inputs'!$AG$11,"_",FQ15)</f>
        <v>#N/A</v>
      </c>
      <c r="GA15" s="849">
        <f t="array" ref="GA15">IFERROR(INDEX('Margin Guidence Table'!$A$1:$AG$10000,MATCH(1,('Margin Guidence Table'!$A$1:$A$10000=FZ15)*('Margin Guidence Table'!$I$1:$I$10000&lt;=ROUND($FR$3,0))*('Margin Guidence Table'!$J$1:$J$10000&gt;=ROUND($FR$3,0)),0),MATCH("DATA_POINTS",'Margin Guidence Table'!$A$1:$AG$1,0)),0)</f>
        <v>0</v>
      </c>
      <c r="GB15" s="846" t="str">
        <f t="shared" ref="GB15:GB34" si="38">IF(GA15&gt;15,"SEGMENT","DEFAULT")</f>
        <v>DEFAULT</v>
      </c>
      <c r="GC15" s="846">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6">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0">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0">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0">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0">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0">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0">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6">
        <f>IFERROR(IF(AND($GO$2&lt;&gt;"Enter Spend&gt;&gt;&gt;",$GP$2="EXISTING"),SUMIFS('Existing Customers'!$S:$S,'Existing Customers'!$H:$H,$GN15,'Existing Customers'!$A:$A,$GO$1)*$GO$4,HE15*GO15),0)</f>
        <v>0</v>
      </c>
      <c r="GV15" s="846">
        <f>IFERROR(IF(AND($GO$2&lt;&gt;"Enter Spend&gt;&gt;&gt;",$GP$2="EXISTING"),SUMIFS('Existing Customers'!$U:$U,'Existing Customers'!$H:$H,$GN15,'Existing Customers'!$A:$A,$GO$1)*$GO$4,HF15*GO15),0)</f>
        <v>0</v>
      </c>
      <c r="GW15" s="849" t="e">
        <f>_xlfn.CONCAT('Customer Inputs'!$AG$12,"_",GN15)</f>
        <v>#N/A</v>
      </c>
      <c r="GX15" s="849">
        <f t="array" ref="GX15">IFERROR(INDEX('Margin Guidence Table'!$A$1:$AG$10000,MATCH(1,('Margin Guidence Table'!$A$1:$A$10000=GW15)*('Margin Guidence Table'!$I$1:$I$10000&lt;=ROUND($GO$3,0))*('Margin Guidence Table'!$J$1:$J$10000&gt;=ROUND($GO$3,0)),0),MATCH("DATA_POINTS",'Margin Guidence Table'!$A$1:$AG$1,0)),0)</f>
        <v>0</v>
      </c>
      <c r="GY15" s="846" t="str">
        <f t="shared" ref="GY15:GY34" si="40">IF(GX15&gt;15,"SEGMENT","DEFAULT")</f>
        <v>DEFAULT</v>
      </c>
      <c r="GZ15" s="846">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6">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0">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0">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0">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0">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0">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0">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6">
        <f>IFERROR(IF(AND($HL$2&lt;&gt;"Enter Spend&gt;&gt;&gt;",$HM$2="EXISTING"),SUMIFS('Existing Customers'!$S:$S,'Existing Customers'!$H:$H,$HK15,'Existing Customers'!$A:$A,$HL$1)*$HL$4,IB15*HL15),0)</f>
        <v>0</v>
      </c>
      <c r="HS15" s="846">
        <f>IFERROR(IF(AND($HL$2&lt;&gt;"Enter Spend&gt;&gt;&gt;",$HM$2="EXISTING"),SUMIFS('Existing Customers'!$U:$U,'Existing Customers'!$H:$H,$HK15,'Existing Customers'!$A:$A,$HL$1)*$HL$4,IC15*HL15),0)</f>
        <v>0</v>
      </c>
      <c r="HT15" s="849" t="e">
        <f>_xlfn.CONCAT('Customer Inputs'!$AG$13,"_",HK15)</f>
        <v>#N/A</v>
      </c>
      <c r="HU15" s="849">
        <f t="array" ref="HU15">IFERROR(INDEX('Margin Guidence Table'!$A$1:$AG$10000,MATCH(1,('Margin Guidence Table'!$A$1:$A$10000=HT15)*('Margin Guidence Table'!$I$1:$I$10000&lt;=ROUND($HL$3,0))*('Margin Guidence Table'!$J$1:$J$10000&gt;=ROUND($HL$3,0)),0),MATCH("DATA_POINTS",'Margin Guidence Table'!$A$1:$AG$1,0)),0)</f>
        <v>0</v>
      </c>
      <c r="HV15" s="846" t="str">
        <f t="shared" ref="HV15:HV34" si="42">IF(HU15&gt;15,"SEGMENT","DEFAULT")</f>
        <v>DEFAULT</v>
      </c>
      <c r="HW15" s="846">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6">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0">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0">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0">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0">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0">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0">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6">
        <f>IFERROR(IF(AND($II$2&lt;&gt;"Enter Spend&gt;&gt;&gt;",$IJ$2="EXISTING"),SUMIFS('Existing Customers'!$S:$S,'Existing Customers'!$H:$H,$IH15,'Existing Customers'!$A:$A,$II$1)*$II$4,IY15*II15),0)</f>
        <v>0</v>
      </c>
      <c r="IP15" s="846">
        <f>IFERROR(IF(AND($II$2&lt;&gt;"Enter Spend&gt;&gt;&gt;",$IJ$2="EXISTING"),SUMIFS('Existing Customers'!$U:$U,'Existing Customers'!$H:$H,$IH15,'Existing Customers'!$A:$A,$II$1)*$II$4,IZ15*II15),0)</f>
        <v>0</v>
      </c>
      <c r="IQ15" s="849" t="e">
        <f>_xlfn.CONCAT('Customer Inputs'!$AG$14,"_",IH15)</f>
        <v>#N/A</v>
      </c>
      <c r="IR15" s="849">
        <f t="array" ref="IR15">IFERROR(INDEX('Margin Guidence Table'!$A$1:$AG$10000,MATCH(1,('Margin Guidence Table'!$A$1:$A$10000=IQ15)*('Margin Guidence Table'!$I$1:$I$10000&lt;=ROUND($II$3,0))*('Margin Guidence Table'!$J$1:$J$10000&gt;=ROUND($II$3,0)),0),MATCH("DATA_POINTS",'Margin Guidence Table'!$A$1:$AG$1,0)),0)</f>
        <v>0</v>
      </c>
      <c r="IS15" s="846" t="str">
        <f t="shared" ref="IS15:IS34" si="44">IF(IR15&gt;15,"SEGMENT","DEFAULT")</f>
        <v>DEFAULT</v>
      </c>
      <c r="IT15" s="846">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6">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0">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0">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0">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0">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0">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0">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6">
        <f>IFERROR(IF(AND($JF$2&lt;&gt;"Enter Spend&gt;&gt;&gt;",$JG$2="EXISTING"),SUMIFS('Existing Customers'!$S:$S,'Existing Customers'!$H:$H,$JE15,'Existing Customers'!$A:$A,$JF$1)*$JF$4,JV15*JF15),0)</f>
        <v>0</v>
      </c>
      <c r="JM15" s="846">
        <f>IFERROR(IF(AND($JF$2&lt;&gt;"Enter Spend&gt;&gt;&gt;",$JG$2="EXISTING"),SUMIFS('Existing Customers'!$U:$U,'Existing Customers'!$H:$H,$JE15,'Existing Customers'!$A:$A,$JF$1)*$JF$4,JW15*JF15),0)</f>
        <v>0</v>
      </c>
      <c r="JN15" s="849" t="e">
        <f>_xlfn.CONCAT('Customer Inputs'!$AG$15,"_",JE15)</f>
        <v>#N/A</v>
      </c>
      <c r="JO15" s="849">
        <f t="array" ref="JO15">IFERROR(INDEX('Margin Guidence Table'!$A$1:$AG$10000,MATCH(1,('Margin Guidence Table'!$A$1:$A$10000=JN15)*('Margin Guidence Table'!$I$1:$I$10000&lt;=ROUND($JF$3,0))*('Margin Guidence Table'!$J$1:$J$10000&gt;=ROUND($JF$3,0)),0),MATCH("DATA_POINTS",'Margin Guidence Table'!$A$1:$AG$1,0)),0)</f>
        <v>0</v>
      </c>
      <c r="JP15" s="846" t="str">
        <f t="shared" ref="JP15:JP34" si="46">IF(JO15&gt;15,"SEGMENT","DEFAULT")</f>
        <v>DEFAULT</v>
      </c>
      <c r="JQ15" s="846">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6">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0">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0">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0">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0">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0">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0">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66">
        <f t="shared" si="0"/>
        <v>0</v>
      </c>
      <c r="H16" s="1466">
        <f t="shared" si="0"/>
        <v>0</v>
      </c>
      <c r="I16" s="395">
        <f t="shared" si="11"/>
        <v>0</v>
      </c>
      <c r="J16" s="394">
        <f t="shared" si="12"/>
        <v>0</v>
      </c>
      <c r="K16" s="844">
        <f t="shared" si="13"/>
        <v>0</v>
      </c>
      <c r="L16" s="844">
        <f t="shared" si="14"/>
        <v>0</v>
      </c>
      <c r="M16" s="844">
        <f t="shared" si="15"/>
        <v>0</v>
      </c>
      <c r="N16" s="1466">
        <f>IF('PIM Model'!D12="$/CS",IFERROR(ROUND(SUM(BT16*$BR$35+CQ16*$CO$35+DN16*$DL$35+EK16*$EI$35+FH16*$FF$35+GE16*$GC$35+HB16*$GZ$35+HY16*$HW$35+IV16*$IT$35+JS16*$JQ$35)/$G$35,2),0),IF('PIM Model'!D12="$/LB",IFERROR(ROUND(SUM(BT16*$BS$35+CQ16*$CP$35+DN16*$DM$35+EK16*$EJ$35+FH16*$FG$35+GE16*$GD$35+HB16*$HA$35+HY16*$HX$35+IV16*$IU$35+JS16*$JR$35)/$H$35,2),0),0))</f>
        <v>0</v>
      </c>
      <c r="O16" s="1466">
        <f>IF('PIM Model'!D12="$/CS",IFERROR(ROUND(SUM(BU16*$BR$35+CR16*$CO$35+DO16*$DL$35+EL16*$EI$35+FI16*$FF$35+GF16*$GC$35+HC16*$GZ$35+HZ16*$HW$35+IW16*$IT$35+JT16*$JQ$35)/$G$35,2),0),IF('PIM Model'!D12="$/LB",IFERROR(ROUND(SUM(BU16*$BS$35+CR16*$CP$35+DO16*$DM$35+EL16*$EJ$35+FI16*$FG$35+GF16*$GD$35+HC16*$HA$35+HZ16*$HX$35+IW16*$IU$35+JT16*$JR$35)/$H$35,2),0),0))</f>
        <v>0</v>
      </c>
      <c r="P16" s="1466">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5">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8" t="e">
        <f>_xlfn.CONCAT('Customer Inputs'!$AG$6,"_",BF16)</f>
        <v>#N/A</v>
      </c>
      <c r="BP16" s="849">
        <f t="array" ref="BP16">IFERROR(INDEX('Margin Guidence Table'!$A$1:$AG$10000,MATCH(1,('Margin Guidence Table'!$A$1:$A$10000=$BO16)*('Margin Guidence Table'!$I$1:$I$10000&lt;=ROUND($BG$3,0))*('Margin Guidence Table'!$J$1:$J$10000&gt;=ROUND($BG$3,0)),0),MATCH("DATA_POINTS",'Margin Guidence Table'!$A$1:$AG$1,0)),0)</f>
        <v>0</v>
      </c>
      <c r="BQ16" s="846" t="str">
        <f t="shared" si="28"/>
        <v>DEFAULT</v>
      </c>
      <c r="BR16" s="846">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6">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0">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0">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0">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0">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0">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0">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6">
        <f>IFERROR(IF(AND($CD$2&lt;&gt;"Enter Spend&gt;&gt;&gt;",$CE$2="EXISTING"),SUMIFS('Existing Customers'!$S:$S,'Existing Customers'!$H:$H,$CC16,'Existing Customers'!$A:$A,$CD$1)*$CD$4,CT16*CD16),0)</f>
        <v>0</v>
      </c>
      <c r="CK16" s="846">
        <f>IFERROR(IF(AND($CD$2&lt;&gt;"Enter Spend&gt;&gt;&gt;",$CE$2="EXISTING"),SUMIFS('Existing Customers'!$U:$U,'Existing Customers'!$H:$H,$CC16,'Existing Customers'!$A:$A,$CD$1)*$CD$4,CU16*CD16),0)</f>
        <v>0</v>
      </c>
      <c r="CL16" s="849" t="e">
        <f>_xlfn.CONCAT('Customer Inputs'!$AG$7,"_",CC16)</f>
        <v>#N/A</v>
      </c>
      <c r="CM16" s="849">
        <f t="array" ref="CM16">IFERROR(INDEX('Margin Guidence Table'!$A$1:$AG$10000,MATCH(1,('Margin Guidence Table'!$A$1:$A$10000=$CL16)*('Margin Guidence Table'!$I$1:$I$10000&lt;=ROUND($CD$3,0))*('Margin Guidence Table'!$J$1:$J$10000&gt;=ROUND($CD$3,0)),0),MATCH("DATA_POINTS",'Margin Guidence Table'!$A$1:$AG$1,0)),0)</f>
        <v>0</v>
      </c>
      <c r="CN16" s="846" t="str">
        <f t="shared" si="30"/>
        <v>DEFAULT</v>
      </c>
      <c r="CO16" s="846">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6">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0">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0">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0">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0">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0">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0">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6">
        <f>IFERROR(IF(AND($DA$2&lt;&gt;"Enter Spend&gt;&gt;&gt;",$DB$2="EXISTING"),SUMIFS('Existing Customers'!$S:$S,'Existing Customers'!$H:$H,$CZ16,'Existing Customers'!$A:$A,$DA$1)*$DA$4,DQ16*DA16),0)</f>
        <v>0</v>
      </c>
      <c r="DH16" s="846">
        <f>IFERROR(IF(AND($DA$2&lt;&gt;"Enter Spend&gt;&gt;&gt;",$DB$2="EXISTING"),SUMIFS('Existing Customers'!$U:$U,'Existing Customers'!$H:$H,$CZ16,'Existing Customers'!$A:$A,$DA$1)*$DA$4,DR16*DA16),0)</f>
        <v>0</v>
      </c>
      <c r="DI16" s="849" t="e">
        <f>_xlfn.CONCAT('Customer Inputs'!$AG$8,"_",CZ16)</f>
        <v>#N/A</v>
      </c>
      <c r="DJ16" s="849">
        <f t="array" ref="DJ16">IFERROR(INDEX('Margin Guidence Table'!$A$1:$AG$10000,MATCH(1,('Margin Guidence Table'!$A$1:$A$10000=DI16)*('Margin Guidence Table'!$I$1:$I$10000&lt;=ROUND($DA$3,0))*('Margin Guidence Table'!$J$1:$J$10000&gt;=ROUND($DA$3,0)),0),MATCH("DATA_POINTS",'Margin Guidence Table'!$A$1:$AG$1,0)),0)</f>
        <v>0</v>
      </c>
      <c r="DK16" s="846" t="str">
        <f t="shared" si="32"/>
        <v>DEFAULT</v>
      </c>
      <c r="DL16" s="846">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6">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0">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0">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0">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0">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0">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0">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6">
        <f>IFERROR(IF(AND($DX$2&lt;&gt;"Enter Spend&gt;&gt;&gt;",$DY$2="EXISTING"),SUMIFS('Existing Customers'!$S:$S,'Existing Customers'!$H:$H,$DY16,'Existing Customers'!$A:$A,$DX$1)*$DX$4,EN16*DX16),0)</f>
        <v>0</v>
      </c>
      <c r="EE16" s="846">
        <f>IFERROR(IF(AND($DX$2&lt;&gt;"Enter Spend&gt;&gt;&gt;",$DY$2="EXISTING"),SUMIFS('Existing Customers'!$U:$U,'Existing Customers'!$H:$H,$DW16,'Existing Customers'!$A:$A,$DX$1)*$DX$4,EO16*DX16),0)</f>
        <v>0</v>
      </c>
      <c r="EF16" s="849" t="e">
        <f>_xlfn.CONCAT('Customer Inputs'!$AG$9,"_",DW16)</f>
        <v>#N/A</v>
      </c>
      <c r="EG16" s="849">
        <f t="array" ref="EG16">IFERROR(INDEX('Margin Guidence Table'!$A$1:$AG$10000,MATCH(1,('Margin Guidence Table'!$A$1:$A$10000=EF16)*('Margin Guidence Table'!$I$1:$I$10000&lt;=ROUND($DX$3,0))*('Margin Guidence Table'!$J$1:$J$10000&gt;=ROUND($DX$3,0)),0),MATCH("DATA_POINTS",'Margin Guidence Table'!$A$1:$AG$1,0)),0)</f>
        <v>0</v>
      </c>
      <c r="EH16" s="846" t="str">
        <f t="shared" si="34"/>
        <v>DEFAULT</v>
      </c>
      <c r="EI16" s="846">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6">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0">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0">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0">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0">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0">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0">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6">
        <f>IFERROR(IF(AND($EU$2&lt;&gt;"Enter Spend&gt;&gt;&gt;",$EV$2="EXISTING"),SUMIFS('Existing Customers'!$S:$S,'Existing Customers'!$H:$H,$ET16,'Existing Customers'!$A:$A,$EU$1)*$EU$4,FK16*EU16),0)</f>
        <v>0</v>
      </c>
      <c r="FB16" s="846">
        <f>IFERROR(IF(AND($EU$2&lt;&gt;"Enter Spend&gt;&gt;&gt;",$EV$2="EXISTING"),SUMIFS('Existing Customers'!$U:$U,'Existing Customers'!$H:$H,$ET16,'Existing Customers'!$A:$A,$EU$1)*$EU$4,FL16*EU16),0)</f>
        <v>0</v>
      </c>
      <c r="FC16" s="849" t="e">
        <f>_xlfn.CONCAT('Customer Inputs'!$AG$10,"_",ET16)</f>
        <v>#N/A</v>
      </c>
      <c r="FD16" s="849">
        <f t="array" ref="FD16">IFERROR(INDEX('Margin Guidence Table'!$A$1:$AG$10000,MATCH(1,('Margin Guidence Table'!$A$1:$A$10000=FC16)*('Margin Guidence Table'!$I$1:$I$10000&lt;=ROUND($EU$3,0))*('Margin Guidence Table'!$J$1:$J$10000&gt;=ROUND($EU$3,0)),0),MATCH("DATA_POINTS",'Margin Guidence Table'!$A$1:$AG$1,0)),0)</f>
        <v>0</v>
      </c>
      <c r="FE16" s="846" t="str">
        <f t="shared" si="36"/>
        <v>DEFAULT</v>
      </c>
      <c r="FF16" s="846">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6"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0">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0">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0">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0">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0">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0">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6">
        <f>IFERROR(IF(AND($FR$2&lt;&gt;"Enter Spend&gt;&gt;&gt;",$FS$2="EXISTING"),SUMIFS('Existing Customers'!$S:$S,'Existing Customers'!$H:$H,$FQ16,'Existing Customers'!$A:$A,$FR$1)*$FR$4,GH16*FR16),0)</f>
        <v>0</v>
      </c>
      <c r="FY16" s="846">
        <f>IFERROR(IF(AND($FR$2&lt;&gt;"Enter Spend&gt;&gt;&gt;",$FS$2="EXISTING"),SUMIFS('Existing Customers'!$U:$U,'Existing Customers'!$H:$H,$FQ16,'Existing Customers'!$A:$A,$FR$1)*$FR$4,GI16*FR16),0)</f>
        <v>0</v>
      </c>
      <c r="FZ16" s="849" t="e">
        <f>_xlfn.CONCAT('Customer Inputs'!$AG$11,"_",FQ16)</f>
        <v>#N/A</v>
      </c>
      <c r="GA16" s="849">
        <f t="array" ref="GA16">IFERROR(INDEX('Margin Guidence Table'!$A$1:$AG$10000,MATCH(1,('Margin Guidence Table'!$A$1:$A$10000=FZ16)*('Margin Guidence Table'!$I$1:$I$10000&lt;=ROUND($FR$3,0))*('Margin Guidence Table'!$J$1:$J$10000&gt;=ROUND($FR$3,0)),0),MATCH("DATA_POINTS",'Margin Guidence Table'!$A$1:$AG$1,0)),0)</f>
        <v>0</v>
      </c>
      <c r="GB16" s="846" t="str">
        <f t="shared" si="38"/>
        <v>DEFAULT</v>
      </c>
      <c r="GC16" s="846">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6">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0">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0">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0">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0">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0">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0">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6">
        <f>IFERROR(IF(AND($GO$2&lt;&gt;"Enter Spend&gt;&gt;&gt;",$GP$2="EXISTING"),SUMIFS('Existing Customers'!$S:$S,'Existing Customers'!$H:$H,$GN16,'Existing Customers'!$A:$A,$GO$1)*$GO$4,HE16*GO16),0)</f>
        <v>0</v>
      </c>
      <c r="GV16" s="846">
        <f>IFERROR(IF(AND($GO$2&lt;&gt;"Enter Spend&gt;&gt;&gt;",$GP$2="EXISTING"),SUMIFS('Existing Customers'!$U:$U,'Existing Customers'!$H:$H,$GN16,'Existing Customers'!$A:$A,$GO$1)*$GO$4,HF16*GO16),0)</f>
        <v>0</v>
      </c>
      <c r="GW16" s="849" t="e">
        <f>_xlfn.CONCAT('Customer Inputs'!$AG$12,"_",GN16)</f>
        <v>#N/A</v>
      </c>
      <c r="GX16" s="849">
        <f t="array" ref="GX16">IFERROR(INDEX('Margin Guidence Table'!$A$1:$AG$10000,MATCH(1,('Margin Guidence Table'!$A$1:$A$10000=GW16)*('Margin Guidence Table'!$I$1:$I$10000&lt;=ROUND($GO$3,0))*('Margin Guidence Table'!$J$1:$J$10000&gt;=ROUND($GO$3,0)),0),MATCH("DATA_POINTS",'Margin Guidence Table'!$A$1:$AG$1,0)),0)</f>
        <v>0</v>
      </c>
      <c r="GY16" s="846" t="str">
        <f t="shared" si="40"/>
        <v>DEFAULT</v>
      </c>
      <c r="GZ16" s="846">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6">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0">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0">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0">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0">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0">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0">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6">
        <f>IFERROR(IF(AND($HL$2&lt;&gt;"Enter Spend&gt;&gt;&gt;",$HM$2="EXISTING"),SUMIFS('Existing Customers'!$S:$S,'Existing Customers'!$H:$H,$HK16,'Existing Customers'!$A:$A,$HL$1)*$HL$4,IB16*HL16),0)</f>
        <v>0</v>
      </c>
      <c r="HS16" s="846">
        <f>IFERROR(IF(AND($HL$2&lt;&gt;"Enter Spend&gt;&gt;&gt;",$HM$2="EXISTING"),SUMIFS('Existing Customers'!$U:$U,'Existing Customers'!$H:$H,$HK16,'Existing Customers'!$A:$A,$HL$1)*$HL$4,IC16*HL16),0)</f>
        <v>0</v>
      </c>
      <c r="HT16" s="849" t="e">
        <f>_xlfn.CONCAT('Customer Inputs'!$AG$13,"_",HK16)</f>
        <v>#N/A</v>
      </c>
      <c r="HU16" s="849">
        <f t="array" ref="HU16">IFERROR(INDEX('Margin Guidence Table'!$A$1:$AG$10000,MATCH(1,('Margin Guidence Table'!$A$1:$A$10000=HT16)*('Margin Guidence Table'!$I$1:$I$10000&lt;=ROUND($HL$3,0))*('Margin Guidence Table'!$J$1:$J$10000&gt;=ROUND($HL$3,0)),0),MATCH("DATA_POINTS",'Margin Guidence Table'!$A$1:$AG$1,0)),0)</f>
        <v>0</v>
      </c>
      <c r="HV16" s="846" t="str">
        <f t="shared" si="42"/>
        <v>DEFAULT</v>
      </c>
      <c r="HW16" s="846">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6">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0">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0">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0">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0">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0">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0">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6">
        <f>IFERROR(IF(AND($II$2&lt;&gt;"Enter Spend&gt;&gt;&gt;",$IJ$2="EXISTING"),SUMIFS('Existing Customers'!$S:$S,'Existing Customers'!$H:$H,$IH16,'Existing Customers'!$A:$A,$II$1)*$II$4,IY16*II16),0)</f>
        <v>0</v>
      </c>
      <c r="IP16" s="846">
        <f>IFERROR(IF(AND($II$2&lt;&gt;"Enter Spend&gt;&gt;&gt;",$IJ$2="EXISTING"),SUMIFS('Existing Customers'!$U:$U,'Existing Customers'!$H:$H,$IH16,'Existing Customers'!$A:$A,$II$1)*$II$4,IZ16*II16),0)</f>
        <v>0</v>
      </c>
      <c r="IQ16" s="849" t="e">
        <f>_xlfn.CONCAT('Customer Inputs'!$AG$14,"_",IH16)</f>
        <v>#N/A</v>
      </c>
      <c r="IR16" s="849">
        <f t="array" ref="IR16">IFERROR(INDEX('Margin Guidence Table'!$A$1:$AG$10000,MATCH(1,('Margin Guidence Table'!$A$1:$A$10000=IQ16)*('Margin Guidence Table'!$I$1:$I$10000&lt;=ROUND($II$3,0))*('Margin Guidence Table'!$J$1:$J$10000&gt;=ROUND($II$3,0)),0),MATCH("DATA_POINTS",'Margin Guidence Table'!$A$1:$AG$1,0)),0)</f>
        <v>0</v>
      </c>
      <c r="IS16" s="846" t="str">
        <f t="shared" si="44"/>
        <v>DEFAULT</v>
      </c>
      <c r="IT16" s="846">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6">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0">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0">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0">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0">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0">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0">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6">
        <f>IFERROR(IF(AND($JF$2&lt;&gt;"Enter Spend&gt;&gt;&gt;",$JG$2="EXISTING"),SUMIFS('Existing Customers'!$S:$S,'Existing Customers'!$H:$H,$JE16,'Existing Customers'!$A:$A,$JF$1)*$JF$4,JV16*JF16),0)</f>
        <v>0</v>
      </c>
      <c r="JM16" s="846">
        <f>IFERROR(IF(AND($JF$2&lt;&gt;"Enter Spend&gt;&gt;&gt;",$JG$2="EXISTING"),SUMIFS('Existing Customers'!$U:$U,'Existing Customers'!$H:$H,$JE16,'Existing Customers'!$A:$A,$JF$1)*$JF$4,JW16*JF16),0)</f>
        <v>0</v>
      </c>
      <c r="JN16" s="849" t="e">
        <f>_xlfn.CONCAT('Customer Inputs'!$AG$15,"_",JE16)</f>
        <v>#N/A</v>
      </c>
      <c r="JO16" s="849">
        <f t="array" ref="JO16">IFERROR(INDEX('Margin Guidence Table'!$A$1:$AG$10000,MATCH(1,('Margin Guidence Table'!$A$1:$A$10000=JN16)*('Margin Guidence Table'!$I$1:$I$10000&lt;=ROUND($JF$3,0))*('Margin Guidence Table'!$J$1:$J$10000&gt;=ROUND($JF$3,0)),0),MATCH("DATA_POINTS",'Margin Guidence Table'!$A$1:$AG$1,0)),0)</f>
        <v>0</v>
      </c>
      <c r="JP16" s="846" t="str">
        <f t="shared" si="46"/>
        <v>DEFAULT</v>
      </c>
      <c r="JQ16" s="846">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6">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0">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0">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0">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0">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0">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0">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66">
        <f t="shared" si="0"/>
        <v>0</v>
      </c>
      <c r="H17" s="1466">
        <f t="shared" si="0"/>
        <v>0</v>
      </c>
      <c r="I17" s="395">
        <f t="shared" si="11"/>
        <v>0</v>
      </c>
      <c r="J17" s="394">
        <f t="shared" si="12"/>
        <v>0</v>
      </c>
      <c r="K17" s="844">
        <f t="shared" si="13"/>
        <v>0</v>
      </c>
      <c r="L17" s="844">
        <f t="shared" si="14"/>
        <v>0</v>
      </c>
      <c r="M17" s="844">
        <f t="shared" si="15"/>
        <v>0</v>
      </c>
      <c r="N17" s="1466">
        <f>IF('PIM Model'!D13="$/CS",IFERROR(ROUND(SUM(BT17*$BR$35+CQ17*$CO$35+DN17*$DL$35+EK17*$EI$35+FH17*$FF$35+GE17*$GC$35+HB17*$GZ$35+HY17*$HW$35+IV17*$IT$35+JS17*$JQ$35)/$G$35,2),0),IF('PIM Model'!D13="$/LB",IFERROR(ROUND(SUM(BT17*$BS$35+CQ17*$CP$35+DN17*$DM$35+EK17*$EJ$35+FH17*$FG$35+GE17*$GD$35+HB17*$HA$35+HY17*$HX$35+IV17*$IU$35+JS17*$JR$35)/$H$35,2),0),0))</f>
        <v>0</v>
      </c>
      <c r="O17" s="1466">
        <f>IF('PIM Model'!D13="$/CS",IFERROR(ROUND(SUM(BU17*$BR$35+CR17*$CO$35+DO17*$DL$35+EL17*$EI$35+FI17*$FF$35+GF17*$GC$35+HC17*$GZ$35+HZ17*$HW$35+IW17*$IT$35+JT17*$JQ$35)/$G$35,2),0),IF('PIM Model'!D13="$/LB",IFERROR(ROUND(SUM(BU17*$BS$35+CR17*$CP$35+DO17*$DM$35+EL17*$EJ$35+FI17*$FG$35+GF17*$GD$35+HC17*$HA$35+HZ17*$HX$35+IW17*$IU$35+JT17*$JR$35)/$H$35,2),0),0))</f>
        <v>0</v>
      </c>
      <c r="P17" s="1466">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5">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8" t="e">
        <f>_xlfn.CONCAT('Customer Inputs'!$AG$6,"_",BF17)</f>
        <v>#N/A</v>
      </c>
      <c r="BP17" s="849">
        <f t="array" ref="BP17">IFERROR(INDEX('Margin Guidence Table'!$A$1:$AG$10000,MATCH(1,('Margin Guidence Table'!$A$1:$A$10000=$BO17)*('Margin Guidence Table'!$I$1:$I$10000&lt;=ROUND($BG$3,0))*('Margin Guidence Table'!$J$1:$J$10000&gt;=ROUND($BG$3,0)),0),MATCH("DATA_POINTS",'Margin Guidence Table'!$A$1:$AG$1,0)),0)</f>
        <v>0</v>
      </c>
      <c r="BQ17" s="846" t="str">
        <f t="shared" si="28"/>
        <v>DEFAULT</v>
      </c>
      <c r="BR17" s="846">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6">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0">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0">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0">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0">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0">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0">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6">
        <f>IFERROR(IF(AND($CD$2&lt;&gt;"Enter Spend&gt;&gt;&gt;",$CE$2="EXISTING"),SUMIFS('Existing Customers'!$S:$S,'Existing Customers'!$H:$H,$CC17,'Existing Customers'!$A:$A,$CD$1)*$CD$4,CT17*CD17),0)</f>
        <v>0</v>
      </c>
      <c r="CK17" s="846">
        <f>IFERROR(IF(AND($CD$2&lt;&gt;"Enter Spend&gt;&gt;&gt;",$CE$2="EXISTING"),SUMIFS('Existing Customers'!$U:$U,'Existing Customers'!$H:$H,$CC17,'Existing Customers'!$A:$A,$CD$1)*$CD$4,CU17*CD17),0)</f>
        <v>0</v>
      </c>
      <c r="CL17" s="849" t="e">
        <f>_xlfn.CONCAT('Customer Inputs'!$AG$7,"_",CC17)</f>
        <v>#N/A</v>
      </c>
      <c r="CM17" s="849">
        <f t="array" ref="CM17">IFERROR(INDEX('Margin Guidence Table'!$A$1:$AG$10000,MATCH(1,('Margin Guidence Table'!$A$1:$A$10000=$CL17)*('Margin Guidence Table'!$I$1:$I$10000&lt;=ROUND($CD$3,0))*('Margin Guidence Table'!$J$1:$J$10000&gt;=ROUND($CD$3,0)),0),MATCH("DATA_POINTS",'Margin Guidence Table'!$A$1:$AG$1,0)),0)</f>
        <v>0</v>
      </c>
      <c r="CN17" s="846" t="str">
        <f t="shared" si="30"/>
        <v>DEFAULT</v>
      </c>
      <c r="CO17" s="846">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6">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0">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0">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0">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0">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0">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0">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6">
        <f>IFERROR(IF(AND($DA$2&lt;&gt;"Enter Spend&gt;&gt;&gt;",$DB$2="EXISTING"),SUMIFS('Existing Customers'!$S:$S,'Existing Customers'!$H:$H,$CZ17,'Existing Customers'!$A:$A,$DA$1)*$DA$4,DQ17*DA17),0)</f>
        <v>0</v>
      </c>
      <c r="DH17" s="846">
        <f>IFERROR(IF(AND($DA$2&lt;&gt;"Enter Spend&gt;&gt;&gt;",$DB$2="EXISTING"),SUMIFS('Existing Customers'!$U:$U,'Existing Customers'!$H:$H,$CZ17,'Existing Customers'!$A:$A,$DA$1)*$DA$4,DR17*DA17),0)</f>
        <v>0</v>
      </c>
      <c r="DI17" s="849" t="e">
        <f>_xlfn.CONCAT('Customer Inputs'!$AG$8,"_",CZ17)</f>
        <v>#N/A</v>
      </c>
      <c r="DJ17" s="849">
        <f t="array" ref="DJ17">IFERROR(INDEX('Margin Guidence Table'!$A$1:$AG$10000,MATCH(1,('Margin Guidence Table'!$A$1:$A$10000=DI17)*('Margin Guidence Table'!$I$1:$I$10000&lt;=ROUND($DA$3,0))*('Margin Guidence Table'!$J$1:$J$10000&gt;=ROUND($DA$3,0)),0),MATCH("DATA_POINTS",'Margin Guidence Table'!$A$1:$AG$1,0)),0)</f>
        <v>0</v>
      </c>
      <c r="DK17" s="846" t="str">
        <f t="shared" si="32"/>
        <v>DEFAULT</v>
      </c>
      <c r="DL17" s="846">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6">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0">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0">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0">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0">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0">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0">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6">
        <f>IFERROR(IF(AND($DX$2&lt;&gt;"Enter Spend&gt;&gt;&gt;",$DY$2="EXISTING"),SUMIFS('Existing Customers'!$S:$S,'Existing Customers'!$H:$H,$DY17,'Existing Customers'!$A:$A,$DX$1)*$DX$4,EN17*DX17),0)</f>
        <v>0</v>
      </c>
      <c r="EE17" s="846">
        <f>IFERROR(IF(AND($DX$2&lt;&gt;"Enter Spend&gt;&gt;&gt;",$DY$2="EXISTING"),SUMIFS('Existing Customers'!$U:$U,'Existing Customers'!$H:$H,$DW17,'Existing Customers'!$A:$A,$DX$1)*$DX$4,EO17*DX17),0)</f>
        <v>0</v>
      </c>
      <c r="EF17" s="849" t="e">
        <f>_xlfn.CONCAT('Customer Inputs'!$AG$9,"_",DW17)</f>
        <v>#N/A</v>
      </c>
      <c r="EG17" s="849">
        <f t="array" ref="EG17">IFERROR(INDEX('Margin Guidence Table'!$A$1:$AG$10000,MATCH(1,('Margin Guidence Table'!$A$1:$A$10000=EF17)*('Margin Guidence Table'!$I$1:$I$10000&lt;=ROUND($DX$3,0))*('Margin Guidence Table'!$J$1:$J$10000&gt;=ROUND($DX$3,0)),0),MATCH("DATA_POINTS",'Margin Guidence Table'!$A$1:$AG$1,0)),0)</f>
        <v>0</v>
      </c>
      <c r="EH17" s="846" t="str">
        <f t="shared" si="34"/>
        <v>DEFAULT</v>
      </c>
      <c r="EI17" s="846">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6">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0">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0">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0">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0">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0">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0">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6">
        <f>IFERROR(IF(AND($EU$2&lt;&gt;"Enter Spend&gt;&gt;&gt;",$EV$2="EXISTING"),SUMIFS('Existing Customers'!$S:$S,'Existing Customers'!$H:$H,$ET17,'Existing Customers'!$A:$A,$EU$1)*$EU$4,FK17*EU17),0)</f>
        <v>0</v>
      </c>
      <c r="FB17" s="846">
        <f>IFERROR(IF(AND($EU$2&lt;&gt;"Enter Spend&gt;&gt;&gt;",$EV$2="EXISTING"),SUMIFS('Existing Customers'!$U:$U,'Existing Customers'!$H:$H,$ET17,'Existing Customers'!$A:$A,$EU$1)*$EU$4,FL17*EU17),0)</f>
        <v>0</v>
      </c>
      <c r="FC17" s="849" t="e">
        <f>_xlfn.CONCAT('Customer Inputs'!$AG$10,"_",ET17)</f>
        <v>#N/A</v>
      </c>
      <c r="FD17" s="849">
        <f t="array" ref="FD17">IFERROR(INDEX('Margin Guidence Table'!$A$1:$AG$10000,MATCH(1,('Margin Guidence Table'!$A$1:$A$10000=FC17)*('Margin Guidence Table'!$I$1:$I$10000&lt;=ROUND($EU$3,0))*('Margin Guidence Table'!$J$1:$J$10000&gt;=ROUND($EU$3,0)),0),MATCH("DATA_POINTS",'Margin Guidence Table'!$A$1:$AG$1,0)),0)</f>
        <v>0</v>
      </c>
      <c r="FE17" s="846" t="str">
        <f t="shared" si="36"/>
        <v>DEFAULT</v>
      </c>
      <c r="FF17" s="846">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6"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0">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0">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0">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0">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0">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0">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6">
        <f>IFERROR(IF(AND($FR$2&lt;&gt;"Enter Spend&gt;&gt;&gt;",$FS$2="EXISTING"),SUMIFS('Existing Customers'!$S:$S,'Existing Customers'!$H:$H,$FQ17,'Existing Customers'!$A:$A,$FR$1)*$FR$4,GH17*FR17),0)</f>
        <v>0</v>
      </c>
      <c r="FY17" s="846">
        <f>IFERROR(IF(AND($FR$2&lt;&gt;"Enter Spend&gt;&gt;&gt;",$FS$2="EXISTING"),SUMIFS('Existing Customers'!$U:$U,'Existing Customers'!$H:$H,$FQ17,'Existing Customers'!$A:$A,$FR$1)*$FR$4,GI17*FR17),0)</f>
        <v>0</v>
      </c>
      <c r="FZ17" s="849" t="e">
        <f>_xlfn.CONCAT('Customer Inputs'!$AG$11,"_",FQ17)</f>
        <v>#N/A</v>
      </c>
      <c r="GA17" s="849">
        <f t="array" ref="GA17">IFERROR(INDEX('Margin Guidence Table'!$A$1:$AG$10000,MATCH(1,('Margin Guidence Table'!$A$1:$A$10000=FZ17)*('Margin Guidence Table'!$I$1:$I$10000&lt;=ROUND($FR$3,0))*('Margin Guidence Table'!$J$1:$J$10000&gt;=ROUND($FR$3,0)),0),MATCH("DATA_POINTS",'Margin Guidence Table'!$A$1:$AG$1,0)),0)</f>
        <v>0</v>
      </c>
      <c r="GB17" s="846" t="str">
        <f t="shared" si="38"/>
        <v>DEFAULT</v>
      </c>
      <c r="GC17" s="846">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6">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0">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0">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0">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0">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0">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0">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6">
        <f>IFERROR(IF(AND($GO$2&lt;&gt;"Enter Spend&gt;&gt;&gt;",$GP$2="EXISTING"),SUMIFS('Existing Customers'!$S:$S,'Existing Customers'!$H:$H,$GN17,'Existing Customers'!$A:$A,$GO$1)*$GO$4,HE17*GO17),0)</f>
        <v>0</v>
      </c>
      <c r="GV17" s="846">
        <f>IFERROR(IF(AND($GO$2&lt;&gt;"Enter Spend&gt;&gt;&gt;",$GP$2="EXISTING"),SUMIFS('Existing Customers'!$U:$U,'Existing Customers'!$H:$H,$GN17,'Existing Customers'!$A:$A,$GO$1)*$GO$4,HF17*GO17),0)</f>
        <v>0</v>
      </c>
      <c r="GW17" s="849" t="e">
        <f>_xlfn.CONCAT('Customer Inputs'!$AG$12,"_",GN17)</f>
        <v>#N/A</v>
      </c>
      <c r="GX17" s="849">
        <f t="array" ref="GX17">IFERROR(INDEX('Margin Guidence Table'!$A$1:$AG$10000,MATCH(1,('Margin Guidence Table'!$A$1:$A$10000=GW17)*('Margin Guidence Table'!$I$1:$I$10000&lt;=ROUND($GO$3,0))*('Margin Guidence Table'!$J$1:$J$10000&gt;=ROUND($GO$3,0)),0),MATCH("DATA_POINTS",'Margin Guidence Table'!$A$1:$AG$1,0)),0)</f>
        <v>0</v>
      </c>
      <c r="GY17" s="846" t="str">
        <f t="shared" si="40"/>
        <v>DEFAULT</v>
      </c>
      <c r="GZ17" s="846">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6">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0">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0">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0">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0">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0">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0">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6">
        <f>IFERROR(IF(AND($HL$2&lt;&gt;"Enter Spend&gt;&gt;&gt;",$HM$2="EXISTING"),SUMIFS('Existing Customers'!$S:$S,'Existing Customers'!$H:$H,$HK17,'Existing Customers'!$A:$A,$HL$1)*$HL$4,IB17*HL17),0)</f>
        <v>0</v>
      </c>
      <c r="HS17" s="846">
        <f>IFERROR(IF(AND($HL$2&lt;&gt;"Enter Spend&gt;&gt;&gt;",$HM$2="EXISTING"),SUMIFS('Existing Customers'!$U:$U,'Existing Customers'!$H:$H,$HK17,'Existing Customers'!$A:$A,$HL$1)*$HL$4,IC17*HL17),0)</f>
        <v>0</v>
      </c>
      <c r="HT17" s="849" t="e">
        <f>_xlfn.CONCAT('Customer Inputs'!$AG$13,"_",HK17)</f>
        <v>#N/A</v>
      </c>
      <c r="HU17" s="849">
        <f t="array" ref="HU17">IFERROR(INDEX('Margin Guidence Table'!$A$1:$AG$10000,MATCH(1,('Margin Guidence Table'!$A$1:$A$10000=HT17)*('Margin Guidence Table'!$I$1:$I$10000&lt;=ROUND($HL$3,0))*('Margin Guidence Table'!$J$1:$J$10000&gt;=ROUND($HL$3,0)),0),MATCH("DATA_POINTS",'Margin Guidence Table'!$A$1:$AG$1,0)),0)</f>
        <v>0</v>
      </c>
      <c r="HV17" s="846" t="str">
        <f t="shared" si="42"/>
        <v>DEFAULT</v>
      </c>
      <c r="HW17" s="846">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6">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0">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0">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0">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0">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0">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0">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6">
        <f>IFERROR(IF(AND($II$2&lt;&gt;"Enter Spend&gt;&gt;&gt;",$IJ$2="EXISTING"),SUMIFS('Existing Customers'!$S:$S,'Existing Customers'!$H:$H,$IH17,'Existing Customers'!$A:$A,$II$1)*$II$4,IY17*II17),0)</f>
        <v>0</v>
      </c>
      <c r="IP17" s="846">
        <f>IFERROR(IF(AND($II$2&lt;&gt;"Enter Spend&gt;&gt;&gt;",$IJ$2="EXISTING"),SUMIFS('Existing Customers'!$U:$U,'Existing Customers'!$H:$H,$IH17,'Existing Customers'!$A:$A,$II$1)*$II$4,IZ17*II17),0)</f>
        <v>0</v>
      </c>
      <c r="IQ17" s="849" t="e">
        <f>_xlfn.CONCAT('Customer Inputs'!$AG$14,"_",IH17)</f>
        <v>#N/A</v>
      </c>
      <c r="IR17" s="849">
        <f t="array" ref="IR17">IFERROR(INDEX('Margin Guidence Table'!$A$1:$AG$10000,MATCH(1,('Margin Guidence Table'!$A$1:$A$10000=IQ17)*('Margin Guidence Table'!$I$1:$I$10000&lt;=ROUND($II$3,0))*('Margin Guidence Table'!$J$1:$J$10000&gt;=ROUND($II$3,0)),0),MATCH("DATA_POINTS",'Margin Guidence Table'!$A$1:$AG$1,0)),0)</f>
        <v>0</v>
      </c>
      <c r="IS17" s="846" t="str">
        <f t="shared" si="44"/>
        <v>DEFAULT</v>
      </c>
      <c r="IT17" s="846">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6">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0">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0">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0">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0">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0">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0">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6">
        <f>IFERROR(IF(AND($JF$2&lt;&gt;"Enter Spend&gt;&gt;&gt;",$JG$2="EXISTING"),SUMIFS('Existing Customers'!$S:$S,'Existing Customers'!$H:$H,$JE17,'Existing Customers'!$A:$A,$JF$1)*$JF$4,JV17*JF17),0)</f>
        <v>0</v>
      </c>
      <c r="JM17" s="846">
        <f>IFERROR(IF(AND($JF$2&lt;&gt;"Enter Spend&gt;&gt;&gt;",$JG$2="EXISTING"),SUMIFS('Existing Customers'!$U:$U,'Existing Customers'!$H:$H,$JE17,'Existing Customers'!$A:$A,$JF$1)*$JF$4,JW17*JF17),0)</f>
        <v>0</v>
      </c>
      <c r="JN17" s="849" t="e">
        <f>_xlfn.CONCAT('Customer Inputs'!$AG$15,"_",JE17)</f>
        <v>#N/A</v>
      </c>
      <c r="JO17" s="849">
        <f t="array" ref="JO17">IFERROR(INDEX('Margin Guidence Table'!$A$1:$AG$10000,MATCH(1,('Margin Guidence Table'!$A$1:$A$10000=JN17)*('Margin Guidence Table'!$I$1:$I$10000&lt;=ROUND($JF$3,0))*('Margin Guidence Table'!$J$1:$J$10000&gt;=ROUND($JF$3,0)),0),MATCH("DATA_POINTS",'Margin Guidence Table'!$A$1:$AG$1,0)),0)</f>
        <v>0</v>
      </c>
      <c r="JP17" s="846" t="str">
        <f t="shared" si="46"/>
        <v>DEFAULT</v>
      </c>
      <c r="JQ17" s="846">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6">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0">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0">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0">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0">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0">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0">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66">
        <f t="shared" si="0"/>
        <v>0</v>
      </c>
      <c r="H18" s="1466">
        <f t="shared" si="0"/>
        <v>0</v>
      </c>
      <c r="I18" s="395">
        <f t="shared" si="11"/>
        <v>0</v>
      </c>
      <c r="J18" s="394">
        <f t="shared" si="12"/>
        <v>0</v>
      </c>
      <c r="K18" s="844">
        <f t="shared" si="13"/>
        <v>0</v>
      </c>
      <c r="L18" s="844">
        <f t="shared" si="14"/>
        <v>0</v>
      </c>
      <c r="M18" s="844">
        <f t="shared" si="15"/>
        <v>0</v>
      </c>
      <c r="N18" s="1466">
        <f>IF('PIM Model'!D14="$/CS",IFERROR(ROUND(SUM(BT18*$BR$35+CQ18*$CO$35+DN18*$DL$35+EK18*$EI$35+FH18*$FF$35+GE18*$GC$35+HB18*$GZ$35+HY18*$HW$35+IV18*$IT$35+JS18*$JQ$35)/$G$35,2),0),IF('PIM Model'!D14="$/LB",IFERROR(ROUND(SUM(BT18*$BS$35+CQ18*$CP$35+DN18*$DM$35+EK18*$EJ$35+FH18*$FG$35+GE18*$GD$35+HB18*$HA$35+HY18*$HX$35+IV18*$IU$35+JS18*$JR$35)/$H$35,2),0),0))</f>
        <v>0</v>
      </c>
      <c r="O18" s="1466">
        <f>IF('PIM Model'!D14="$/CS",IFERROR(ROUND(SUM(BU18*$BR$35+CR18*$CO$35+DO18*$DL$35+EL18*$EI$35+FI18*$FF$35+GF18*$GC$35+HC18*$GZ$35+HZ18*$HW$35+IW18*$IT$35+JT18*$JQ$35)/$G$35,2),0),IF('PIM Model'!D14="$/LB",IFERROR(ROUND(SUM(BU18*$BS$35+CR18*$CP$35+DO18*$DM$35+EL18*$EJ$35+FI18*$FG$35+GF18*$GD$35+HC18*$HA$35+HZ18*$HX$35+IW18*$IU$35+JT18*$JR$35)/$H$35,2),0),0))</f>
        <v>0</v>
      </c>
      <c r="P18" s="1466">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5">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8" t="e">
        <f>_xlfn.CONCAT('Customer Inputs'!$AG$6,"_",BF18)</f>
        <v>#N/A</v>
      </c>
      <c r="BP18" s="849">
        <f t="array" ref="BP18">IFERROR(INDEX('Margin Guidence Table'!$A$1:$AG$10000,MATCH(1,('Margin Guidence Table'!$A$1:$A$10000=$BO18)*('Margin Guidence Table'!$I$1:$I$10000&lt;=ROUND($BG$3,0))*('Margin Guidence Table'!$J$1:$J$10000&gt;=ROUND($BG$3,0)),0),MATCH("DATA_POINTS",'Margin Guidence Table'!$A$1:$AG$1,0)),0)</f>
        <v>0</v>
      </c>
      <c r="BQ18" s="846" t="str">
        <f t="shared" si="28"/>
        <v>DEFAULT</v>
      </c>
      <c r="BR18" s="846">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6">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0">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0">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0">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0">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0">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0">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6">
        <f>IFERROR(IF(AND($CD$2&lt;&gt;"Enter Spend&gt;&gt;&gt;",$CE$2="EXISTING"),SUMIFS('Existing Customers'!$S:$S,'Existing Customers'!$H:$H,$CC18,'Existing Customers'!$A:$A,$CD$1)*$CD$4,CT18*CD18),0)</f>
        <v>0</v>
      </c>
      <c r="CK18" s="846">
        <f>IFERROR(IF(AND($CD$2&lt;&gt;"Enter Spend&gt;&gt;&gt;",$CE$2="EXISTING"),SUMIFS('Existing Customers'!$U:$U,'Existing Customers'!$H:$H,$CC18,'Existing Customers'!$A:$A,$CD$1)*$CD$4,CU18*CD18),0)</f>
        <v>0</v>
      </c>
      <c r="CL18" s="849" t="e">
        <f>_xlfn.CONCAT('Customer Inputs'!$AG$7,"_",CC18)</f>
        <v>#N/A</v>
      </c>
      <c r="CM18" s="849">
        <f t="array" ref="CM18">IFERROR(INDEX('Margin Guidence Table'!$A$1:$AG$10000,MATCH(1,('Margin Guidence Table'!$A$1:$A$10000=$CL18)*('Margin Guidence Table'!$I$1:$I$10000&lt;=ROUND($CD$3,0))*('Margin Guidence Table'!$J$1:$J$10000&gt;=ROUND($CD$3,0)),0),MATCH("DATA_POINTS",'Margin Guidence Table'!$A$1:$AG$1,0)),0)</f>
        <v>0</v>
      </c>
      <c r="CN18" s="846" t="str">
        <f t="shared" si="30"/>
        <v>DEFAULT</v>
      </c>
      <c r="CO18" s="846">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6">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0">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0">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0">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0">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0">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0">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6">
        <f>IFERROR(IF(AND($DA$2&lt;&gt;"Enter Spend&gt;&gt;&gt;",$DB$2="EXISTING"),SUMIFS('Existing Customers'!$S:$S,'Existing Customers'!$H:$H,$CZ18,'Existing Customers'!$A:$A,$DA$1)*$DA$4,DQ18*DA18),0)</f>
        <v>0</v>
      </c>
      <c r="DH18" s="846">
        <f>IFERROR(IF(AND($DA$2&lt;&gt;"Enter Spend&gt;&gt;&gt;",$DB$2="EXISTING"),SUMIFS('Existing Customers'!$U:$U,'Existing Customers'!$H:$H,$CZ18,'Existing Customers'!$A:$A,$DA$1)*$DA$4,DR18*DA18),0)</f>
        <v>0</v>
      </c>
      <c r="DI18" s="849" t="e">
        <f>_xlfn.CONCAT('Customer Inputs'!$AG$8,"_",CZ18)</f>
        <v>#N/A</v>
      </c>
      <c r="DJ18" s="849">
        <f t="array" ref="DJ18">IFERROR(INDEX('Margin Guidence Table'!$A$1:$AG$10000,MATCH(1,('Margin Guidence Table'!$A$1:$A$10000=DI18)*('Margin Guidence Table'!$I$1:$I$10000&lt;=ROUND($DA$3,0))*('Margin Guidence Table'!$J$1:$J$10000&gt;=ROUND($DA$3,0)),0),MATCH("DATA_POINTS",'Margin Guidence Table'!$A$1:$AG$1,0)),0)</f>
        <v>0</v>
      </c>
      <c r="DK18" s="846" t="str">
        <f t="shared" si="32"/>
        <v>DEFAULT</v>
      </c>
      <c r="DL18" s="846">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6">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0">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0">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0">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0">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0">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0">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6">
        <f>IFERROR(IF(AND($DX$2&lt;&gt;"Enter Spend&gt;&gt;&gt;",$DY$2="EXISTING"),SUMIFS('Existing Customers'!$S:$S,'Existing Customers'!$H:$H,$DY18,'Existing Customers'!$A:$A,$DX$1)*$DX$4,EN18*DX18),0)</f>
        <v>0</v>
      </c>
      <c r="EE18" s="846">
        <f>IFERROR(IF(AND($DX$2&lt;&gt;"Enter Spend&gt;&gt;&gt;",$DY$2="EXISTING"),SUMIFS('Existing Customers'!$U:$U,'Existing Customers'!$H:$H,$DW18,'Existing Customers'!$A:$A,$DX$1)*$DX$4,EO18*DX18),0)</f>
        <v>0</v>
      </c>
      <c r="EF18" s="849" t="e">
        <f>_xlfn.CONCAT('Customer Inputs'!$AG$9,"_",DW18)</f>
        <v>#N/A</v>
      </c>
      <c r="EG18" s="849">
        <f t="array" ref="EG18">IFERROR(INDEX('Margin Guidence Table'!$A$1:$AG$10000,MATCH(1,('Margin Guidence Table'!$A$1:$A$10000=EF18)*('Margin Guidence Table'!$I$1:$I$10000&lt;=ROUND($DX$3,0))*('Margin Guidence Table'!$J$1:$J$10000&gt;=ROUND($DX$3,0)),0),MATCH("DATA_POINTS",'Margin Guidence Table'!$A$1:$AG$1,0)),0)</f>
        <v>0</v>
      </c>
      <c r="EH18" s="846" t="str">
        <f t="shared" si="34"/>
        <v>DEFAULT</v>
      </c>
      <c r="EI18" s="846">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6">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0">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0">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0">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0">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0">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0">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6">
        <f>IFERROR(IF(AND($EU$2&lt;&gt;"Enter Spend&gt;&gt;&gt;",$EV$2="EXISTING"),SUMIFS('Existing Customers'!$S:$S,'Existing Customers'!$H:$H,$ET18,'Existing Customers'!$A:$A,$EU$1)*$EU$4,FK18*EU18),0)</f>
        <v>0</v>
      </c>
      <c r="FB18" s="846">
        <f>IFERROR(IF(AND($EU$2&lt;&gt;"Enter Spend&gt;&gt;&gt;",$EV$2="EXISTING"),SUMIFS('Existing Customers'!$U:$U,'Existing Customers'!$H:$H,$ET18,'Existing Customers'!$A:$A,$EU$1)*$EU$4,FL18*EU18),0)</f>
        <v>0</v>
      </c>
      <c r="FC18" s="849" t="e">
        <f>_xlfn.CONCAT('Customer Inputs'!$AG$10,"_",ET18)</f>
        <v>#N/A</v>
      </c>
      <c r="FD18" s="849">
        <f t="array" ref="FD18">IFERROR(INDEX('Margin Guidence Table'!$A$1:$AG$10000,MATCH(1,('Margin Guidence Table'!$A$1:$A$10000=FC18)*('Margin Guidence Table'!$I$1:$I$10000&lt;=ROUND($EU$3,0))*('Margin Guidence Table'!$J$1:$J$10000&gt;=ROUND($EU$3,0)),0),MATCH("DATA_POINTS",'Margin Guidence Table'!$A$1:$AG$1,0)),0)</f>
        <v>0</v>
      </c>
      <c r="FE18" s="846" t="str">
        <f t="shared" si="36"/>
        <v>DEFAULT</v>
      </c>
      <c r="FF18" s="846">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6"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0">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0">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0">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0">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0">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0">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6">
        <f>IFERROR(IF(AND($FR$2&lt;&gt;"Enter Spend&gt;&gt;&gt;",$FS$2="EXISTING"),SUMIFS('Existing Customers'!$S:$S,'Existing Customers'!$H:$H,$FQ18,'Existing Customers'!$A:$A,$FR$1)*$FR$4,GH18*FR18),0)</f>
        <v>0</v>
      </c>
      <c r="FY18" s="846">
        <f>IFERROR(IF(AND($FR$2&lt;&gt;"Enter Spend&gt;&gt;&gt;",$FS$2="EXISTING"),SUMIFS('Existing Customers'!$U:$U,'Existing Customers'!$H:$H,$FQ18,'Existing Customers'!$A:$A,$FR$1)*$FR$4,GI18*FR18),0)</f>
        <v>0</v>
      </c>
      <c r="FZ18" s="849" t="e">
        <f>_xlfn.CONCAT('Customer Inputs'!$AG$11,"_",FQ18)</f>
        <v>#N/A</v>
      </c>
      <c r="GA18" s="849">
        <f t="array" ref="GA18">IFERROR(INDEX('Margin Guidence Table'!$A$1:$AG$10000,MATCH(1,('Margin Guidence Table'!$A$1:$A$10000=FZ18)*('Margin Guidence Table'!$I$1:$I$10000&lt;=ROUND($FR$3,0))*('Margin Guidence Table'!$J$1:$J$10000&gt;=ROUND($FR$3,0)),0),MATCH("DATA_POINTS",'Margin Guidence Table'!$A$1:$AG$1,0)),0)</f>
        <v>0</v>
      </c>
      <c r="GB18" s="846" t="str">
        <f t="shared" si="38"/>
        <v>DEFAULT</v>
      </c>
      <c r="GC18" s="846">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6">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0">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0">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0">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0">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0">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0">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6">
        <f>IFERROR(IF(AND($GO$2&lt;&gt;"Enter Spend&gt;&gt;&gt;",$GP$2="EXISTING"),SUMIFS('Existing Customers'!$S:$S,'Existing Customers'!$H:$H,$GN18,'Existing Customers'!$A:$A,$GO$1)*$GO$4,HE18*GO18),0)</f>
        <v>0</v>
      </c>
      <c r="GV18" s="846">
        <f>IFERROR(IF(AND($GO$2&lt;&gt;"Enter Spend&gt;&gt;&gt;",$GP$2="EXISTING"),SUMIFS('Existing Customers'!$U:$U,'Existing Customers'!$H:$H,$GN18,'Existing Customers'!$A:$A,$GO$1)*$GO$4,HF18*GO18),0)</f>
        <v>0</v>
      </c>
      <c r="GW18" s="849" t="e">
        <f>_xlfn.CONCAT('Customer Inputs'!$AG$12,"_",GN18)</f>
        <v>#N/A</v>
      </c>
      <c r="GX18" s="849">
        <f t="array" ref="GX18">IFERROR(INDEX('Margin Guidence Table'!$A$1:$AG$10000,MATCH(1,('Margin Guidence Table'!$A$1:$A$10000=GW18)*('Margin Guidence Table'!$I$1:$I$10000&lt;=ROUND($GO$3,0))*('Margin Guidence Table'!$J$1:$J$10000&gt;=ROUND($GO$3,0)),0),MATCH("DATA_POINTS",'Margin Guidence Table'!$A$1:$AG$1,0)),0)</f>
        <v>0</v>
      </c>
      <c r="GY18" s="846" t="str">
        <f t="shared" si="40"/>
        <v>DEFAULT</v>
      </c>
      <c r="GZ18" s="846">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6">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0">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0">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0">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0">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0">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0">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6">
        <f>IFERROR(IF(AND($HL$2&lt;&gt;"Enter Spend&gt;&gt;&gt;",$HM$2="EXISTING"),SUMIFS('Existing Customers'!$S:$S,'Existing Customers'!$H:$H,$HK18,'Existing Customers'!$A:$A,$HL$1)*$HL$4,IB18*HL18),0)</f>
        <v>0</v>
      </c>
      <c r="HS18" s="846">
        <f>IFERROR(IF(AND($HL$2&lt;&gt;"Enter Spend&gt;&gt;&gt;",$HM$2="EXISTING"),SUMIFS('Existing Customers'!$U:$U,'Existing Customers'!$H:$H,$HK18,'Existing Customers'!$A:$A,$HL$1)*$HL$4,IC18*HL18),0)</f>
        <v>0</v>
      </c>
      <c r="HT18" s="849" t="e">
        <f>_xlfn.CONCAT('Customer Inputs'!$AG$13,"_",HK18)</f>
        <v>#N/A</v>
      </c>
      <c r="HU18" s="849">
        <f t="array" ref="HU18">IFERROR(INDEX('Margin Guidence Table'!$A$1:$AG$10000,MATCH(1,('Margin Guidence Table'!$A$1:$A$10000=HT18)*('Margin Guidence Table'!$I$1:$I$10000&lt;=ROUND($HL$3,0))*('Margin Guidence Table'!$J$1:$J$10000&gt;=ROUND($HL$3,0)),0),MATCH("DATA_POINTS",'Margin Guidence Table'!$A$1:$AG$1,0)),0)</f>
        <v>0</v>
      </c>
      <c r="HV18" s="846" t="str">
        <f t="shared" si="42"/>
        <v>DEFAULT</v>
      </c>
      <c r="HW18" s="846">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6">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0">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0">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0">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0">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0">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0">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6">
        <f>IFERROR(IF(AND($II$2&lt;&gt;"Enter Spend&gt;&gt;&gt;",$IJ$2="EXISTING"),SUMIFS('Existing Customers'!$S:$S,'Existing Customers'!$H:$H,$IH18,'Existing Customers'!$A:$A,$II$1)*$II$4,IY18*II18),0)</f>
        <v>0</v>
      </c>
      <c r="IP18" s="846">
        <f>IFERROR(IF(AND($II$2&lt;&gt;"Enter Spend&gt;&gt;&gt;",$IJ$2="EXISTING"),SUMIFS('Existing Customers'!$U:$U,'Existing Customers'!$H:$H,$IH18,'Existing Customers'!$A:$A,$II$1)*$II$4,IZ18*II18),0)</f>
        <v>0</v>
      </c>
      <c r="IQ18" s="849" t="e">
        <f>_xlfn.CONCAT('Customer Inputs'!$AG$14,"_",IH18)</f>
        <v>#N/A</v>
      </c>
      <c r="IR18" s="849">
        <f t="array" ref="IR18">IFERROR(INDEX('Margin Guidence Table'!$A$1:$AG$10000,MATCH(1,('Margin Guidence Table'!$A$1:$A$10000=IQ18)*('Margin Guidence Table'!$I$1:$I$10000&lt;=ROUND($II$3,0))*('Margin Guidence Table'!$J$1:$J$10000&gt;=ROUND($II$3,0)),0),MATCH("DATA_POINTS",'Margin Guidence Table'!$A$1:$AG$1,0)),0)</f>
        <v>0</v>
      </c>
      <c r="IS18" s="846" t="str">
        <f t="shared" si="44"/>
        <v>DEFAULT</v>
      </c>
      <c r="IT18" s="846">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6">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0">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0">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0">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0">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0">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0">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6">
        <f>IFERROR(IF(AND($JF$2&lt;&gt;"Enter Spend&gt;&gt;&gt;",$JG$2="EXISTING"),SUMIFS('Existing Customers'!$S:$S,'Existing Customers'!$H:$H,$JE18,'Existing Customers'!$A:$A,$JF$1)*$JF$4,JV18*JF18),0)</f>
        <v>0</v>
      </c>
      <c r="JM18" s="846">
        <f>IFERROR(IF(AND($JF$2&lt;&gt;"Enter Spend&gt;&gt;&gt;",$JG$2="EXISTING"),SUMIFS('Existing Customers'!$U:$U,'Existing Customers'!$H:$H,$JE18,'Existing Customers'!$A:$A,$JF$1)*$JF$4,JW18*JF18),0)</f>
        <v>0</v>
      </c>
      <c r="JN18" s="849" t="e">
        <f>_xlfn.CONCAT('Customer Inputs'!$AG$15,"_",JE18)</f>
        <v>#N/A</v>
      </c>
      <c r="JO18" s="849">
        <f t="array" ref="JO18">IFERROR(INDEX('Margin Guidence Table'!$A$1:$AG$10000,MATCH(1,('Margin Guidence Table'!$A$1:$A$10000=JN18)*('Margin Guidence Table'!$I$1:$I$10000&lt;=ROUND($JF$3,0))*('Margin Guidence Table'!$J$1:$J$10000&gt;=ROUND($JF$3,0)),0),MATCH("DATA_POINTS",'Margin Guidence Table'!$A$1:$AG$1,0)),0)</f>
        <v>0</v>
      </c>
      <c r="JP18" s="846" t="str">
        <f t="shared" si="46"/>
        <v>DEFAULT</v>
      </c>
      <c r="JQ18" s="846">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6">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0">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0">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0">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0">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0">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0">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66">
        <f t="shared" si="0"/>
        <v>0</v>
      </c>
      <c r="H19" s="1466">
        <f t="shared" si="0"/>
        <v>0</v>
      </c>
      <c r="I19" s="395">
        <f t="shared" si="11"/>
        <v>0</v>
      </c>
      <c r="J19" s="394">
        <f t="shared" si="12"/>
        <v>0</v>
      </c>
      <c r="K19" s="844">
        <f t="shared" si="13"/>
        <v>0</v>
      </c>
      <c r="L19" s="844">
        <f t="shared" si="14"/>
        <v>0</v>
      </c>
      <c r="M19" s="844">
        <f t="shared" si="15"/>
        <v>0</v>
      </c>
      <c r="N19" s="1466">
        <f>IF('PIM Model'!D15="$/CS",IFERROR(ROUND(SUM(BT19*$BR$35+CQ19*$CO$35+DN19*$DL$35+EK19*$EI$35+FH19*$FF$35+GE19*$GC$35+HB19*$GZ$35+HY19*$HW$35+IV19*$IT$35+JS19*$JQ$35)/$G$35,2),0),IF('PIM Model'!D15="$/LB",IFERROR(ROUND(SUM(BT19*$BS$35+CQ19*$CP$35+DN19*$DM$35+EK19*$EJ$35+FH19*$FG$35+GE19*$GD$35+HB19*$HA$35+HY19*$HX$35+IV19*$IU$35+JS19*$JR$35)/$H$35,2),0),0))</f>
        <v>0</v>
      </c>
      <c r="O19" s="1466">
        <f>IF('PIM Model'!D15="$/CS",IFERROR(ROUND(SUM(BU19*$BR$35+CR19*$CO$35+DO19*$DL$35+EL19*$EI$35+FI19*$FF$35+GF19*$GC$35+HC19*$GZ$35+HZ19*$HW$35+IW19*$IT$35+JT19*$JQ$35)/$G$35,2),0),IF('PIM Model'!D15="$/LB",IFERROR(ROUND(SUM(BU19*$BS$35+CR19*$CP$35+DO19*$DM$35+EL19*$EJ$35+FI19*$FG$35+GF19*$GD$35+HC19*$HA$35+HZ19*$HX$35+IW19*$IU$35+JT19*$JR$35)/$H$35,2),0),0))</f>
        <v>0</v>
      </c>
      <c r="P19" s="1466">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5">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8" t="e">
        <f>_xlfn.CONCAT('Customer Inputs'!$AG$6,"_",BF19)</f>
        <v>#N/A</v>
      </c>
      <c r="BP19" s="849">
        <f t="array" ref="BP19">IFERROR(INDEX('Margin Guidence Table'!$A$1:$AG$10000,MATCH(1,('Margin Guidence Table'!$A$1:$A$10000=$BO19)*('Margin Guidence Table'!$I$1:$I$10000&lt;=ROUND($BG$3,0))*('Margin Guidence Table'!$J$1:$J$10000&gt;=ROUND($BG$3,0)),0),MATCH("DATA_POINTS",'Margin Guidence Table'!$A$1:$AG$1,0)),0)</f>
        <v>0</v>
      </c>
      <c r="BQ19" s="846" t="str">
        <f t="shared" si="28"/>
        <v>DEFAULT</v>
      </c>
      <c r="BR19" s="846">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6">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0">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0">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0">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0">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0">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0">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6">
        <f>IFERROR(IF(AND($CD$2&lt;&gt;"Enter Spend&gt;&gt;&gt;",$CE$2="EXISTING"),SUMIFS('Existing Customers'!$S:$S,'Existing Customers'!$H:$H,$CC19,'Existing Customers'!$A:$A,$CD$1)*$CD$4,CT19*CD19),0)</f>
        <v>0</v>
      </c>
      <c r="CK19" s="846">
        <f>IFERROR(IF(AND($CD$2&lt;&gt;"Enter Spend&gt;&gt;&gt;",$CE$2="EXISTING"),SUMIFS('Existing Customers'!$U:$U,'Existing Customers'!$H:$H,$CC19,'Existing Customers'!$A:$A,$CD$1)*$CD$4,CU19*CD19),0)</f>
        <v>0</v>
      </c>
      <c r="CL19" s="849" t="e">
        <f>_xlfn.CONCAT('Customer Inputs'!$AG$7,"_",CC19)</f>
        <v>#N/A</v>
      </c>
      <c r="CM19" s="849">
        <f t="array" ref="CM19">IFERROR(INDEX('Margin Guidence Table'!$A$1:$AG$10000,MATCH(1,('Margin Guidence Table'!$A$1:$A$10000=$CL19)*('Margin Guidence Table'!$I$1:$I$10000&lt;=ROUND($CD$3,0))*('Margin Guidence Table'!$J$1:$J$10000&gt;=ROUND($CD$3,0)),0),MATCH("DATA_POINTS",'Margin Guidence Table'!$A$1:$AG$1,0)),0)</f>
        <v>0</v>
      </c>
      <c r="CN19" s="846" t="str">
        <f t="shared" si="30"/>
        <v>DEFAULT</v>
      </c>
      <c r="CO19" s="846">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6">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0">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0">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0">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0">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0">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0">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6">
        <f>IFERROR(IF(AND($DA$2&lt;&gt;"Enter Spend&gt;&gt;&gt;",$DB$2="EXISTING"),SUMIFS('Existing Customers'!$S:$S,'Existing Customers'!$H:$H,$CZ19,'Existing Customers'!$A:$A,$DA$1)*$DA$4,DQ19*DA19),0)</f>
        <v>0</v>
      </c>
      <c r="DH19" s="846">
        <f>IFERROR(IF(AND($DA$2&lt;&gt;"Enter Spend&gt;&gt;&gt;",$DB$2="EXISTING"),SUMIFS('Existing Customers'!$U:$U,'Existing Customers'!$H:$H,$CZ19,'Existing Customers'!$A:$A,$DA$1)*$DA$4,DR19*DA19),0)</f>
        <v>0</v>
      </c>
      <c r="DI19" s="849" t="e">
        <f>_xlfn.CONCAT('Customer Inputs'!$AG$8,"_",CZ19)</f>
        <v>#N/A</v>
      </c>
      <c r="DJ19" s="849">
        <f t="array" ref="DJ19">IFERROR(INDEX('Margin Guidence Table'!$A$1:$AG$10000,MATCH(1,('Margin Guidence Table'!$A$1:$A$10000=DI19)*('Margin Guidence Table'!$I$1:$I$10000&lt;=ROUND($DA$3,0))*('Margin Guidence Table'!$J$1:$J$10000&gt;=ROUND($DA$3,0)),0),MATCH("DATA_POINTS",'Margin Guidence Table'!$A$1:$AG$1,0)),0)</f>
        <v>0</v>
      </c>
      <c r="DK19" s="846" t="str">
        <f t="shared" si="32"/>
        <v>DEFAULT</v>
      </c>
      <c r="DL19" s="846">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6">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0">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0">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0">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0">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0">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0">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6">
        <f>IFERROR(IF(AND($DX$2&lt;&gt;"Enter Spend&gt;&gt;&gt;",$DY$2="EXISTING"),SUMIFS('Existing Customers'!$S:$S,'Existing Customers'!$H:$H,$DY19,'Existing Customers'!$A:$A,$DX$1)*$DX$4,EN19*DX19),0)</f>
        <v>0</v>
      </c>
      <c r="EE19" s="846">
        <f>IFERROR(IF(AND($DX$2&lt;&gt;"Enter Spend&gt;&gt;&gt;",$DY$2="EXISTING"),SUMIFS('Existing Customers'!$U:$U,'Existing Customers'!$H:$H,$DW19,'Existing Customers'!$A:$A,$DX$1)*$DX$4,EO19*DX19),0)</f>
        <v>0</v>
      </c>
      <c r="EF19" s="849" t="e">
        <f>_xlfn.CONCAT('Customer Inputs'!$AG$9,"_",DW19)</f>
        <v>#N/A</v>
      </c>
      <c r="EG19" s="849">
        <f t="array" ref="EG19">IFERROR(INDEX('Margin Guidence Table'!$A$1:$AG$10000,MATCH(1,('Margin Guidence Table'!$A$1:$A$10000=EF19)*('Margin Guidence Table'!$I$1:$I$10000&lt;=ROUND($DX$3,0))*('Margin Guidence Table'!$J$1:$J$10000&gt;=ROUND($DX$3,0)),0),MATCH("DATA_POINTS",'Margin Guidence Table'!$A$1:$AG$1,0)),0)</f>
        <v>0</v>
      </c>
      <c r="EH19" s="846" t="str">
        <f t="shared" si="34"/>
        <v>DEFAULT</v>
      </c>
      <c r="EI19" s="846">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6">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0">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0">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0">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0">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0">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0">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6">
        <f>IFERROR(IF(AND($EU$2&lt;&gt;"Enter Spend&gt;&gt;&gt;",$EV$2="EXISTING"),SUMIFS('Existing Customers'!$S:$S,'Existing Customers'!$H:$H,$ET19,'Existing Customers'!$A:$A,$EU$1)*$EU$4,FK19*EU19),0)</f>
        <v>0</v>
      </c>
      <c r="FB19" s="846">
        <f>IFERROR(IF(AND($EU$2&lt;&gt;"Enter Spend&gt;&gt;&gt;",$EV$2="EXISTING"),SUMIFS('Existing Customers'!$U:$U,'Existing Customers'!$H:$H,$ET19,'Existing Customers'!$A:$A,$EU$1)*$EU$4,FL19*EU19),0)</f>
        <v>0</v>
      </c>
      <c r="FC19" s="849" t="e">
        <f>_xlfn.CONCAT('Customer Inputs'!$AG$10,"_",ET19)</f>
        <v>#N/A</v>
      </c>
      <c r="FD19" s="849">
        <f t="array" ref="FD19">IFERROR(INDEX('Margin Guidence Table'!$A$1:$AG$10000,MATCH(1,('Margin Guidence Table'!$A$1:$A$10000=FC19)*('Margin Guidence Table'!$I$1:$I$10000&lt;=ROUND($EU$3,0))*('Margin Guidence Table'!$J$1:$J$10000&gt;=ROUND($EU$3,0)),0),MATCH("DATA_POINTS",'Margin Guidence Table'!$A$1:$AG$1,0)),0)</f>
        <v>0</v>
      </c>
      <c r="FE19" s="846" t="str">
        <f t="shared" si="36"/>
        <v>DEFAULT</v>
      </c>
      <c r="FF19" s="846">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6"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0">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0">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0">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0">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0">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0">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6">
        <f>IFERROR(IF(AND($FR$2&lt;&gt;"Enter Spend&gt;&gt;&gt;",$FS$2="EXISTING"),SUMIFS('Existing Customers'!$S:$S,'Existing Customers'!$H:$H,$FQ19,'Existing Customers'!$A:$A,$FR$1)*$FR$4,GH19*FR19),0)</f>
        <v>0</v>
      </c>
      <c r="FY19" s="846">
        <f>IFERROR(IF(AND($FR$2&lt;&gt;"Enter Spend&gt;&gt;&gt;",$FS$2="EXISTING"),SUMIFS('Existing Customers'!$U:$U,'Existing Customers'!$H:$H,$FQ19,'Existing Customers'!$A:$A,$FR$1)*$FR$4,GI19*FR19),0)</f>
        <v>0</v>
      </c>
      <c r="FZ19" s="849" t="e">
        <f>_xlfn.CONCAT('Customer Inputs'!$AG$11,"_",FQ19)</f>
        <v>#N/A</v>
      </c>
      <c r="GA19" s="849">
        <f t="array" ref="GA19">IFERROR(INDEX('Margin Guidence Table'!$A$1:$AG$10000,MATCH(1,('Margin Guidence Table'!$A$1:$A$10000=FZ19)*('Margin Guidence Table'!$I$1:$I$10000&lt;=ROUND($FR$3,0))*('Margin Guidence Table'!$J$1:$J$10000&gt;=ROUND($FR$3,0)),0),MATCH("DATA_POINTS",'Margin Guidence Table'!$A$1:$AG$1,0)),0)</f>
        <v>0</v>
      </c>
      <c r="GB19" s="846" t="str">
        <f t="shared" si="38"/>
        <v>DEFAULT</v>
      </c>
      <c r="GC19" s="846">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6">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0">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0">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0">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0">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0">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0">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6">
        <f>IFERROR(IF(AND($GO$2&lt;&gt;"Enter Spend&gt;&gt;&gt;",$GP$2="EXISTING"),SUMIFS('Existing Customers'!$S:$S,'Existing Customers'!$H:$H,$GN19,'Existing Customers'!$A:$A,$GO$1)*$GO$4,HE19*GO19),0)</f>
        <v>0</v>
      </c>
      <c r="GV19" s="846">
        <f>IFERROR(IF(AND($GO$2&lt;&gt;"Enter Spend&gt;&gt;&gt;",$GP$2="EXISTING"),SUMIFS('Existing Customers'!$U:$U,'Existing Customers'!$H:$H,$GN19,'Existing Customers'!$A:$A,$GO$1)*$GO$4,HF19*GO19),0)</f>
        <v>0</v>
      </c>
      <c r="GW19" s="849" t="e">
        <f>_xlfn.CONCAT('Customer Inputs'!$AG$12,"_",GN19)</f>
        <v>#N/A</v>
      </c>
      <c r="GX19" s="849">
        <f t="array" ref="GX19">IFERROR(INDEX('Margin Guidence Table'!$A$1:$AG$10000,MATCH(1,('Margin Guidence Table'!$A$1:$A$10000=GW19)*('Margin Guidence Table'!$I$1:$I$10000&lt;=ROUND($GO$3,0))*('Margin Guidence Table'!$J$1:$J$10000&gt;=ROUND($GO$3,0)),0),MATCH("DATA_POINTS",'Margin Guidence Table'!$A$1:$AG$1,0)),0)</f>
        <v>0</v>
      </c>
      <c r="GY19" s="846" t="str">
        <f t="shared" si="40"/>
        <v>DEFAULT</v>
      </c>
      <c r="GZ19" s="846">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6">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0">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0">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0">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0">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0">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0">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6">
        <f>IFERROR(IF(AND($HL$2&lt;&gt;"Enter Spend&gt;&gt;&gt;",$HM$2="EXISTING"),SUMIFS('Existing Customers'!$S:$S,'Existing Customers'!$H:$H,$HK19,'Existing Customers'!$A:$A,$HL$1)*$HL$4,IB19*HL19),0)</f>
        <v>0</v>
      </c>
      <c r="HS19" s="846">
        <f>IFERROR(IF(AND($HL$2&lt;&gt;"Enter Spend&gt;&gt;&gt;",$HM$2="EXISTING"),SUMIFS('Existing Customers'!$U:$U,'Existing Customers'!$H:$H,$HK19,'Existing Customers'!$A:$A,$HL$1)*$HL$4,IC19*HL19),0)</f>
        <v>0</v>
      </c>
      <c r="HT19" s="849" t="e">
        <f>_xlfn.CONCAT('Customer Inputs'!$AG$13,"_",HK19)</f>
        <v>#N/A</v>
      </c>
      <c r="HU19" s="849">
        <f t="array" ref="HU19">IFERROR(INDEX('Margin Guidence Table'!$A$1:$AG$10000,MATCH(1,('Margin Guidence Table'!$A$1:$A$10000=HT19)*('Margin Guidence Table'!$I$1:$I$10000&lt;=ROUND($HL$3,0))*('Margin Guidence Table'!$J$1:$J$10000&gt;=ROUND($HL$3,0)),0),MATCH("DATA_POINTS",'Margin Guidence Table'!$A$1:$AG$1,0)),0)</f>
        <v>0</v>
      </c>
      <c r="HV19" s="846" t="str">
        <f t="shared" si="42"/>
        <v>DEFAULT</v>
      </c>
      <c r="HW19" s="846">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6">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0">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0">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0">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0">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0">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0">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6">
        <f>IFERROR(IF(AND($II$2&lt;&gt;"Enter Spend&gt;&gt;&gt;",$IJ$2="EXISTING"),SUMIFS('Existing Customers'!$S:$S,'Existing Customers'!$H:$H,$IH19,'Existing Customers'!$A:$A,$II$1)*$II$4,IY19*II19),0)</f>
        <v>0</v>
      </c>
      <c r="IP19" s="846">
        <f>IFERROR(IF(AND($II$2&lt;&gt;"Enter Spend&gt;&gt;&gt;",$IJ$2="EXISTING"),SUMIFS('Existing Customers'!$U:$U,'Existing Customers'!$H:$H,$IH19,'Existing Customers'!$A:$A,$II$1)*$II$4,IZ19*II19),0)</f>
        <v>0</v>
      </c>
      <c r="IQ19" s="849" t="e">
        <f>_xlfn.CONCAT('Customer Inputs'!$AG$14,"_",IH19)</f>
        <v>#N/A</v>
      </c>
      <c r="IR19" s="849">
        <f t="array" ref="IR19">IFERROR(INDEX('Margin Guidence Table'!$A$1:$AG$10000,MATCH(1,('Margin Guidence Table'!$A$1:$A$10000=IQ19)*('Margin Guidence Table'!$I$1:$I$10000&lt;=ROUND($II$3,0))*('Margin Guidence Table'!$J$1:$J$10000&gt;=ROUND($II$3,0)),0),MATCH("DATA_POINTS",'Margin Guidence Table'!$A$1:$AG$1,0)),0)</f>
        <v>0</v>
      </c>
      <c r="IS19" s="846" t="str">
        <f t="shared" si="44"/>
        <v>DEFAULT</v>
      </c>
      <c r="IT19" s="846">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6">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0">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0">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0">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0">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0">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0">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6">
        <f>IFERROR(IF(AND($JF$2&lt;&gt;"Enter Spend&gt;&gt;&gt;",$JG$2="EXISTING"),SUMIFS('Existing Customers'!$S:$S,'Existing Customers'!$H:$H,$JE19,'Existing Customers'!$A:$A,$JF$1)*$JF$4,JV19*JF19),0)</f>
        <v>0</v>
      </c>
      <c r="JM19" s="846">
        <f>IFERROR(IF(AND($JF$2&lt;&gt;"Enter Spend&gt;&gt;&gt;",$JG$2="EXISTING"),SUMIFS('Existing Customers'!$U:$U,'Existing Customers'!$H:$H,$JE19,'Existing Customers'!$A:$A,$JF$1)*$JF$4,JW19*JF19),0)</f>
        <v>0</v>
      </c>
      <c r="JN19" s="849" t="e">
        <f>_xlfn.CONCAT('Customer Inputs'!$AG$15,"_",JE19)</f>
        <v>#N/A</v>
      </c>
      <c r="JO19" s="849">
        <f t="array" ref="JO19">IFERROR(INDEX('Margin Guidence Table'!$A$1:$AG$10000,MATCH(1,('Margin Guidence Table'!$A$1:$A$10000=JN19)*('Margin Guidence Table'!$I$1:$I$10000&lt;=ROUND($JF$3,0))*('Margin Guidence Table'!$J$1:$J$10000&gt;=ROUND($JF$3,0)),0),MATCH("DATA_POINTS",'Margin Guidence Table'!$A$1:$AG$1,0)),0)</f>
        <v>0</v>
      </c>
      <c r="JP19" s="846" t="str">
        <f t="shared" si="46"/>
        <v>DEFAULT</v>
      </c>
      <c r="JQ19" s="846">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6">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0">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0">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0">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0">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0">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0">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66">
        <f t="shared" si="0"/>
        <v>0</v>
      </c>
      <c r="H20" s="1466">
        <f t="shared" si="0"/>
        <v>0</v>
      </c>
      <c r="I20" s="395">
        <f t="shared" si="11"/>
        <v>0</v>
      </c>
      <c r="J20" s="394">
        <f t="shared" si="12"/>
        <v>0</v>
      </c>
      <c r="K20" s="844">
        <f t="shared" si="13"/>
        <v>0</v>
      </c>
      <c r="L20" s="844">
        <f t="shared" si="14"/>
        <v>0</v>
      </c>
      <c r="M20" s="844">
        <f t="shared" si="15"/>
        <v>0</v>
      </c>
      <c r="N20" s="1466">
        <f>IF('PIM Model'!D16="$/CS",IFERROR(ROUND(SUM(BT20*$BR$35+CQ20*$CO$35+DN20*$DL$35+EK20*$EI$35+FH20*$FF$35+GE20*$GC$35+HB20*$GZ$35+HY20*$HW$35+IV20*$IT$35+JS20*$JQ$35)/$G$35,2),0),IF('PIM Model'!D16="$/LB",IFERROR(ROUND(SUM(BT20*$BS$35+CQ20*$CP$35+DN20*$DM$35+EK20*$EJ$35+FH20*$FG$35+GE20*$GD$35+HB20*$HA$35+HY20*$HX$35+IV20*$IU$35+JS20*$JR$35)/$H$35,2),0),0))</f>
        <v>0</v>
      </c>
      <c r="O20" s="1466">
        <f>IF('PIM Model'!D16="$/CS",IFERROR(ROUND(SUM(BU20*$BR$35+CR20*$CO$35+DO20*$DL$35+EL20*$EI$35+FI20*$FF$35+GF20*$GC$35+HC20*$GZ$35+HZ20*$HW$35+IW20*$IT$35+JT20*$JQ$35)/$G$35,2),0),IF('PIM Model'!D16="$/LB",IFERROR(ROUND(SUM(BU20*$BS$35+CR20*$CP$35+DO20*$DM$35+EL20*$EJ$35+FI20*$FG$35+GF20*$GD$35+HC20*$HA$35+HZ20*$HX$35+IW20*$IU$35+JT20*$JR$35)/$H$35,2),0),0))</f>
        <v>0</v>
      </c>
      <c r="P20" s="1466">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5">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8" t="e">
        <f>_xlfn.CONCAT('Customer Inputs'!$AG$6,"_",BF20)</f>
        <v>#N/A</v>
      </c>
      <c r="BP20" s="849">
        <f t="array" ref="BP20">IFERROR(INDEX('Margin Guidence Table'!$A$1:$AG$10000,MATCH(1,('Margin Guidence Table'!$A$1:$A$10000=$BO20)*('Margin Guidence Table'!$I$1:$I$10000&lt;=ROUND($BG$3,0))*('Margin Guidence Table'!$J$1:$J$10000&gt;=ROUND($BG$3,0)),0),MATCH("DATA_POINTS",'Margin Guidence Table'!$A$1:$AG$1,0)),0)</f>
        <v>0</v>
      </c>
      <c r="BQ20" s="846" t="str">
        <f t="shared" si="28"/>
        <v>DEFAULT</v>
      </c>
      <c r="BR20" s="846">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6">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0">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0">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0">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0">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0">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0">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6">
        <f>IFERROR(IF(AND($CD$2&lt;&gt;"Enter Spend&gt;&gt;&gt;",$CE$2="EXISTING"),SUMIFS('Existing Customers'!$S:$S,'Existing Customers'!$H:$H,$CC20,'Existing Customers'!$A:$A,$CD$1)*$CD$4,CT20*CD20),0)</f>
        <v>0</v>
      </c>
      <c r="CK20" s="846">
        <f>IFERROR(IF(AND($CD$2&lt;&gt;"Enter Spend&gt;&gt;&gt;",$CE$2="EXISTING"),SUMIFS('Existing Customers'!$U:$U,'Existing Customers'!$H:$H,$CC20,'Existing Customers'!$A:$A,$CD$1)*$CD$4,CU20*CD20),0)</f>
        <v>0</v>
      </c>
      <c r="CL20" s="849" t="e">
        <f>_xlfn.CONCAT('Customer Inputs'!$AG$7,"_",CC20)</f>
        <v>#N/A</v>
      </c>
      <c r="CM20" s="849">
        <f t="array" ref="CM20">IFERROR(INDEX('Margin Guidence Table'!$A$1:$AG$10000,MATCH(1,('Margin Guidence Table'!$A$1:$A$10000=$CL20)*('Margin Guidence Table'!$I$1:$I$10000&lt;=ROUND($CD$3,0))*('Margin Guidence Table'!$J$1:$J$10000&gt;=ROUND($CD$3,0)),0),MATCH("DATA_POINTS",'Margin Guidence Table'!$A$1:$AG$1,0)),0)</f>
        <v>0</v>
      </c>
      <c r="CN20" s="846" t="str">
        <f t="shared" si="30"/>
        <v>DEFAULT</v>
      </c>
      <c r="CO20" s="846">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6">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0">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0">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0">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0">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0">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0">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6">
        <f>IFERROR(IF(AND($DA$2&lt;&gt;"Enter Spend&gt;&gt;&gt;",$DB$2="EXISTING"),SUMIFS('Existing Customers'!$S:$S,'Existing Customers'!$H:$H,$CZ20,'Existing Customers'!$A:$A,$DA$1)*$DA$4,DQ20*DA20),0)</f>
        <v>0</v>
      </c>
      <c r="DH20" s="846">
        <f>IFERROR(IF(AND($DA$2&lt;&gt;"Enter Spend&gt;&gt;&gt;",$DB$2="EXISTING"),SUMIFS('Existing Customers'!$U:$U,'Existing Customers'!$H:$H,$CZ20,'Existing Customers'!$A:$A,$DA$1)*$DA$4,DR20*DA20),0)</f>
        <v>0</v>
      </c>
      <c r="DI20" s="849" t="e">
        <f>_xlfn.CONCAT('Customer Inputs'!$AG$8,"_",CZ20)</f>
        <v>#N/A</v>
      </c>
      <c r="DJ20" s="849">
        <f t="array" ref="DJ20">IFERROR(INDEX('Margin Guidence Table'!$A$1:$AG$10000,MATCH(1,('Margin Guidence Table'!$A$1:$A$10000=DI20)*('Margin Guidence Table'!$I$1:$I$10000&lt;=ROUND($DA$3,0))*('Margin Guidence Table'!$J$1:$J$10000&gt;=ROUND($DA$3,0)),0),MATCH("DATA_POINTS",'Margin Guidence Table'!$A$1:$AG$1,0)),0)</f>
        <v>0</v>
      </c>
      <c r="DK20" s="846" t="str">
        <f t="shared" si="32"/>
        <v>DEFAULT</v>
      </c>
      <c r="DL20" s="846">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6">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0">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0">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0">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0">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0">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0">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6">
        <f>IFERROR(IF(AND($DX$2&lt;&gt;"Enter Spend&gt;&gt;&gt;",$DY$2="EXISTING"),SUMIFS('Existing Customers'!$S:$S,'Existing Customers'!$H:$H,$DY20,'Existing Customers'!$A:$A,$DX$1)*$DX$4,EN20*DX20),0)</f>
        <v>0</v>
      </c>
      <c r="EE20" s="846">
        <f>IFERROR(IF(AND($DX$2&lt;&gt;"Enter Spend&gt;&gt;&gt;",$DY$2="EXISTING"),SUMIFS('Existing Customers'!$U:$U,'Existing Customers'!$H:$H,$DW20,'Existing Customers'!$A:$A,$DX$1)*$DX$4,EO20*DX20),0)</f>
        <v>0</v>
      </c>
      <c r="EF20" s="849" t="e">
        <f>_xlfn.CONCAT('Customer Inputs'!$AG$9,"_",DW20)</f>
        <v>#N/A</v>
      </c>
      <c r="EG20" s="849">
        <f t="array" ref="EG20">IFERROR(INDEX('Margin Guidence Table'!$A$1:$AG$10000,MATCH(1,('Margin Guidence Table'!$A$1:$A$10000=EF20)*('Margin Guidence Table'!$I$1:$I$10000&lt;=ROUND($DX$3,0))*('Margin Guidence Table'!$J$1:$J$10000&gt;=ROUND($DX$3,0)),0),MATCH("DATA_POINTS",'Margin Guidence Table'!$A$1:$AG$1,0)),0)</f>
        <v>0</v>
      </c>
      <c r="EH20" s="846" t="str">
        <f t="shared" si="34"/>
        <v>DEFAULT</v>
      </c>
      <c r="EI20" s="846">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6">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0">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0">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0">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0">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0">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0">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6">
        <f>IFERROR(IF(AND($EU$2&lt;&gt;"Enter Spend&gt;&gt;&gt;",$EV$2="EXISTING"),SUMIFS('Existing Customers'!$S:$S,'Existing Customers'!$H:$H,$ET20,'Existing Customers'!$A:$A,$EU$1)*$EU$4,FK20*EU20),0)</f>
        <v>0</v>
      </c>
      <c r="FB20" s="846">
        <f>IFERROR(IF(AND($EU$2&lt;&gt;"Enter Spend&gt;&gt;&gt;",$EV$2="EXISTING"),SUMIFS('Existing Customers'!$U:$U,'Existing Customers'!$H:$H,$ET20,'Existing Customers'!$A:$A,$EU$1)*$EU$4,FL20*EU20),0)</f>
        <v>0</v>
      </c>
      <c r="FC20" s="849" t="e">
        <f>_xlfn.CONCAT('Customer Inputs'!$AG$10,"_",ET20)</f>
        <v>#N/A</v>
      </c>
      <c r="FD20" s="849">
        <f t="array" ref="FD20">IFERROR(INDEX('Margin Guidence Table'!$A$1:$AG$10000,MATCH(1,('Margin Guidence Table'!$A$1:$A$10000=FC20)*('Margin Guidence Table'!$I$1:$I$10000&lt;=ROUND($EU$3,0))*('Margin Guidence Table'!$J$1:$J$10000&gt;=ROUND($EU$3,0)),0),MATCH("DATA_POINTS",'Margin Guidence Table'!$A$1:$AG$1,0)),0)</f>
        <v>0</v>
      </c>
      <c r="FE20" s="846" t="str">
        <f t="shared" si="36"/>
        <v>DEFAULT</v>
      </c>
      <c r="FF20" s="846">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6"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0">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0">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0">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0">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0">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0">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6">
        <f>IFERROR(IF(AND($FR$2&lt;&gt;"Enter Spend&gt;&gt;&gt;",$FS$2="EXISTING"),SUMIFS('Existing Customers'!$S:$S,'Existing Customers'!$H:$H,$FQ20,'Existing Customers'!$A:$A,$FR$1)*$FR$4,GH20*FR20),0)</f>
        <v>0</v>
      </c>
      <c r="FY20" s="846">
        <f>IFERROR(IF(AND($FR$2&lt;&gt;"Enter Spend&gt;&gt;&gt;",$FS$2="EXISTING"),SUMIFS('Existing Customers'!$U:$U,'Existing Customers'!$H:$H,$FQ20,'Existing Customers'!$A:$A,$FR$1)*$FR$4,GI20*FR20),0)</f>
        <v>0</v>
      </c>
      <c r="FZ20" s="849" t="e">
        <f>_xlfn.CONCAT('Customer Inputs'!$AG$11,"_",FQ20)</f>
        <v>#N/A</v>
      </c>
      <c r="GA20" s="849">
        <f t="array" ref="GA20">IFERROR(INDEX('Margin Guidence Table'!$A$1:$AG$10000,MATCH(1,('Margin Guidence Table'!$A$1:$A$10000=FZ20)*('Margin Guidence Table'!$I$1:$I$10000&lt;=ROUND($FR$3,0))*('Margin Guidence Table'!$J$1:$J$10000&gt;=ROUND($FR$3,0)),0),MATCH("DATA_POINTS",'Margin Guidence Table'!$A$1:$AG$1,0)),0)</f>
        <v>0</v>
      </c>
      <c r="GB20" s="846" t="str">
        <f t="shared" si="38"/>
        <v>DEFAULT</v>
      </c>
      <c r="GC20" s="846">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6">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0">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0">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0">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0">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0">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0">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6">
        <f>IFERROR(IF(AND($GO$2&lt;&gt;"Enter Spend&gt;&gt;&gt;",$GP$2="EXISTING"),SUMIFS('Existing Customers'!$S:$S,'Existing Customers'!$H:$H,$GN20,'Existing Customers'!$A:$A,$GO$1)*$GO$4,HE20*GO20),0)</f>
        <v>0</v>
      </c>
      <c r="GV20" s="846">
        <f>IFERROR(IF(AND($GO$2&lt;&gt;"Enter Spend&gt;&gt;&gt;",$GP$2="EXISTING"),SUMIFS('Existing Customers'!$U:$U,'Existing Customers'!$H:$H,$GN20,'Existing Customers'!$A:$A,$GO$1)*$GO$4,HF20*GO20),0)</f>
        <v>0</v>
      </c>
      <c r="GW20" s="849" t="e">
        <f>_xlfn.CONCAT('Customer Inputs'!$AG$12,"_",GN20)</f>
        <v>#N/A</v>
      </c>
      <c r="GX20" s="849">
        <f t="array" ref="GX20">IFERROR(INDEX('Margin Guidence Table'!$A$1:$AG$10000,MATCH(1,('Margin Guidence Table'!$A$1:$A$10000=GW20)*('Margin Guidence Table'!$I$1:$I$10000&lt;=ROUND($GO$3,0))*('Margin Guidence Table'!$J$1:$J$10000&gt;=ROUND($GO$3,0)),0),MATCH("DATA_POINTS",'Margin Guidence Table'!$A$1:$AG$1,0)),0)</f>
        <v>0</v>
      </c>
      <c r="GY20" s="846" t="str">
        <f t="shared" si="40"/>
        <v>DEFAULT</v>
      </c>
      <c r="GZ20" s="846">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6">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0">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0">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0">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0">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0">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0">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6">
        <f>IFERROR(IF(AND($HL$2&lt;&gt;"Enter Spend&gt;&gt;&gt;",$HM$2="EXISTING"),SUMIFS('Existing Customers'!$S:$S,'Existing Customers'!$H:$H,$HK20,'Existing Customers'!$A:$A,$HL$1)*$HL$4,IB20*HL20),0)</f>
        <v>0</v>
      </c>
      <c r="HS20" s="846">
        <f>IFERROR(IF(AND($HL$2&lt;&gt;"Enter Spend&gt;&gt;&gt;",$HM$2="EXISTING"),SUMIFS('Existing Customers'!$U:$U,'Existing Customers'!$H:$H,$HK20,'Existing Customers'!$A:$A,$HL$1)*$HL$4,IC20*HL20),0)</f>
        <v>0</v>
      </c>
      <c r="HT20" s="849" t="e">
        <f>_xlfn.CONCAT('Customer Inputs'!$AG$13,"_",HK20)</f>
        <v>#N/A</v>
      </c>
      <c r="HU20" s="849">
        <f t="array" ref="HU20">IFERROR(INDEX('Margin Guidence Table'!$A$1:$AG$10000,MATCH(1,('Margin Guidence Table'!$A$1:$A$10000=HT20)*('Margin Guidence Table'!$I$1:$I$10000&lt;=ROUND($HL$3,0))*('Margin Guidence Table'!$J$1:$J$10000&gt;=ROUND($HL$3,0)),0),MATCH("DATA_POINTS",'Margin Guidence Table'!$A$1:$AG$1,0)),0)</f>
        <v>0</v>
      </c>
      <c r="HV20" s="846" t="str">
        <f t="shared" si="42"/>
        <v>DEFAULT</v>
      </c>
      <c r="HW20" s="846">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6">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0">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0">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0">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0">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0">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0">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6">
        <f>IFERROR(IF(AND($II$2&lt;&gt;"Enter Spend&gt;&gt;&gt;",$IJ$2="EXISTING"),SUMIFS('Existing Customers'!$S:$S,'Existing Customers'!$H:$H,$IH20,'Existing Customers'!$A:$A,$II$1)*$II$4,IY20*II20),0)</f>
        <v>0</v>
      </c>
      <c r="IP20" s="846">
        <f>IFERROR(IF(AND($II$2&lt;&gt;"Enter Spend&gt;&gt;&gt;",$IJ$2="EXISTING"),SUMIFS('Existing Customers'!$U:$U,'Existing Customers'!$H:$H,$IH20,'Existing Customers'!$A:$A,$II$1)*$II$4,IZ20*II20),0)</f>
        <v>0</v>
      </c>
      <c r="IQ20" s="849" t="e">
        <f>_xlfn.CONCAT('Customer Inputs'!$AG$14,"_",IH20)</f>
        <v>#N/A</v>
      </c>
      <c r="IR20" s="849">
        <f t="array" ref="IR20">IFERROR(INDEX('Margin Guidence Table'!$A$1:$AG$10000,MATCH(1,('Margin Guidence Table'!$A$1:$A$10000=IQ20)*('Margin Guidence Table'!$I$1:$I$10000&lt;=ROUND($II$3,0))*('Margin Guidence Table'!$J$1:$J$10000&gt;=ROUND($II$3,0)),0),MATCH("DATA_POINTS",'Margin Guidence Table'!$A$1:$AG$1,0)),0)</f>
        <v>0</v>
      </c>
      <c r="IS20" s="846" t="str">
        <f t="shared" si="44"/>
        <v>DEFAULT</v>
      </c>
      <c r="IT20" s="846">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6">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0">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0">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0">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0">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0">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0">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6">
        <f>IFERROR(IF(AND($JF$2&lt;&gt;"Enter Spend&gt;&gt;&gt;",$JG$2="EXISTING"),SUMIFS('Existing Customers'!$S:$S,'Existing Customers'!$H:$H,$JE20,'Existing Customers'!$A:$A,$JF$1)*$JF$4,JV20*JF20),0)</f>
        <v>0</v>
      </c>
      <c r="JM20" s="846">
        <f>IFERROR(IF(AND($JF$2&lt;&gt;"Enter Spend&gt;&gt;&gt;",$JG$2="EXISTING"),SUMIFS('Existing Customers'!$U:$U,'Existing Customers'!$H:$H,$JE20,'Existing Customers'!$A:$A,$JF$1)*$JF$4,JW20*JF20),0)</f>
        <v>0</v>
      </c>
      <c r="JN20" s="849" t="e">
        <f>_xlfn.CONCAT('Customer Inputs'!$AG$15,"_",JE20)</f>
        <v>#N/A</v>
      </c>
      <c r="JO20" s="849">
        <f t="array" ref="JO20">IFERROR(INDEX('Margin Guidence Table'!$A$1:$AG$10000,MATCH(1,('Margin Guidence Table'!$A$1:$A$10000=JN20)*('Margin Guidence Table'!$I$1:$I$10000&lt;=ROUND($JF$3,0))*('Margin Guidence Table'!$J$1:$J$10000&gt;=ROUND($JF$3,0)),0),MATCH("DATA_POINTS",'Margin Guidence Table'!$A$1:$AG$1,0)),0)</f>
        <v>0</v>
      </c>
      <c r="JP20" s="846" t="str">
        <f t="shared" si="46"/>
        <v>DEFAULT</v>
      </c>
      <c r="JQ20" s="846">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6">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0">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0">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0">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0">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0">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0">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66">
        <f t="shared" si="0"/>
        <v>0</v>
      </c>
      <c r="H21" s="1466">
        <f t="shared" si="0"/>
        <v>0</v>
      </c>
      <c r="I21" s="395">
        <f t="shared" si="11"/>
        <v>0</v>
      </c>
      <c r="J21" s="394">
        <f t="shared" si="12"/>
        <v>0</v>
      </c>
      <c r="K21" s="844">
        <f t="shared" si="13"/>
        <v>0</v>
      </c>
      <c r="L21" s="844">
        <f t="shared" si="14"/>
        <v>0</v>
      </c>
      <c r="M21" s="844">
        <f t="shared" si="15"/>
        <v>0</v>
      </c>
      <c r="N21" s="1466">
        <f>IF('PIM Model'!D17="$/CS",IFERROR(ROUND(SUM(BT21*$BR$35+CQ21*$CO$35+DN21*$DL$35+EK21*$EI$35+FH21*$FF$35+GE21*$GC$35+HB21*$GZ$35+HY21*$HW$35+IV21*$IT$35+JS21*$JQ$35)/$G$35,2),0),IF('PIM Model'!D17="$/LB",IFERROR(ROUND(SUM(BT21*$BS$35+CQ21*$CP$35+DN21*$DM$35+EK21*$EJ$35+FH21*$FG$35+GE21*$GD$35+HB21*$HA$35+HY21*$HX$35+IV21*$IU$35+JS21*$JR$35)/$H$35,2),0),0))</f>
        <v>0</v>
      </c>
      <c r="O21" s="1466">
        <f>IF('PIM Model'!D17="$/CS",IFERROR(ROUND(SUM(BU21*$BR$35+CR21*$CO$35+DO21*$DL$35+EL21*$EI$35+FI21*$FF$35+GF21*$GC$35+HC21*$GZ$35+HZ21*$HW$35+IW21*$IT$35+JT21*$JQ$35)/$G$35,2),0),IF('PIM Model'!D17="$/LB",IFERROR(ROUND(SUM(BU21*$BS$35+CR21*$CP$35+DO21*$DM$35+EL21*$EJ$35+FI21*$FG$35+GF21*$GD$35+HC21*$HA$35+HZ21*$HX$35+IW21*$IU$35+JT21*$JR$35)/$H$35,2),0),0))</f>
        <v>0</v>
      </c>
      <c r="P21" s="1466">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5">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8" t="e">
        <f>_xlfn.CONCAT('Customer Inputs'!$AG$6,"_",BF21)</f>
        <v>#N/A</v>
      </c>
      <c r="BP21" s="849">
        <f t="array" ref="BP21">IFERROR(INDEX('Margin Guidence Table'!$A$1:$AG$10000,MATCH(1,('Margin Guidence Table'!$A$1:$A$10000=$BO21)*('Margin Guidence Table'!$I$1:$I$10000&lt;=ROUND($BG$3,0))*('Margin Guidence Table'!$J$1:$J$10000&gt;=ROUND($BG$3,0)),0),MATCH("DATA_POINTS",'Margin Guidence Table'!$A$1:$AG$1,0)),0)</f>
        <v>0</v>
      </c>
      <c r="BQ21" s="846" t="str">
        <f t="shared" si="28"/>
        <v>DEFAULT</v>
      </c>
      <c r="BR21" s="846">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6">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0">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0">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0">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0">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0">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0">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6">
        <f>IFERROR(IF(AND($CD$2&lt;&gt;"Enter Spend&gt;&gt;&gt;",$CE$2="EXISTING"),SUMIFS('Existing Customers'!$S:$S,'Existing Customers'!$H:$H,$CC21,'Existing Customers'!$A:$A,$CD$1)*$CD$4,CT21*CD21),0)</f>
        <v>0</v>
      </c>
      <c r="CK21" s="846">
        <f>IFERROR(IF(AND($CD$2&lt;&gt;"Enter Spend&gt;&gt;&gt;",$CE$2="EXISTING"),SUMIFS('Existing Customers'!$U:$U,'Existing Customers'!$H:$H,$CC21,'Existing Customers'!$A:$A,$CD$1)*$CD$4,CU21*CD21),0)</f>
        <v>0</v>
      </c>
      <c r="CL21" s="849" t="e">
        <f>_xlfn.CONCAT('Customer Inputs'!$AG$7,"_",CC21)</f>
        <v>#N/A</v>
      </c>
      <c r="CM21" s="849">
        <f t="array" ref="CM21">IFERROR(INDEX('Margin Guidence Table'!$A$1:$AG$10000,MATCH(1,('Margin Guidence Table'!$A$1:$A$10000=$CL21)*('Margin Guidence Table'!$I$1:$I$10000&lt;=ROUND($CD$3,0))*('Margin Guidence Table'!$J$1:$J$10000&gt;=ROUND($CD$3,0)),0),MATCH("DATA_POINTS",'Margin Guidence Table'!$A$1:$AG$1,0)),0)</f>
        <v>0</v>
      </c>
      <c r="CN21" s="846" t="str">
        <f t="shared" si="30"/>
        <v>DEFAULT</v>
      </c>
      <c r="CO21" s="846">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6">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0">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0">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0">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0">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0">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0">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6">
        <f>IFERROR(IF(AND($DA$2&lt;&gt;"Enter Spend&gt;&gt;&gt;",$DB$2="EXISTING"),SUMIFS('Existing Customers'!$S:$S,'Existing Customers'!$H:$H,$CZ21,'Existing Customers'!$A:$A,$DA$1)*$DA$4,DQ21*DA21),0)</f>
        <v>0</v>
      </c>
      <c r="DH21" s="846">
        <f>IFERROR(IF(AND($DA$2&lt;&gt;"Enter Spend&gt;&gt;&gt;",$DB$2="EXISTING"),SUMIFS('Existing Customers'!$U:$U,'Existing Customers'!$H:$H,$CZ21,'Existing Customers'!$A:$A,$DA$1)*$DA$4,DR21*DA21),0)</f>
        <v>0</v>
      </c>
      <c r="DI21" s="849" t="e">
        <f>_xlfn.CONCAT('Customer Inputs'!$AG$8,"_",CZ21)</f>
        <v>#N/A</v>
      </c>
      <c r="DJ21" s="849">
        <f t="array" ref="DJ21">IFERROR(INDEX('Margin Guidence Table'!$A$1:$AG$10000,MATCH(1,('Margin Guidence Table'!$A$1:$A$10000=DI21)*('Margin Guidence Table'!$I$1:$I$10000&lt;=ROUND($DA$3,0))*('Margin Guidence Table'!$J$1:$J$10000&gt;=ROUND($DA$3,0)),0),MATCH("DATA_POINTS",'Margin Guidence Table'!$A$1:$AG$1,0)),0)</f>
        <v>0</v>
      </c>
      <c r="DK21" s="846" t="str">
        <f t="shared" si="32"/>
        <v>DEFAULT</v>
      </c>
      <c r="DL21" s="846">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6">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0">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0">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0">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0">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0">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0">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6">
        <f>IFERROR(IF(AND($DX$2&lt;&gt;"Enter Spend&gt;&gt;&gt;",$DY$2="EXISTING"),SUMIFS('Existing Customers'!$S:$S,'Existing Customers'!$H:$H,$DY21,'Existing Customers'!$A:$A,$DX$1)*$DX$4,EN21*DX21),0)</f>
        <v>0</v>
      </c>
      <c r="EE21" s="846">
        <f>IFERROR(IF(AND($DX$2&lt;&gt;"Enter Spend&gt;&gt;&gt;",$DY$2="EXISTING"),SUMIFS('Existing Customers'!$U:$U,'Existing Customers'!$H:$H,$DW21,'Existing Customers'!$A:$A,$DX$1)*$DX$4,EO21*DX21),0)</f>
        <v>0</v>
      </c>
      <c r="EF21" s="849" t="e">
        <f>_xlfn.CONCAT('Customer Inputs'!$AG$9,"_",DW21)</f>
        <v>#N/A</v>
      </c>
      <c r="EG21" s="849">
        <f t="array" ref="EG21">IFERROR(INDEX('Margin Guidence Table'!$A$1:$AG$10000,MATCH(1,('Margin Guidence Table'!$A$1:$A$10000=EF21)*('Margin Guidence Table'!$I$1:$I$10000&lt;=ROUND($DX$3,0))*('Margin Guidence Table'!$J$1:$J$10000&gt;=ROUND($DX$3,0)),0),MATCH("DATA_POINTS",'Margin Guidence Table'!$A$1:$AG$1,0)),0)</f>
        <v>0</v>
      </c>
      <c r="EH21" s="846" t="str">
        <f t="shared" si="34"/>
        <v>DEFAULT</v>
      </c>
      <c r="EI21" s="846">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6">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0">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0">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0">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0">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0">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0">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6">
        <f>IFERROR(IF(AND($EU$2&lt;&gt;"Enter Spend&gt;&gt;&gt;",$EV$2="EXISTING"),SUMIFS('Existing Customers'!$S:$S,'Existing Customers'!$H:$H,$ET21,'Existing Customers'!$A:$A,$EU$1)*$EU$4,FK21*EU21),0)</f>
        <v>0</v>
      </c>
      <c r="FB21" s="846">
        <f>IFERROR(IF(AND($EU$2&lt;&gt;"Enter Spend&gt;&gt;&gt;",$EV$2="EXISTING"),SUMIFS('Existing Customers'!$U:$U,'Existing Customers'!$H:$H,$ET21,'Existing Customers'!$A:$A,$EU$1)*$EU$4,FL21*EU21),0)</f>
        <v>0</v>
      </c>
      <c r="FC21" s="849" t="e">
        <f>_xlfn.CONCAT('Customer Inputs'!$AG$10,"_",ET21)</f>
        <v>#N/A</v>
      </c>
      <c r="FD21" s="849">
        <f t="array" ref="FD21">IFERROR(INDEX('Margin Guidence Table'!$A$1:$AG$10000,MATCH(1,('Margin Guidence Table'!$A$1:$A$10000=FC21)*('Margin Guidence Table'!$I$1:$I$10000&lt;=ROUND($EU$3,0))*('Margin Guidence Table'!$J$1:$J$10000&gt;=ROUND($EU$3,0)),0),MATCH("DATA_POINTS",'Margin Guidence Table'!$A$1:$AG$1,0)),0)</f>
        <v>0</v>
      </c>
      <c r="FE21" s="846" t="str">
        <f t="shared" si="36"/>
        <v>DEFAULT</v>
      </c>
      <c r="FF21" s="846">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6"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0">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0">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0">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0">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0">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0">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6">
        <f>IFERROR(IF(AND($FR$2&lt;&gt;"Enter Spend&gt;&gt;&gt;",$FS$2="EXISTING"),SUMIFS('Existing Customers'!$S:$S,'Existing Customers'!$H:$H,$FQ21,'Existing Customers'!$A:$A,$FR$1)*$FR$4,GH21*FR21),0)</f>
        <v>0</v>
      </c>
      <c r="FY21" s="846">
        <f>IFERROR(IF(AND($FR$2&lt;&gt;"Enter Spend&gt;&gt;&gt;",$FS$2="EXISTING"),SUMIFS('Existing Customers'!$U:$U,'Existing Customers'!$H:$H,$FQ21,'Existing Customers'!$A:$A,$FR$1)*$FR$4,GI21*FR21),0)</f>
        <v>0</v>
      </c>
      <c r="FZ21" s="849" t="e">
        <f>_xlfn.CONCAT('Customer Inputs'!$AG$11,"_",FQ21)</f>
        <v>#N/A</v>
      </c>
      <c r="GA21" s="849">
        <f t="array" ref="GA21">IFERROR(INDEX('Margin Guidence Table'!$A$1:$AG$10000,MATCH(1,('Margin Guidence Table'!$A$1:$A$10000=FZ21)*('Margin Guidence Table'!$I$1:$I$10000&lt;=ROUND($FR$3,0))*('Margin Guidence Table'!$J$1:$J$10000&gt;=ROUND($FR$3,0)),0),MATCH("DATA_POINTS",'Margin Guidence Table'!$A$1:$AG$1,0)),0)</f>
        <v>0</v>
      </c>
      <c r="GB21" s="846" t="str">
        <f t="shared" si="38"/>
        <v>DEFAULT</v>
      </c>
      <c r="GC21" s="846">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6">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0">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0">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0">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0">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0">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0">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6">
        <f>IFERROR(IF(AND($GO$2&lt;&gt;"Enter Spend&gt;&gt;&gt;",$GP$2="EXISTING"),SUMIFS('Existing Customers'!$S:$S,'Existing Customers'!$H:$H,$GN21,'Existing Customers'!$A:$A,$GO$1)*$GO$4,HE21*GO21),0)</f>
        <v>0</v>
      </c>
      <c r="GV21" s="846">
        <f>IFERROR(IF(AND($GO$2&lt;&gt;"Enter Spend&gt;&gt;&gt;",$GP$2="EXISTING"),SUMIFS('Existing Customers'!$U:$U,'Existing Customers'!$H:$H,$GN21,'Existing Customers'!$A:$A,$GO$1)*$GO$4,HF21*GO21),0)</f>
        <v>0</v>
      </c>
      <c r="GW21" s="849" t="e">
        <f>_xlfn.CONCAT('Customer Inputs'!$AG$12,"_",GN21)</f>
        <v>#N/A</v>
      </c>
      <c r="GX21" s="849">
        <f t="array" ref="GX21">IFERROR(INDEX('Margin Guidence Table'!$A$1:$AG$10000,MATCH(1,('Margin Guidence Table'!$A$1:$A$10000=GW21)*('Margin Guidence Table'!$I$1:$I$10000&lt;=ROUND($GO$3,0))*('Margin Guidence Table'!$J$1:$J$10000&gt;=ROUND($GO$3,0)),0),MATCH("DATA_POINTS",'Margin Guidence Table'!$A$1:$AG$1,0)),0)</f>
        <v>0</v>
      </c>
      <c r="GY21" s="846" t="str">
        <f t="shared" si="40"/>
        <v>DEFAULT</v>
      </c>
      <c r="GZ21" s="846">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6">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0">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0">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0">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0">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0">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0">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6">
        <f>IFERROR(IF(AND($HL$2&lt;&gt;"Enter Spend&gt;&gt;&gt;",$HM$2="EXISTING"),SUMIFS('Existing Customers'!$S:$S,'Existing Customers'!$H:$H,$HK21,'Existing Customers'!$A:$A,$HL$1)*$HL$4,IB21*HL21),0)</f>
        <v>0</v>
      </c>
      <c r="HS21" s="846">
        <f>IFERROR(IF(AND($HL$2&lt;&gt;"Enter Spend&gt;&gt;&gt;",$HM$2="EXISTING"),SUMIFS('Existing Customers'!$U:$U,'Existing Customers'!$H:$H,$HK21,'Existing Customers'!$A:$A,$HL$1)*$HL$4,IC21*HL21),0)</f>
        <v>0</v>
      </c>
      <c r="HT21" s="849" t="e">
        <f>_xlfn.CONCAT('Customer Inputs'!$AG$13,"_",HK21)</f>
        <v>#N/A</v>
      </c>
      <c r="HU21" s="849">
        <f t="array" ref="HU21">IFERROR(INDEX('Margin Guidence Table'!$A$1:$AG$10000,MATCH(1,('Margin Guidence Table'!$A$1:$A$10000=HT21)*('Margin Guidence Table'!$I$1:$I$10000&lt;=ROUND($HL$3,0))*('Margin Guidence Table'!$J$1:$J$10000&gt;=ROUND($HL$3,0)),0),MATCH("DATA_POINTS",'Margin Guidence Table'!$A$1:$AG$1,0)),0)</f>
        <v>0</v>
      </c>
      <c r="HV21" s="846" t="str">
        <f t="shared" si="42"/>
        <v>DEFAULT</v>
      </c>
      <c r="HW21" s="846">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6">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0">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0">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0">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0">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0">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0">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6">
        <f>IFERROR(IF(AND($II$2&lt;&gt;"Enter Spend&gt;&gt;&gt;",$IJ$2="EXISTING"),SUMIFS('Existing Customers'!$S:$S,'Existing Customers'!$H:$H,$IH21,'Existing Customers'!$A:$A,$II$1)*$II$4,IY21*II21),0)</f>
        <v>0</v>
      </c>
      <c r="IP21" s="846">
        <f>IFERROR(IF(AND($II$2&lt;&gt;"Enter Spend&gt;&gt;&gt;",$IJ$2="EXISTING"),SUMIFS('Existing Customers'!$U:$U,'Existing Customers'!$H:$H,$IH21,'Existing Customers'!$A:$A,$II$1)*$II$4,IZ21*II21),0)</f>
        <v>0</v>
      </c>
      <c r="IQ21" s="849" t="e">
        <f>_xlfn.CONCAT('Customer Inputs'!$AG$14,"_",IH21)</f>
        <v>#N/A</v>
      </c>
      <c r="IR21" s="849">
        <f t="array" ref="IR21">IFERROR(INDEX('Margin Guidence Table'!$A$1:$AG$10000,MATCH(1,('Margin Guidence Table'!$A$1:$A$10000=IQ21)*('Margin Guidence Table'!$I$1:$I$10000&lt;=ROUND($II$3,0))*('Margin Guidence Table'!$J$1:$J$10000&gt;=ROUND($II$3,0)),0),MATCH("DATA_POINTS",'Margin Guidence Table'!$A$1:$AG$1,0)),0)</f>
        <v>0</v>
      </c>
      <c r="IS21" s="846" t="str">
        <f t="shared" si="44"/>
        <v>DEFAULT</v>
      </c>
      <c r="IT21" s="846">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6">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0">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0">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0">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0">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0">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0">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6">
        <f>IFERROR(IF(AND($JF$2&lt;&gt;"Enter Spend&gt;&gt;&gt;",$JG$2="EXISTING"),SUMIFS('Existing Customers'!$S:$S,'Existing Customers'!$H:$H,$JE21,'Existing Customers'!$A:$A,$JF$1)*$JF$4,JV21*JF21),0)</f>
        <v>0</v>
      </c>
      <c r="JM21" s="846">
        <f>IFERROR(IF(AND($JF$2&lt;&gt;"Enter Spend&gt;&gt;&gt;",$JG$2="EXISTING"),SUMIFS('Existing Customers'!$U:$U,'Existing Customers'!$H:$H,$JE21,'Existing Customers'!$A:$A,$JF$1)*$JF$4,JW21*JF21),0)</f>
        <v>0</v>
      </c>
      <c r="JN21" s="849" t="e">
        <f>_xlfn.CONCAT('Customer Inputs'!$AG$15,"_",JE21)</f>
        <v>#N/A</v>
      </c>
      <c r="JO21" s="849">
        <f t="array" ref="JO21">IFERROR(INDEX('Margin Guidence Table'!$A$1:$AG$10000,MATCH(1,('Margin Guidence Table'!$A$1:$A$10000=JN21)*('Margin Guidence Table'!$I$1:$I$10000&lt;=ROUND($JF$3,0))*('Margin Guidence Table'!$J$1:$J$10000&gt;=ROUND($JF$3,0)),0),MATCH("DATA_POINTS",'Margin Guidence Table'!$A$1:$AG$1,0)),0)</f>
        <v>0</v>
      </c>
      <c r="JP21" s="846" t="str">
        <f t="shared" si="46"/>
        <v>DEFAULT</v>
      </c>
      <c r="JQ21" s="846">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6">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0">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0">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0">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0">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0">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0">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66">
        <f t="shared" si="0"/>
        <v>0</v>
      </c>
      <c r="H22" s="1466">
        <f t="shared" si="0"/>
        <v>0</v>
      </c>
      <c r="I22" s="395">
        <f t="shared" si="11"/>
        <v>0</v>
      </c>
      <c r="J22" s="394">
        <f t="shared" si="12"/>
        <v>0</v>
      </c>
      <c r="K22" s="844">
        <f t="shared" si="13"/>
        <v>0</v>
      </c>
      <c r="L22" s="844">
        <f t="shared" si="14"/>
        <v>0</v>
      </c>
      <c r="M22" s="844">
        <f t="shared" si="15"/>
        <v>0</v>
      </c>
      <c r="N22" s="1466">
        <f>IF('PIM Model'!D18="$/CS",IFERROR(ROUND(SUM(BT22*$BR$35+CQ22*$CO$35+DN22*$DL$35+EK22*$EI$35+FH22*$FF$35+GE22*$GC$35+HB22*$GZ$35+HY22*$HW$35+IV22*$IT$35+JS22*$JQ$35)/$G$35,2),0),IF('PIM Model'!D18="$/LB",IFERROR(ROUND(SUM(BT22*$BS$35+CQ22*$CP$35+DN22*$DM$35+EK22*$EJ$35+FH22*$FG$35+GE22*$GD$35+HB22*$HA$35+HY22*$HX$35+IV22*$IU$35+JS22*$JR$35)/$H$35,2),0),0))</f>
        <v>0</v>
      </c>
      <c r="O22" s="1466">
        <f>IF('PIM Model'!D18="$/CS",IFERROR(ROUND(SUM(BU22*$BR$35+CR22*$CO$35+DO22*$DL$35+EL22*$EI$35+FI22*$FF$35+GF22*$GC$35+HC22*$GZ$35+HZ22*$HW$35+IW22*$IT$35+JT22*$JQ$35)/$G$35,2),0),IF('PIM Model'!D18="$/LB",IFERROR(ROUND(SUM(BU22*$BS$35+CR22*$CP$35+DO22*$DM$35+EL22*$EJ$35+FI22*$FG$35+GF22*$GD$35+HC22*$HA$35+HZ22*$HX$35+IW22*$IU$35+JT22*$JR$35)/$H$35,2),0),0))</f>
        <v>0</v>
      </c>
      <c r="P22" s="1466">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5">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8" t="e">
        <f>_xlfn.CONCAT('Customer Inputs'!$AG$6,"_",BF22)</f>
        <v>#N/A</v>
      </c>
      <c r="BP22" s="849">
        <f t="array" ref="BP22">IFERROR(INDEX('Margin Guidence Table'!$A$1:$AG$10000,MATCH(1,('Margin Guidence Table'!$A$1:$A$10000=$BO22)*('Margin Guidence Table'!$I$1:$I$10000&lt;=ROUND($BG$3,0))*('Margin Guidence Table'!$J$1:$J$10000&gt;=ROUND($BG$3,0)),0),MATCH("DATA_POINTS",'Margin Guidence Table'!$A$1:$AG$1,0)),0)</f>
        <v>0</v>
      </c>
      <c r="BQ22" s="846" t="str">
        <f t="shared" si="28"/>
        <v>DEFAULT</v>
      </c>
      <c r="BR22" s="846">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6">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0">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0">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0">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0">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0">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0">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6">
        <f>IFERROR(IF(AND($CD$2&lt;&gt;"Enter Spend&gt;&gt;&gt;",$CE$2="EXISTING"),SUMIFS('Existing Customers'!$S:$S,'Existing Customers'!$H:$H,$CC22,'Existing Customers'!$A:$A,$CD$1)*$CD$4,CT22*CD22),0)</f>
        <v>0</v>
      </c>
      <c r="CK22" s="846">
        <f>IFERROR(IF(AND($CD$2&lt;&gt;"Enter Spend&gt;&gt;&gt;",$CE$2="EXISTING"),SUMIFS('Existing Customers'!$U:$U,'Existing Customers'!$H:$H,$CC22,'Existing Customers'!$A:$A,$CD$1)*$CD$4,CU22*CD22),0)</f>
        <v>0</v>
      </c>
      <c r="CL22" s="849" t="e">
        <f>_xlfn.CONCAT('Customer Inputs'!$AG$7,"_",CC22)</f>
        <v>#N/A</v>
      </c>
      <c r="CM22" s="849">
        <f t="array" ref="CM22">IFERROR(INDEX('Margin Guidence Table'!$A$1:$AG$10000,MATCH(1,('Margin Guidence Table'!$A$1:$A$10000=$CL22)*('Margin Guidence Table'!$I$1:$I$10000&lt;=ROUND($CD$3,0))*('Margin Guidence Table'!$J$1:$J$10000&gt;=ROUND($CD$3,0)),0),MATCH("DATA_POINTS",'Margin Guidence Table'!$A$1:$AG$1,0)),0)</f>
        <v>0</v>
      </c>
      <c r="CN22" s="846" t="str">
        <f t="shared" si="30"/>
        <v>DEFAULT</v>
      </c>
      <c r="CO22" s="846">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6">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0">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0">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0">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0">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0">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0">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6">
        <f>IFERROR(IF(AND($DA$2&lt;&gt;"Enter Spend&gt;&gt;&gt;",$DB$2="EXISTING"),SUMIFS('Existing Customers'!$S:$S,'Existing Customers'!$H:$H,$CZ22,'Existing Customers'!$A:$A,$DA$1)*$DA$4,DQ22*DA22),0)</f>
        <v>0</v>
      </c>
      <c r="DH22" s="846">
        <f>IFERROR(IF(AND($DA$2&lt;&gt;"Enter Spend&gt;&gt;&gt;",$DB$2="EXISTING"),SUMIFS('Existing Customers'!$U:$U,'Existing Customers'!$H:$H,$CZ22,'Existing Customers'!$A:$A,$DA$1)*$DA$4,DR22*DA22),0)</f>
        <v>0</v>
      </c>
      <c r="DI22" s="849" t="e">
        <f>_xlfn.CONCAT('Customer Inputs'!$AG$8,"_",CZ22)</f>
        <v>#N/A</v>
      </c>
      <c r="DJ22" s="849">
        <f t="array" ref="DJ22">IFERROR(INDEX('Margin Guidence Table'!$A$1:$AG$10000,MATCH(1,('Margin Guidence Table'!$A$1:$A$10000=DI22)*('Margin Guidence Table'!$I$1:$I$10000&lt;=ROUND($DA$3,0))*('Margin Guidence Table'!$J$1:$J$10000&gt;=ROUND($DA$3,0)),0),MATCH("DATA_POINTS",'Margin Guidence Table'!$A$1:$AG$1,0)),0)</f>
        <v>0</v>
      </c>
      <c r="DK22" s="846" t="str">
        <f t="shared" si="32"/>
        <v>DEFAULT</v>
      </c>
      <c r="DL22" s="846">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6">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0">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0">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0">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0">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0">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0">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6">
        <f>IFERROR(IF(AND($DX$2&lt;&gt;"Enter Spend&gt;&gt;&gt;",$DY$2="EXISTING"),SUMIFS('Existing Customers'!$S:$S,'Existing Customers'!$H:$H,$DY22,'Existing Customers'!$A:$A,$DX$1)*$DX$4,EN22*DX22),0)</f>
        <v>0</v>
      </c>
      <c r="EE22" s="846">
        <f>IFERROR(IF(AND($DX$2&lt;&gt;"Enter Spend&gt;&gt;&gt;",$DY$2="EXISTING"),SUMIFS('Existing Customers'!$U:$U,'Existing Customers'!$H:$H,$DW22,'Existing Customers'!$A:$A,$DX$1)*$DX$4,EO22*DX22),0)</f>
        <v>0</v>
      </c>
      <c r="EF22" s="849" t="e">
        <f>_xlfn.CONCAT('Customer Inputs'!$AG$9,"_",DW22)</f>
        <v>#N/A</v>
      </c>
      <c r="EG22" s="849">
        <f t="array" ref="EG22">IFERROR(INDEX('Margin Guidence Table'!$A$1:$AG$10000,MATCH(1,('Margin Guidence Table'!$A$1:$A$10000=EF22)*('Margin Guidence Table'!$I$1:$I$10000&lt;=ROUND($DX$3,0))*('Margin Guidence Table'!$J$1:$J$10000&gt;=ROUND($DX$3,0)),0),MATCH("DATA_POINTS",'Margin Guidence Table'!$A$1:$AG$1,0)),0)</f>
        <v>0</v>
      </c>
      <c r="EH22" s="846" t="str">
        <f t="shared" si="34"/>
        <v>DEFAULT</v>
      </c>
      <c r="EI22" s="846">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6">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0">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0">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0">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0">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0">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0">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6">
        <f>IFERROR(IF(AND($EU$2&lt;&gt;"Enter Spend&gt;&gt;&gt;",$EV$2="EXISTING"),SUMIFS('Existing Customers'!$S:$S,'Existing Customers'!$H:$H,$ET22,'Existing Customers'!$A:$A,$EU$1)*$EU$4,FK22*EU22),0)</f>
        <v>0</v>
      </c>
      <c r="FB22" s="846">
        <f>IFERROR(IF(AND($EU$2&lt;&gt;"Enter Spend&gt;&gt;&gt;",$EV$2="EXISTING"),SUMIFS('Existing Customers'!$U:$U,'Existing Customers'!$H:$H,$ET22,'Existing Customers'!$A:$A,$EU$1)*$EU$4,FL22*EU22),0)</f>
        <v>0</v>
      </c>
      <c r="FC22" s="849" t="e">
        <f>_xlfn.CONCAT('Customer Inputs'!$AG$10,"_",ET22)</f>
        <v>#N/A</v>
      </c>
      <c r="FD22" s="849">
        <f t="array" ref="FD22">IFERROR(INDEX('Margin Guidence Table'!$A$1:$AG$10000,MATCH(1,('Margin Guidence Table'!$A$1:$A$10000=FC22)*('Margin Guidence Table'!$I$1:$I$10000&lt;=ROUND($EU$3,0))*('Margin Guidence Table'!$J$1:$J$10000&gt;=ROUND($EU$3,0)),0),MATCH("DATA_POINTS",'Margin Guidence Table'!$A$1:$AG$1,0)),0)</f>
        <v>0</v>
      </c>
      <c r="FE22" s="846" t="str">
        <f t="shared" si="36"/>
        <v>DEFAULT</v>
      </c>
      <c r="FF22" s="846">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6"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0">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0">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0">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0">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0">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0">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6">
        <f>IFERROR(IF(AND($FR$2&lt;&gt;"Enter Spend&gt;&gt;&gt;",$FS$2="EXISTING"),SUMIFS('Existing Customers'!$S:$S,'Existing Customers'!$H:$H,$FQ22,'Existing Customers'!$A:$A,$FR$1)*$FR$4,GH22*FR22),0)</f>
        <v>0</v>
      </c>
      <c r="FY22" s="846">
        <f>IFERROR(IF(AND($FR$2&lt;&gt;"Enter Spend&gt;&gt;&gt;",$FS$2="EXISTING"),SUMIFS('Existing Customers'!$U:$U,'Existing Customers'!$H:$H,$FQ22,'Existing Customers'!$A:$A,$FR$1)*$FR$4,GI22*FR22),0)</f>
        <v>0</v>
      </c>
      <c r="FZ22" s="849" t="e">
        <f>_xlfn.CONCAT('Customer Inputs'!$AG$11,"_",FQ22)</f>
        <v>#N/A</v>
      </c>
      <c r="GA22" s="849">
        <f t="array" ref="GA22">IFERROR(INDEX('Margin Guidence Table'!$A$1:$AG$10000,MATCH(1,('Margin Guidence Table'!$A$1:$A$10000=FZ22)*('Margin Guidence Table'!$I$1:$I$10000&lt;=ROUND($FR$3,0))*('Margin Guidence Table'!$J$1:$J$10000&gt;=ROUND($FR$3,0)),0),MATCH("DATA_POINTS",'Margin Guidence Table'!$A$1:$AG$1,0)),0)</f>
        <v>0</v>
      </c>
      <c r="GB22" s="846" t="str">
        <f t="shared" si="38"/>
        <v>DEFAULT</v>
      </c>
      <c r="GC22" s="846">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6">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0">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0">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0">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0">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0">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0">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6">
        <f>IFERROR(IF(AND($GO$2&lt;&gt;"Enter Spend&gt;&gt;&gt;",$GP$2="EXISTING"),SUMIFS('Existing Customers'!$S:$S,'Existing Customers'!$H:$H,$GN22,'Existing Customers'!$A:$A,$GO$1)*$GO$4,HE22*GO22),0)</f>
        <v>0</v>
      </c>
      <c r="GV22" s="846">
        <f>IFERROR(IF(AND($GO$2&lt;&gt;"Enter Spend&gt;&gt;&gt;",$GP$2="EXISTING"),SUMIFS('Existing Customers'!$U:$U,'Existing Customers'!$H:$H,$GN22,'Existing Customers'!$A:$A,$GO$1)*$GO$4,HF22*GO22),0)</f>
        <v>0</v>
      </c>
      <c r="GW22" s="849" t="e">
        <f>_xlfn.CONCAT('Customer Inputs'!$AG$12,"_",GN22)</f>
        <v>#N/A</v>
      </c>
      <c r="GX22" s="849">
        <f t="array" ref="GX22">IFERROR(INDEX('Margin Guidence Table'!$A$1:$AG$10000,MATCH(1,('Margin Guidence Table'!$A$1:$A$10000=GW22)*('Margin Guidence Table'!$I$1:$I$10000&lt;=ROUND($GO$3,0))*('Margin Guidence Table'!$J$1:$J$10000&gt;=ROUND($GO$3,0)),0),MATCH("DATA_POINTS",'Margin Guidence Table'!$A$1:$AG$1,0)),0)</f>
        <v>0</v>
      </c>
      <c r="GY22" s="846" t="str">
        <f t="shared" si="40"/>
        <v>DEFAULT</v>
      </c>
      <c r="GZ22" s="846">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6">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0">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0">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0">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0">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0">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0">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6">
        <f>IFERROR(IF(AND($HL$2&lt;&gt;"Enter Spend&gt;&gt;&gt;",$HM$2="EXISTING"),SUMIFS('Existing Customers'!$S:$S,'Existing Customers'!$H:$H,$HK22,'Existing Customers'!$A:$A,$HL$1)*$HL$4,IB22*HL22),0)</f>
        <v>0</v>
      </c>
      <c r="HS22" s="846">
        <f>IFERROR(IF(AND($HL$2&lt;&gt;"Enter Spend&gt;&gt;&gt;",$HM$2="EXISTING"),SUMIFS('Existing Customers'!$U:$U,'Existing Customers'!$H:$H,$HK22,'Existing Customers'!$A:$A,$HL$1)*$HL$4,IC22*HL22),0)</f>
        <v>0</v>
      </c>
      <c r="HT22" s="849" t="e">
        <f>_xlfn.CONCAT('Customer Inputs'!$AG$13,"_",HK22)</f>
        <v>#N/A</v>
      </c>
      <c r="HU22" s="849">
        <f t="array" ref="HU22">IFERROR(INDEX('Margin Guidence Table'!$A$1:$AG$10000,MATCH(1,('Margin Guidence Table'!$A$1:$A$10000=HT22)*('Margin Guidence Table'!$I$1:$I$10000&lt;=ROUND($HL$3,0))*('Margin Guidence Table'!$J$1:$J$10000&gt;=ROUND($HL$3,0)),0),MATCH("DATA_POINTS",'Margin Guidence Table'!$A$1:$AG$1,0)),0)</f>
        <v>0</v>
      </c>
      <c r="HV22" s="846" t="str">
        <f t="shared" si="42"/>
        <v>DEFAULT</v>
      </c>
      <c r="HW22" s="846">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6">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0">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0">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0">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0">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0">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0">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6">
        <f>IFERROR(IF(AND($II$2&lt;&gt;"Enter Spend&gt;&gt;&gt;",$IJ$2="EXISTING"),SUMIFS('Existing Customers'!$S:$S,'Existing Customers'!$H:$H,$IH22,'Existing Customers'!$A:$A,$II$1)*$II$4,IY22*II22),0)</f>
        <v>0</v>
      </c>
      <c r="IP22" s="846">
        <f>IFERROR(IF(AND($II$2&lt;&gt;"Enter Spend&gt;&gt;&gt;",$IJ$2="EXISTING"),SUMIFS('Existing Customers'!$U:$U,'Existing Customers'!$H:$H,$IH22,'Existing Customers'!$A:$A,$II$1)*$II$4,IZ22*II22),0)</f>
        <v>0</v>
      </c>
      <c r="IQ22" s="849" t="e">
        <f>_xlfn.CONCAT('Customer Inputs'!$AG$14,"_",IH22)</f>
        <v>#N/A</v>
      </c>
      <c r="IR22" s="849">
        <f t="array" ref="IR22">IFERROR(INDEX('Margin Guidence Table'!$A$1:$AG$10000,MATCH(1,('Margin Guidence Table'!$A$1:$A$10000=IQ22)*('Margin Guidence Table'!$I$1:$I$10000&lt;=ROUND($II$3,0))*('Margin Guidence Table'!$J$1:$J$10000&gt;=ROUND($II$3,0)),0),MATCH("DATA_POINTS",'Margin Guidence Table'!$A$1:$AG$1,0)),0)</f>
        <v>0</v>
      </c>
      <c r="IS22" s="846" t="str">
        <f t="shared" si="44"/>
        <v>DEFAULT</v>
      </c>
      <c r="IT22" s="846">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6">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0">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0">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0">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0">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0">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0">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6">
        <f>IFERROR(IF(AND($JF$2&lt;&gt;"Enter Spend&gt;&gt;&gt;",$JG$2="EXISTING"),SUMIFS('Existing Customers'!$S:$S,'Existing Customers'!$H:$H,$JE22,'Existing Customers'!$A:$A,$JF$1)*$JF$4,JV22*JF22),0)</f>
        <v>0</v>
      </c>
      <c r="JM22" s="846">
        <f>IFERROR(IF(AND($JF$2&lt;&gt;"Enter Spend&gt;&gt;&gt;",$JG$2="EXISTING"),SUMIFS('Existing Customers'!$U:$U,'Existing Customers'!$H:$H,$JE22,'Existing Customers'!$A:$A,$JF$1)*$JF$4,JW22*JF22),0)</f>
        <v>0</v>
      </c>
      <c r="JN22" s="849" t="e">
        <f>_xlfn.CONCAT('Customer Inputs'!$AG$15,"_",JE22)</f>
        <v>#N/A</v>
      </c>
      <c r="JO22" s="849">
        <f t="array" ref="JO22">IFERROR(INDEX('Margin Guidence Table'!$A$1:$AG$10000,MATCH(1,('Margin Guidence Table'!$A$1:$A$10000=JN22)*('Margin Guidence Table'!$I$1:$I$10000&lt;=ROUND($JF$3,0))*('Margin Guidence Table'!$J$1:$J$10000&gt;=ROUND($JF$3,0)),0),MATCH("DATA_POINTS",'Margin Guidence Table'!$A$1:$AG$1,0)),0)</f>
        <v>0</v>
      </c>
      <c r="JP22" s="846" t="str">
        <f t="shared" si="46"/>
        <v>DEFAULT</v>
      </c>
      <c r="JQ22" s="846">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6">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0">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0">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0">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0">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0">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0">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66">
        <f t="shared" si="0"/>
        <v>0</v>
      </c>
      <c r="H23" s="1466">
        <f t="shared" si="0"/>
        <v>0</v>
      </c>
      <c r="I23" s="395">
        <f t="shared" si="11"/>
        <v>0</v>
      </c>
      <c r="J23" s="394">
        <f t="shared" si="12"/>
        <v>0</v>
      </c>
      <c r="K23" s="844">
        <f t="shared" si="13"/>
        <v>0</v>
      </c>
      <c r="L23" s="844">
        <f t="shared" si="14"/>
        <v>0</v>
      </c>
      <c r="M23" s="844">
        <f t="shared" si="15"/>
        <v>0</v>
      </c>
      <c r="N23" s="1466">
        <f>IF('PIM Model'!D19="$/CS",IFERROR(ROUND(SUM(BT23*$BR$35+CQ23*$CO$35+DN23*$DL$35+EK23*$EI$35+FH23*$FF$35+GE23*$GC$35+HB23*$GZ$35+HY23*$HW$35+IV23*$IT$35+JS23*$JQ$35)/$G$35,2),0),IF('PIM Model'!D19="$/LB",IFERROR(ROUND(SUM(BT23*$BS$35+CQ23*$CP$35+DN23*$DM$35+EK23*$EJ$35+FH23*$FG$35+GE23*$GD$35+HB23*$HA$35+HY23*$HX$35+IV23*$IU$35+JS23*$JR$35)/$H$35,2),0),0))</f>
        <v>0</v>
      </c>
      <c r="O23" s="1466">
        <f>IF('PIM Model'!D19="$/CS",IFERROR(ROUND(SUM(BU23*$BR$35+CR23*$CO$35+DO23*$DL$35+EL23*$EI$35+FI23*$FF$35+GF23*$GC$35+HC23*$GZ$35+HZ23*$HW$35+IW23*$IT$35+JT23*$JQ$35)/$G$35,2),0),IF('PIM Model'!D19="$/LB",IFERROR(ROUND(SUM(BU23*$BS$35+CR23*$CP$35+DO23*$DM$35+EL23*$EJ$35+FI23*$FG$35+GF23*$GD$35+HC23*$HA$35+HZ23*$HX$35+IW23*$IU$35+JT23*$JR$35)/$H$35,2),0),0))</f>
        <v>0</v>
      </c>
      <c r="P23" s="1466">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5">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8" t="e">
        <f>_xlfn.CONCAT('Customer Inputs'!$AG$6,"_",BF23)</f>
        <v>#N/A</v>
      </c>
      <c r="BP23" s="849">
        <f t="array" ref="BP23">IFERROR(INDEX('Margin Guidence Table'!$A$1:$AG$10000,MATCH(1,('Margin Guidence Table'!$A$1:$A$10000=$BO23)*('Margin Guidence Table'!$I$1:$I$10000&lt;=ROUND($BG$3,0))*('Margin Guidence Table'!$J$1:$J$10000&gt;=ROUND($BG$3,0)),0),MATCH("DATA_POINTS",'Margin Guidence Table'!$A$1:$AG$1,0)),0)</f>
        <v>0</v>
      </c>
      <c r="BQ23" s="846" t="str">
        <f t="shared" si="28"/>
        <v>DEFAULT</v>
      </c>
      <c r="BR23" s="846">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6">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0">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0">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0">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0">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0">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0">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6">
        <f>IFERROR(IF(AND($CD$2&lt;&gt;"Enter Spend&gt;&gt;&gt;",$CE$2="EXISTING"),SUMIFS('Existing Customers'!$S:$S,'Existing Customers'!$H:$H,$CC23,'Existing Customers'!$A:$A,$CD$1)*$CD$4,CT23*CD23),0)</f>
        <v>0</v>
      </c>
      <c r="CK23" s="846">
        <f>IFERROR(IF(AND($CD$2&lt;&gt;"Enter Spend&gt;&gt;&gt;",$CE$2="EXISTING"),SUMIFS('Existing Customers'!$U:$U,'Existing Customers'!$H:$H,$CC23,'Existing Customers'!$A:$A,$CD$1)*$CD$4,CU23*CD23),0)</f>
        <v>0</v>
      </c>
      <c r="CL23" s="849" t="e">
        <f>_xlfn.CONCAT('Customer Inputs'!$AG$7,"_",CC23)</f>
        <v>#N/A</v>
      </c>
      <c r="CM23" s="849">
        <f t="array" ref="CM23">IFERROR(INDEX('Margin Guidence Table'!$A$1:$AG$10000,MATCH(1,('Margin Guidence Table'!$A$1:$A$10000=$CL23)*('Margin Guidence Table'!$I$1:$I$10000&lt;=ROUND($CD$3,0))*('Margin Guidence Table'!$J$1:$J$10000&gt;=ROUND($CD$3,0)),0),MATCH("DATA_POINTS",'Margin Guidence Table'!$A$1:$AG$1,0)),0)</f>
        <v>0</v>
      </c>
      <c r="CN23" s="846" t="str">
        <f t="shared" si="30"/>
        <v>DEFAULT</v>
      </c>
      <c r="CO23" s="846">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6">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0">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0">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0">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0">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0">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0">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6">
        <f>IFERROR(IF(AND($DA$2&lt;&gt;"Enter Spend&gt;&gt;&gt;",$DB$2="EXISTING"),SUMIFS('Existing Customers'!$S:$S,'Existing Customers'!$H:$H,$CZ23,'Existing Customers'!$A:$A,$DA$1)*$DA$4,DQ23*DA23),0)</f>
        <v>0</v>
      </c>
      <c r="DH23" s="846">
        <f>IFERROR(IF(AND($DA$2&lt;&gt;"Enter Spend&gt;&gt;&gt;",$DB$2="EXISTING"),SUMIFS('Existing Customers'!$U:$U,'Existing Customers'!$H:$H,$CZ23,'Existing Customers'!$A:$A,$DA$1)*$DA$4,DR23*DA23),0)</f>
        <v>0</v>
      </c>
      <c r="DI23" s="849" t="e">
        <f>_xlfn.CONCAT('Customer Inputs'!$AG$8,"_",CZ23)</f>
        <v>#N/A</v>
      </c>
      <c r="DJ23" s="849">
        <f t="array" ref="DJ23">IFERROR(INDEX('Margin Guidence Table'!$A$1:$AG$10000,MATCH(1,('Margin Guidence Table'!$A$1:$A$10000=DI23)*('Margin Guidence Table'!$I$1:$I$10000&lt;=ROUND($DA$3,0))*('Margin Guidence Table'!$J$1:$J$10000&gt;=ROUND($DA$3,0)),0),MATCH("DATA_POINTS",'Margin Guidence Table'!$A$1:$AG$1,0)),0)</f>
        <v>0</v>
      </c>
      <c r="DK23" s="846" t="str">
        <f t="shared" si="32"/>
        <v>DEFAULT</v>
      </c>
      <c r="DL23" s="846">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6">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0">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0">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0">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0">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0">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0">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6">
        <f>IFERROR(IF(AND($DX$2&lt;&gt;"Enter Spend&gt;&gt;&gt;",$DY$2="EXISTING"),SUMIFS('Existing Customers'!$S:$S,'Existing Customers'!$H:$H,$DY23,'Existing Customers'!$A:$A,$DX$1)*$DX$4,EN23*DX23),0)</f>
        <v>0</v>
      </c>
      <c r="EE23" s="846">
        <f>IFERROR(IF(AND($DX$2&lt;&gt;"Enter Spend&gt;&gt;&gt;",$DY$2="EXISTING"),SUMIFS('Existing Customers'!$U:$U,'Existing Customers'!$H:$H,$DW23,'Existing Customers'!$A:$A,$DX$1)*$DX$4,EO23*DX23),0)</f>
        <v>0</v>
      </c>
      <c r="EF23" s="849" t="e">
        <f>_xlfn.CONCAT('Customer Inputs'!$AG$9,"_",DW23)</f>
        <v>#N/A</v>
      </c>
      <c r="EG23" s="849">
        <f t="array" ref="EG23">IFERROR(INDEX('Margin Guidence Table'!$A$1:$AG$10000,MATCH(1,('Margin Guidence Table'!$A$1:$A$10000=EF23)*('Margin Guidence Table'!$I$1:$I$10000&lt;=ROUND($DX$3,0))*('Margin Guidence Table'!$J$1:$J$10000&gt;=ROUND($DX$3,0)),0),MATCH("DATA_POINTS",'Margin Guidence Table'!$A$1:$AG$1,0)),0)</f>
        <v>0</v>
      </c>
      <c r="EH23" s="846" t="str">
        <f t="shared" si="34"/>
        <v>DEFAULT</v>
      </c>
      <c r="EI23" s="846">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6">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0">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0">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0">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0">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0">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0">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6">
        <f>IFERROR(IF(AND($EU$2&lt;&gt;"Enter Spend&gt;&gt;&gt;",$EV$2="EXISTING"),SUMIFS('Existing Customers'!$S:$S,'Existing Customers'!$H:$H,$ET23,'Existing Customers'!$A:$A,$EU$1)*$EU$4,FK23*EU23),0)</f>
        <v>0</v>
      </c>
      <c r="FB23" s="846">
        <f>IFERROR(IF(AND($EU$2&lt;&gt;"Enter Spend&gt;&gt;&gt;",$EV$2="EXISTING"),SUMIFS('Existing Customers'!$U:$U,'Existing Customers'!$H:$H,$ET23,'Existing Customers'!$A:$A,$EU$1)*$EU$4,FL23*EU23),0)</f>
        <v>0</v>
      </c>
      <c r="FC23" s="849" t="e">
        <f>_xlfn.CONCAT('Customer Inputs'!$AG$10,"_",ET23)</f>
        <v>#N/A</v>
      </c>
      <c r="FD23" s="849">
        <f t="array" ref="FD23">IFERROR(INDEX('Margin Guidence Table'!$A$1:$AG$10000,MATCH(1,('Margin Guidence Table'!$A$1:$A$10000=FC23)*('Margin Guidence Table'!$I$1:$I$10000&lt;=ROUND($EU$3,0))*('Margin Guidence Table'!$J$1:$J$10000&gt;=ROUND($EU$3,0)),0),MATCH("DATA_POINTS",'Margin Guidence Table'!$A$1:$AG$1,0)),0)</f>
        <v>0</v>
      </c>
      <c r="FE23" s="846" t="str">
        <f t="shared" si="36"/>
        <v>DEFAULT</v>
      </c>
      <c r="FF23" s="846">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6"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0">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0">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0">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0">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0">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0">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6">
        <f>IFERROR(IF(AND($FR$2&lt;&gt;"Enter Spend&gt;&gt;&gt;",$FS$2="EXISTING"),SUMIFS('Existing Customers'!$S:$S,'Existing Customers'!$H:$H,$FQ23,'Existing Customers'!$A:$A,$FR$1)*$FR$4,GH23*FR23),0)</f>
        <v>0</v>
      </c>
      <c r="FY23" s="846">
        <f>IFERROR(IF(AND($FR$2&lt;&gt;"Enter Spend&gt;&gt;&gt;",$FS$2="EXISTING"),SUMIFS('Existing Customers'!$U:$U,'Existing Customers'!$H:$H,$FQ23,'Existing Customers'!$A:$A,$FR$1)*$FR$4,GI23*FR23),0)</f>
        <v>0</v>
      </c>
      <c r="FZ23" s="849" t="e">
        <f>_xlfn.CONCAT('Customer Inputs'!$AG$11,"_",FQ23)</f>
        <v>#N/A</v>
      </c>
      <c r="GA23" s="849">
        <f t="array" ref="GA23">IFERROR(INDEX('Margin Guidence Table'!$A$1:$AG$10000,MATCH(1,('Margin Guidence Table'!$A$1:$A$10000=FZ23)*('Margin Guidence Table'!$I$1:$I$10000&lt;=ROUND($FR$3,0))*('Margin Guidence Table'!$J$1:$J$10000&gt;=ROUND($FR$3,0)),0),MATCH("DATA_POINTS",'Margin Guidence Table'!$A$1:$AG$1,0)),0)</f>
        <v>0</v>
      </c>
      <c r="GB23" s="846" t="str">
        <f t="shared" si="38"/>
        <v>DEFAULT</v>
      </c>
      <c r="GC23" s="846">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6">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0">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0">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0">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0">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0">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0">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6">
        <f>IFERROR(IF(AND($GO$2&lt;&gt;"Enter Spend&gt;&gt;&gt;",$GP$2="EXISTING"),SUMIFS('Existing Customers'!$S:$S,'Existing Customers'!$H:$H,$GN23,'Existing Customers'!$A:$A,$GO$1)*$GO$4,HE23*GO23),0)</f>
        <v>0</v>
      </c>
      <c r="GV23" s="846">
        <f>IFERROR(IF(AND($GO$2&lt;&gt;"Enter Spend&gt;&gt;&gt;",$GP$2="EXISTING"),SUMIFS('Existing Customers'!$U:$U,'Existing Customers'!$H:$H,$GN23,'Existing Customers'!$A:$A,$GO$1)*$GO$4,HF23*GO23),0)</f>
        <v>0</v>
      </c>
      <c r="GW23" s="849" t="e">
        <f>_xlfn.CONCAT('Customer Inputs'!$AG$12,"_",GN23)</f>
        <v>#N/A</v>
      </c>
      <c r="GX23" s="849">
        <f t="array" ref="GX23">IFERROR(INDEX('Margin Guidence Table'!$A$1:$AG$10000,MATCH(1,('Margin Guidence Table'!$A$1:$A$10000=GW23)*('Margin Guidence Table'!$I$1:$I$10000&lt;=ROUND($GO$3,0))*('Margin Guidence Table'!$J$1:$J$10000&gt;=ROUND($GO$3,0)),0),MATCH("DATA_POINTS",'Margin Guidence Table'!$A$1:$AG$1,0)),0)</f>
        <v>0</v>
      </c>
      <c r="GY23" s="846" t="str">
        <f t="shared" si="40"/>
        <v>DEFAULT</v>
      </c>
      <c r="GZ23" s="846">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6">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0">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0">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0">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0">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0">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0">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6">
        <f>IFERROR(IF(AND($HL$2&lt;&gt;"Enter Spend&gt;&gt;&gt;",$HM$2="EXISTING"),SUMIFS('Existing Customers'!$S:$S,'Existing Customers'!$H:$H,$HK23,'Existing Customers'!$A:$A,$HL$1)*$HL$4,IB23*HL23),0)</f>
        <v>0</v>
      </c>
      <c r="HS23" s="846">
        <f>IFERROR(IF(AND($HL$2&lt;&gt;"Enter Spend&gt;&gt;&gt;",$HM$2="EXISTING"),SUMIFS('Existing Customers'!$U:$U,'Existing Customers'!$H:$H,$HK23,'Existing Customers'!$A:$A,$HL$1)*$HL$4,IC23*HL23),0)</f>
        <v>0</v>
      </c>
      <c r="HT23" s="849" t="e">
        <f>_xlfn.CONCAT('Customer Inputs'!$AG$13,"_",HK23)</f>
        <v>#N/A</v>
      </c>
      <c r="HU23" s="849">
        <f t="array" ref="HU23">IFERROR(INDEX('Margin Guidence Table'!$A$1:$AG$10000,MATCH(1,('Margin Guidence Table'!$A$1:$A$10000=HT23)*('Margin Guidence Table'!$I$1:$I$10000&lt;=ROUND($HL$3,0))*('Margin Guidence Table'!$J$1:$J$10000&gt;=ROUND($HL$3,0)),0),MATCH("DATA_POINTS",'Margin Guidence Table'!$A$1:$AG$1,0)),0)</f>
        <v>0</v>
      </c>
      <c r="HV23" s="846" t="str">
        <f t="shared" si="42"/>
        <v>DEFAULT</v>
      </c>
      <c r="HW23" s="846">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6">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0">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0">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0">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0">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0">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0">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6">
        <f>IFERROR(IF(AND($II$2&lt;&gt;"Enter Spend&gt;&gt;&gt;",$IJ$2="EXISTING"),SUMIFS('Existing Customers'!$S:$S,'Existing Customers'!$H:$H,$IH23,'Existing Customers'!$A:$A,$II$1)*$II$4,IY23*II23),0)</f>
        <v>0</v>
      </c>
      <c r="IP23" s="846">
        <f>IFERROR(IF(AND($II$2&lt;&gt;"Enter Spend&gt;&gt;&gt;",$IJ$2="EXISTING"),SUMIFS('Existing Customers'!$U:$U,'Existing Customers'!$H:$H,$IH23,'Existing Customers'!$A:$A,$II$1)*$II$4,IZ23*II23),0)</f>
        <v>0</v>
      </c>
      <c r="IQ23" s="849" t="e">
        <f>_xlfn.CONCAT('Customer Inputs'!$AG$14,"_",IH23)</f>
        <v>#N/A</v>
      </c>
      <c r="IR23" s="849">
        <f t="array" ref="IR23">IFERROR(INDEX('Margin Guidence Table'!$A$1:$AG$10000,MATCH(1,('Margin Guidence Table'!$A$1:$A$10000=IQ23)*('Margin Guidence Table'!$I$1:$I$10000&lt;=ROUND($II$3,0))*('Margin Guidence Table'!$J$1:$J$10000&gt;=ROUND($II$3,0)),0),MATCH("DATA_POINTS",'Margin Guidence Table'!$A$1:$AG$1,0)),0)</f>
        <v>0</v>
      </c>
      <c r="IS23" s="846" t="str">
        <f t="shared" si="44"/>
        <v>DEFAULT</v>
      </c>
      <c r="IT23" s="846">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6">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0">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0">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0">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0">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0">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0">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6">
        <f>IFERROR(IF(AND($JF$2&lt;&gt;"Enter Spend&gt;&gt;&gt;",$JG$2="EXISTING"),SUMIFS('Existing Customers'!$S:$S,'Existing Customers'!$H:$H,$JE23,'Existing Customers'!$A:$A,$JF$1)*$JF$4,JV23*JF23),0)</f>
        <v>0</v>
      </c>
      <c r="JM23" s="846">
        <f>IFERROR(IF(AND($JF$2&lt;&gt;"Enter Spend&gt;&gt;&gt;",$JG$2="EXISTING"),SUMIFS('Existing Customers'!$U:$U,'Existing Customers'!$H:$H,$JE23,'Existing Customers'!$A:$A,$JF$1)*$JF$4,JW23*JF23),0)</f>
        <v>0</v>
      </c>
      <c r="JN23" s="849" t="e">
        <f>_xlfn.CONCAT('Customer Inputs'!$AG$15,"_",JE23)</f>
        <v>#N/A</v>
      </c>
      <c r="JO23" s="849">
        <f t="array" ref="JO23">IFERROR(INDEX('Margin Guidence Table'!$A$1:$AG$10000,MATCH(1,('Margin Guidence Table'!$A$1:$A$10000=JN23)*('Margin Guidence Table'!$I$1:$I$10000&lt;=ROUND($JF$3,0))*('Margin Guidence Table'!$J$1:$J$10000&gt;=ROUND($JF$3,0)),0),MATCH("DATA_POINTS",'Margin Guidence Table'!$A$1:$AG$1,0)),0)</f>
        <v>0</v>
      </c>
      <c r="JP23" s="846" t="str">
        <f t="shared" si="46"/>
        <v>DEFAULT</v>
      </c>
      <c r="JQ23" s="846">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6">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0">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0">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0">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0">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0">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0">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66">
        <f t="shared" si="0"/>
        <v>0</v>
      </c>
      <c r="H24" s="1466">
        <f t="shared" si="0"/>
        <v>0</v>
      </c>
      <c r="I24" s="395">
        <f t="shared" si="11"/>
        <v>0</v>
      </c>
      <c r="J24" s="394">
        <f t="shared" si="12"/>
        <v>0</v>
      </c>
      <c r="K24" s="844">
        <f t="shared" si="13"/>
        <v>0</v>
      </c>
      <c r="L24" s="844">
        <f t="shared" si="14"/>
        <v>0</v>
      </c>
      <c r="M24" s="844">
        <f t="shared" si="15"/>
        <v>0</v>
      </c>
      <c r="N24" s="1466">
        <f>IF('PIM Model'!D20="$/CS",IFERROR(ROUND(SUM(BT24*$BR$35+CQ24*$CO$35+DN24*$DL$35+EK24*$EI$35+FH24*$FF$35+GE24*$GC$35+HB24*$GZ$35+HY24*$HW$35+IV24*$IT$35+JS24*$JQ$35)/$G$35,2),0),IF('PIM Model'!D20="$/LB",IFERROR(ROUND(SUM(BT24*$BS$35+CQ24*$CP$35+DN24*$DM$35+EK24*$EJ$35+FH24*$FG$35+GE24*$GD$35+HB24*$HA$35+HY24*$HX$35+IV24*$IU$35+JS24*$JR$35)/$H$35,2),0),0))</f>
        <v>0</v>
      </c>
      <c r="O24" s="1466">
        <f>IF('PIM Model'!D20="$/CS",IFERROR(ROUND(SUM(BU24*$BR$35+CR24*$CO$35+DO24*$DL$35+EL24*$EI$35+FI24*$FF$35+GF24*$GC$35+HC24*$GZ$35+HZ24*$HW$35+IW24*$IT$35+JT24*$JQ$35)/$G$35,2),0),IF('PIM Model'!D20="$/LB",IFERROR(ROUND(SUM(BU24*$BS$35+CR24*$CP$35+DO24*$DM$35+EL24*$EJ$35+FI24*$FG$35+GF24*$GD$35+HC24*$HA$35+HZ24*$HX$35+IW24*$IU$35+JT24*$JR$35)/$H$35,2),0),0))</f>
        <v>0</v>
      </c>
      <c r="P24" s="1466">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5">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8" t="e">
        <f>_xlfn.CONCAT('Customer Inputs'!$AG$6,"_",BF24)</f>
        <v>#N/A</v>
      </c>
      <c r="BP24" s="849">
        <f t="array" ref="BP24">IFERROR(INDEX('Margin Guidence Table'!$A$1:$AG$10000,MATCH(1,('Margin Guidence Table'!$A$1:$A$10000=$BO24)*('Margin Guidence Table'!$I$1:$I$10000&lt;=ROUND($BG$3,0))*('Margin Guidence Table'!$J$1:$J$10000&gt;=ROUND($BG$3,0)),0),MATCH("DATA_POINTS",'Margin Guidence Table'!$A$1:$AG$1,0)),0)</f>
        <v>0</v>
      </c>
      <c r="BQ24" s="846" t="str">
        <f t="shared" si="28"/>
        <v>DEFAULT</v>
      </c>
      <c r="BR24" s="846">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6">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0">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0">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0">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0">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0">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0">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6">
        <f>IFERROR(IF(AND($CD$2&lt;&gt;"Enter Spend&gt;&gt;&gt;",$CE$2="EXISTING"),SUMIFS('Existing Customers'!$S:$S,'Existing Customers'!$H:$H,$CC24,'Existing Customers'!$A:$A,$CD$1)*$CD$4,CT24*CD24),0)</f>
        <v>0</v>
      </c>
      <c r="CK24" s="846">
        <f>IFERROR(IF(AND($CD$2&lt;&gt;"Enter Spend&gt;&gt;&gt;",$CE$2="EXISTING"),SUMIFS('Existing Customers'!$U:$U,'Existing Customers'!$H:$H,$CC24,'Existing Customers'!$A:$A,$CD$1)*$CD$4,CU24*CD24),0)</f>
        <v>0</v>
      </c>
      <c r="CL24" s="849" t="e">
        <f>_xlfn.CONCAT('Customer Inputs'!$AG$7,"_",CC24)</f>
        <v>#N/A</v>
      </c>
      <c r="CM24" s="849">
        <f t="array" ref="CM24">IFERROR(INDEX('Margin Guidence Table'!$A$1:$AG$10000,MATCH(1,('Margin Guidence Table'!$A$1:$A$10000=$CL24)*('Margin Guidence Table'!$I$1:$I$10000&lt;=ROUND($CD$3,0))*('Margin Guidence Table'!$J$1:$J$10000&gt;=ROUND($CD$3,0)),0),MATCH("DATA_POINTS",'Margin Guidence Table'!$A$1:$AG$1,0)),0)</f>
        <v>0</v>
      </c>
      <c r="CN24" s="846" t="str">
        <f t="shared" si="30"/>
        <v>DEFAULT</v>
      </c>
      <c r="CO24" s="846">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6">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0">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0">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0">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0">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0">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0">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6">
        <f>IFERROR(IF(AND($DA$2&lt;&gt;"Enter Spend&gt;&gt;&gt;",$DB$2="EXISTING"),SUMIFS('Existing Customers'!$S:$S,'Existing Customers'!$H:$H,$CZ24,'Existing Customers'!$A:$A,$DA$1)*$DA$4,DQ24*DA24),0)</f>
        <v>0</v>
      </c>
      <c r="DH24" s="846">
        <f>IFERROR(IF(AND($DA$2&lt;&gt;"Enter Spend&gt;&gt;&gt;",$DB$2="EXISTING"),SUMIFS('Existing Customers'!$U:$U,'Existing Customers'!$H:$H,$CZ24,'Existing Customers'!$A:$A,$DA$1)*$DA$4,DR24*DA24),0)</f>
        <v>0</v>
      </c>
      <c r="DI24" s="849" t="e">
        <f>_xlfn.CONCAT('Customer Inputs'!$AG$8,"_",CZ24)</f>
        <v>#N/A</v>
      </c>
      <c r="DJ24" s="849">
        <f t="array" ref="DJ24">IFERROR(INDEX('Margin Guidence Table'!$A$1:$AG$10000,MATCH(1,('Margin Guidence Table'!$A$1:$A$10000=DI24)*('Margin Guidence Table'!$I$1:$I$10000&lt;=ROUND($DA$3,0))*('Margin Guidence Table'!$J$1:$J$10000&gt;=ROUND($DA$3,0)),0),MATCH("DATA_POINTS",'Margin Guidence Table'!$A$1:$AG$1,0)),0)</f>
        <v>0</v>
      </c>
      <c r="DK24" s="846" t="str">
        <f t="shared" si="32"/>
        <v>DEFAULT</v>
      </c>
      <c r="DL24" s="846">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6">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0">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0">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0">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0">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0">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0">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6">
        <f>IFERROR(IF(AND($DX$2&lt;&gt;"Enter Spend&gt;&gt;&gt;",$DY$2="EXISTING"),SUMIFS('Existing Customers'!$S:$S,'Existing Customers'!$H:$H,$DY24,'Existing Customers'!$A:$A,$DX$1)*$DX$4,EN24*DX24),0)</f>
        <v>0</v>
      </c>
      <c r="EE24" s="846">
        <f>IFERROR(IF(AND($DX$2&lt;&gt;"Enter Spend&gt;&gt;&gt;",$DY$2="EXISTING"),SUMIFS('Existing Customers'!$U:$U,'Existing Customers'!$H:$H,$DW24,'Existing Customers'!$A:$A,$DX$1)*$DX$4,EO24*DX24),0)</f>
        <v>0</v>
      </c>
      <c r="EF24" s="849" t="e">
        <f>_xlfn.CONCAT('Customer Inputs'!$AG$9,"_",DW24)</f>
        <v>#N/A</v>
      </c>
      <c r="EG24" s="849">
        <f t="array" ref="EG24">IFERROR(INDEX('Margin Guidence Table'!$A$1:$AG$10000,MATCH(1,('Margin Guidence Table'!$A$1:$A$10000=EF24)*('Margin Guidence Table'!$I$1:$I$10000&lt;=ROUND($DX$3,0))*('Margin Guidence Table'!$J$1:$J$10000&gt;=ROUND($DX$3,0)),0),MATCH("DATA_POINTS",'Margin Guidence Table'!$A$1:$AG$1,0)),0)</f>
        <v>0</v>
      </c>
      <c r="EH24" s="846" t="str">
        <f t="shared" si="34"/>
        <v>DEFAULT</v>
      </c>
      <c r="EI24" s="846">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6">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0">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0">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0">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0">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0">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0">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6">
        <f>IFERROR(IF(AND($EU$2&lt;&gt;"Enter Spend&gt;&gt;&gt;",$EV$2="EXISTING"),SUMIFS('Existing Customers'!$S:$S,'Existing Customers'!$H:$H,$ET24,'Existing Customers'!$A:$A,$EU$1)*$EU$4,FK24*EU24),0)</f>
        <v>0</v>
      </c>
      <c r="FB24" s="846">
        <f>IFERROR(IF(AND($EU$2&lt;&gt;"Enter Spend&gt;&gt;&gt;",$EV$2="EXISTING"),SUMIFS('Existing Customers'!$U:$U,'Existing Customers'!$H:$H,$ET24,'Existing Customers'!$A:$A,$EU$1)*$EU$4,FL24*EU24),0)</f>
        <v>0</v>
      </c>
      <c r="FC24" s="849" t="e">
        <f>_xlfn.CONCAT('Customer Inputs'!$AG$10,"_",ET24)</f>
        <v>#N/A</v>
      </c>
      <c r="FD24" s="849">
        <f t="array" ref="FD24">IFERROR(INDEX('Margin Guidence Table'!$A$1:$AG$10000,MATCH(1,('Margin Guidence Table'!$A$1:$A$10000=FC24)*('Margin Guidence Table'!$I$1:$I$10000&lt;=ROUND($EU$3,0))*('Margin Guidence Table'!$J$1:$J$10000&gt;=ROUND($EU$3,0)),0),MATCH("DATA_POINTS",'Margin Guidence Table'!$A$1:$AG$1,0)),0)</f>
        <v>0</v>
      </c>
      <c r="FE24" s="846" t="str">
        <f t="shared" si="36"/>
        <v>DEFAULT</v>
      </c>
      <c r="FF24" s="846">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6"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0">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0">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0">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0">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0">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0">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6">
        <f>IFERROR(IF(AND($FR$2&lt;&gt;"Enter Spend&gt;&gt;&gt;",$FS$2="EXISTING"),SUMIFS('Existing Customers'!$S:$S,'Existing Customers'!$H:$H,$FQ24,'Existing Customers'!$A:$A,$FR$1)*$FR$4,GH24*FR24),0)</f>
        <v>0</v>
      </c>
      <c r="FY24" s="846">
        <f>IFERROR(IF(AND($FR$2&lt;&gt;"Enter Spend&gt;&gt;&gt;",$FS$2="EXISTING"),SUMIFS('Existing Customers'!$U:$U,'Existing Customers'!$H:$H,$FQ24,'Existing Customers'!$A:$A,$FR$1)*$FR$4,GI24*FR24),0)</f>
        <v>0</v>
      </c>
      <c r="FZ24" s="849" t="e">
        <f>_xlfn.CONCAT('Customer Inputs'!$AG$11,"_",FQ24)</f>
        <v>#N/A</v>
      </c>
      <c r="GA24" s="849">
        <f t="array" ref="GA24">IFERROR(INDEX('Margin Guidence Table'!$A$1:$AG$10000,MATCH(1,('Margin Guidence Table'!$A$1:$A$10000=FZ24)*('Margin Guidence Table'!$I$1:$I$10000&lt;=ROUND($FR$3,0))*('Margin Guidence Table'!$J$1:$J$10000&gt;=ROUND($FR$3,0)),0),MATCH("DATA_POINTS",'Margin Guidence Table'!$A$1:$AG$1,0)),0)</f>
        <v>0</v>
      </c>
      <c r="GB24" s="846" t="str">
        <f t="shared" si="38"/>
        <v>DEFAULT</v>
      </c>
      <c r="GC24" s="846">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6">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0">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0">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0">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0">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0">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0">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6">
        <f>IFERROR(IF(AND($GO$2&lt;&gt;"Enter Spend&gt;&gt;&gt;",$GP$2="EXISTING"),SUMIFS('Existing Customers'!$S:$S,'Existing Customers'!$H:$H,$GN24,'Existing Customers'!$A:$A,$GO$1)*$GO$4,HE24*GO24),0)</f>
        <v>0</v>
      </c>
      <c r="GV24" s="846">
        <f>IFERROR(IF(AND($GO$2&lt;&gt;"Enter Spend&gt;&gt;&gt;",$GP$2="EXISTING"),SUMIFS('Existing Customers'!$U:$U,'Existing Customers'!$H:$H,$GN24,'Existing Customers'!$A:$A,$GO$1)*$GO$4,HF24*GO24),0)</f>
        <v>0</v>
      </c>
      <c r="GW24" s="849" t="e">
        <f>_xlfn.CONCAT('Customer Inputs'!$AG$12,"_",GN24)</f>
        <v>#N/A</v>
      </c>
      <c r="GX24" s="849">
        <f t="array" ref="GX24">IFERROR(INDEX('Margin Guidence Table'!$A$1:$AG$10000,MATCH(1,('Margin Guidence Table'!$A$1:$A$10000=GW24)*('Margin Guidence Table'!$I$1:$I$10000&lt;=ROUND($GO$3,0))*('Margin Guidence Table'!$J$1:$J$10000&gt;=ROUND($GO$3,0)),0),MATCH("DATA_POINTS",'Margin Guidence Table'!$A$1:$AG$1,0)),0)</f>
        <v>0</v>
      </c>
      <c r="GY24" s="846" t="str">
        <f t="shared" si="40"/>
        <v>DEFAULT</v>
      </c>
      <c r="GZ24" s="846">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6">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0">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0">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0">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0">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0">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0">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6">
        <f>IFERROR(IF(AND($HL$2&lt;&gt;"Enter Spend&gt;&gt;&gt;",$HM$2="EXISTING"),SUMIFS('Existing Customers'!$S:$S,'Existing Customers'!$H:$H,$HK24,'Existing Customers'!$A:$A,$HL$1)*$HL$4,IB24*HL24),0)</f>
        <v>0</v>
      </c>
      <c r="HS24" s="846">
        <f>IFERROR(IF(AND($HL$2&lt;&gt;"Enter Spend&gt;&gt;&gt;",$HM$2="EXISTING"),SUMIFS('Existing Customers'!$U:$U,'Existing Customers'!$H:$H,$HK24,'Existing Customers'!$A:$A,$HL$1)*$HL$4,IC24*HL24),0)</f>
        <v>0</v>
      </c>
      <c r="HT24" s="849" t="e">
        <f>_xlfn.CONCAT('Customer Inputs'!$AG$13,"_",HK24)</f>
        <v>#N/A</v>
      </c>
      <c r="HU24" s="849">
        <f t="array" ref="HU24">IFERROR(INDEX('Margin Guidence Table'!$A$1:$AG$10000,MATCH(1,('Margin Guidence Table'!$A$1:$A$10000=HT24)*('Margin Guidence Table'!$I$1:$I$10000&lt;=ROUND($HL$3,0))*('Margin Guidence Table'!$J$1:$J$10000&gt;=ROUND($HL$3,0)),0),MATCH("DATA_POINTS",'Margin Guidence Table'!$A$1:$AG$1,0)),0)</f>
        <v>0</v>
      </c>
      <c r="HV24" s="846" t="str">
        <f t="shared" si="42"/>
        <v>DEFAULT</v>
      </c>
      <c r="HW24" s="846">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6">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0">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0">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0">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0">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0">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0">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6">
        <f>IFERROR(IF(AND($II$2&lt;&gt;"Enter Spend&gt;&gt;&gt;",$IJ$2="EXISTING"),SUMIFS('Existing Customers'!$S:$S,'Existing Customers'!$H:$H,$IH24,'Existing Customers'!$A:$A,$II$1)*$II$4,IY24*II24),0)</f>
        <v>0</v>
      </c>
      <c r="IP24" s="846">
        <f>IFERROR(IF(AND($II$2&lt;&gt;"Enter Spend&gt;&gt;&gt;",$IJ$2="EXISTING"),SUMIFS('Existing Customers'!$U:$U,'Existing Customers'!$H:$H,$IH24,'Existing Customers'!$A:$A,$II$1)*$II$4,IZ24*II24),0)</f>
        <v>0</v>
      </c>
      <c r="IQ24" s="849" t="e">
        <f>_xlfn.CONCAT('Customer Inputs'!$AG$14,"_",IH24)</f>
        <v>#N/A</v>
      </c>
      <c r="IR24" s="849">
        <f t="array" ref="IR24">IFERROR(INDEX('Margin Guidence Table'!$A$1:$AG$10000,MATCH(1,('Margin Guidence Table'!$A$1:$A$10000=IQ24)*('Margin Guidence Table'!$I$1:$I$10000&lt;=ROUND($II$3,0))*('Margin Guidence Table'!$J$1:$J$10000&gt;=ROUND($II$3,0)),0),MATCH("DATA_POINTS",'Margin Guidence Table'!$A$1:$AG$1,0)),0)</f>
        <v>0</v>
      </c>
      <c r="IS24" s="846" t="str">
        <f t="shared" si="44"/>
        <v>DEFAULT</v>
      </c>
      <c r="IT24" s="846">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6">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0">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0">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0">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0">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0">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0">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6">
        <f>IFERROR(IF(AND($JF$2&lt;&gt;"Enter Spend&gt;&gt;&gt;",$JG$2="EXISTING"),SUMIFS('Existing Customers'!$S:$S,'Existing Customers'!$H:$H,$JE24,'Existing Customers'!$A:$A,$JF$1)*$JF$4,JV24*JF24),0)</f>
        <v>0</v>
      </c>
      <c r="JM24" s="846">
        <f>IFERROR(IF(AND($JF$2&lt;&gt;"Enter Spend&gt;&gt;&gt;",$JG$2="EXISTING"),SUMIFS('Existing Customers'!$U:$U,'Existing Customers'!$H:$H,$JE24,'Existing Customers'!$A:$A,$JF$1)*$JF$4,JW24*JF24),0)</f>
        <v>0</v>
      </c>
      <c r="JN24" s="849" t="e">
        <f>_xlfn.CONCAT('Customer Inputs'!$AG$15,"_",JE24)</f>
        <v>#N/A</v>
      </c>
      <c r="JO24" s="849">
        <f t="array" ref="JO24">IFERROR(INDEX('Margin Guidence Table'!$A$1:$AG$10000,MATCH(1,('Margin Guidence Table'!$A$1:$A$10000=JN24)*('Margin Guidence Table'!$I$1:$I$10000&lt;=ROUND($JF$3,0))*('Margin Guidence Table'!$J$1:$J$10000&gt;=ROUND($JF$3,0)),0),MATCH("DATA_POINTS",'Margin Guidence Table'!$A$1:$AG$1,0)),0)</f>
        <v>0</v>
      </c>
      <c r="JP24" s="846" t="str">
        <f t="shared" si="46"/>
        <v>DEFAULT</v>
      </c>
      <c r="JQ24" s="846">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6">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0">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0">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0">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0">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0">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0">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66">
        <f t="shared" si="0"/>
        <v>0</v>
      </c>
      <c r="H25" s="1466">
        <f t="shared" si="0"/>
        <v>0</v>
      </c>
      <c r="I25" s="395">
        <f t="shared" si="11"/>
        <v>0</v>
      </c>
      <c r="J25" s="394">
        <f t="shared" si="12"/>
        <v>0</v>
      </c>
      <c r="K25" s="844">
        <f t="shared" si="13"/>
        <v>0</v>
      </c>
      <c r="L25" s="844">
        <f t="shared" si="14"/>
        <v>0</v>
      </c>
      <c r="M25" s="844">
        <f t="shared" si="15"/>
        <v>0</v>
      </c>
      <c r="N25" s="1466">
        <f>IF('PIM Model'!D21="$/CS",IFERROR(ROUND(SUM(BT25*$BR$35+CQ25*$CO$35+DN25*$DL$35+EK25*$EI$35+FH25*$FF$35+GE25*$GC$35+HB25*$GZ$35+HY25*$HW$35+IV25*$IT$35+JS25*$JQ$35)/$G$35,2),0),IF('PIM Model'!D21="$/LB",IFERROR(ROUND(SUM(BT25*$BS$35+CQ25*$CP$35+DN25*$DM$35+EK25*$EJ$35+FH25*$FG$35+GE25*$GD$35+HB25*$HA$35+HY25*$HX$35+IV25*$IU$35+JS25*$JR$35)/$H$35,2),0),0))</f>
        <v>0</v>
      </c>
      <c r="O25" s="1466">
        <f>IF('PIM Model'!D21="$/CS",IFERROR(ROUND(SUM(BU25*$BR$35+CR25*$CO$35+DO25*$DL$35+EL25*$EI$35+FI25*$FF$35+GF25*$GC$35+HC25*$GZ$35+HZ25*$HW$35+IW25*$IT$35+JT25*$JQ$35)/$G$35,2),0),IF('PIM Model'!D21="$/LB",IFERROR(ROUND(SUM(BU25*$BS$35+CR25*$CP$35+DO25*$DM$35+EL25*$EJ$35+FI25*$FG$35+GF25*$GD$35+HC25*$HA$35+HZ25*$HX$35+IW25*$IU$35+JT25*$JR$35)/$H$35,2),0),0))</f>
        <v>0</v>
      </c>
      <c r="P25" s="1466">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5">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8" t="e">
        <f>_xlfn.CONCAT('Customer Inputs'!$AG$6,"_",BF25)</f>
        <v>#N/A</v>
      </c>
      <c r="BP25" s="849">
        <f t="array" ref="BP25">IFERROR(INDEX('Margin Guidence Table'!$A$1:$AG$10000,MATCH(1,('Margin Guidence Table'!$A$1:$A$10000=$BO25)*('Margin Guidence Table'!$I$1:$I$10000&lt;=ROUND($BG$3,0))*('Margin Guidence Table'!$J$1:$J$10000&gt;=ROUND($BG$3,0)),0),MATCH("DATA_POINTS",'Margin Guidence Table'!$A$1:$AG$1,0)),0)</f>
        <v>0</v>
      </c>
      <c r="BQ25" s="846" t="str">
        <f t="shared" si="28"/>
        <v>DEFAULT</v>
      </c>
      <c r="BR25" s="846">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6">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0">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0">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0">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0">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0">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0">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6">
        <f>IFERROR(IF(AND($CD$2&lt;&gt;"Enter Spend&gt;&gt;&gt;",$CE$2="EXISTING"),SUMIFS('Existing Customers'!$S:$S,'Existing Customers'!$H:$H,$CC25,'Existing Customers'!$A:$A,$CD$1)*$CD$4,CT25*CD25),0)</f>
        <v>0</v>
      </c>
      <c r="CK25" s="846">
        <f>IFERROR(IF(AND($CD$2&lt;&gt;"Enter Spend&gt;&gt;&gt;",$CE$2="EXISTING"),SUMIFS('Existing Customers'!$U:$U,'Existing Customers'!$H:$H,$CC25,'Existing Customers'!$A:$A,$CD$1)*$CD$4,CU25*CD25),0)</f>
        <v>0</v>
      </c>
      <c r="CL25" s="849" t="e">
        <f>_xlfn.CONCAT('Customer Inputs'!$AG$7,"_",CC25)</f>
        <v>#N/A</v>
      </c>
      <c r="CM25" s="849">
        <f t="array" ref="CM25">IFERROR(INDEX('Margin Guidence Table'!$A$1:$AG$10000,MATCH(1,('Margin Guidence Table'!$A$1:$A$10000=$CL25)*('Margin Guidence Table'!$I$1:$I$10000&lt;=ROUND($CD$3,0))*('Margin Guidence Table'!$J$1:$J$10000&gt;=ROUND($CD$3,0)),0),MATCH("DATA_POINTS",'Margin Guidence Table'!$A$1:$AG$1,0)),0)</f>
        <v>0</v>
      </c>
      <c r="CN25" s="846" t="str">
        <f t="shared" si="30"/>
        <v>DEFAULT</v>
      </c>
      <c r="CO25" s="846">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6">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0">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0">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0">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0">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0">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0">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6">
        <f>IFERROR(IF(AND($DA$2&lt;&gt;"Enter Spend&gt;&gt;&gt;",$DB$2="EXISTING"),SUMIFS('Existing Customers'!$S:$S,'Existing Customers'!$H:$H,$CZ25,'Existing Customers'!$A:$A,$DA$1)*$DA$4,DQ25*DA25),0)</f>
        <v>0</v>
      </c>
      <c r="DH25" s="846">
        <f>IFERROR(IF(AND($DA$2&lt;&gt;"Enter Spend&gt;&gt;&gt;",$DB$2="EXISTING"),SUMIFS('Existing Customers'!$U:$U,'Existing Customers'!$H:$H,$CZ25,'Existing Customers'!$A:$A,$DA$1)*$DA$4,DR25*DA25),0)</f>
        <v>0</v>
      </c>
      <c r="DI25" s="849" t="e">
        <f>_xlfn.CONCAT('Customer Inputs'!$AG$8,"_",CZ25)</f>
        <v>#N/A</v>
      </c>
      <c r="DJ25" s="849">
        <f t="array" ref="DJ25">IFERROR(INDEX('Margin Guidence Table'!$A$1:$AG$10000,MATCH(1,('Margin Guidence Table'!$A$1:$A$10000=DI25)*('Margin Guidence Table'!$I$1:$I$10000&lt;=ROUND($DA$3,0))*('Margin Guidence Table'!$J$1:$J$10000&gt;=ROUND($DA$3,0)),0),MATCH("DATA_POINTS",'Margin Guidence Table'!$A$1:$AG$1,0)),0)</f>
        <v>0</v>
      </c>
      <c r="DK25" s="846" t="str">
        <f t="shared" si="32"/>
        <v>DEFAULT</v>
      </c>
      <c r="DL25" s="846">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6">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0">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0">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0">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0">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0">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0">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6">
        <f>IFERROR(IF(AND($DX$2&lt;&gt;"Enter Spend&gt;&gt;&gt;",$DY$2="EXISTING"),SUMIFS('Existing Customers'!$S:$S,'Existing Customers'!$H:$H,$DY25,'Existing Customers'!$A:$A,$DX$1)*$DX$4,EN25*DX25),0)</f>
        <v>0</v>
      </c>
      <c r="EE25" s="846">
        <f>IFERROR(IF(AND($DX$2&lt;&gt;"Enter Spend&gt;&gt;&gt;",$DY$2="EXISTING"),SUMIFS('Existing Customers'!$U:$U,'Existing Customers'!$H:$H,$DW25,'Existing Customers'!$A:$A,$DX$1)*$DX$4,EO25*DX25),0)</f>
        <v>0</v>
      </c>
      <c r="EF25" s="849" t="e">
        <f>_xlfn.CONCAT('Customer Inputs'!$AG$9,"_",DW25)</f>
        <v>#N/A</v>
      </c>
      <c r="EG25" s="849">
        <f t="array" ref="EG25">IFERROR(INDEX('Margin Guidence Table'!$A$1:$AG$10000,MATCH(1,('Margin Guidence Table'!$A$1:$A$10000=EF25)*('Margin Guidence Table'!$I$1:$I$10000&lt;=ROUND($DX$3,0))*('Margin Guidence Table'!$J$1:$J$10000&gt;=ROUND($DX$3,0)),0),MATCH("DATA_POINTS",'Margin Guidence Table'!$A$1:$AG$1,0)),0)</f>
        <v>0</v>
      </c>
      <c r="EH25" s="846" t="str">
        <f t="shared" si="34"/>
        <v>DEFAULT</v>
      </c>
      <c r="EI25" s="846">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6">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0">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0">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0">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0">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0">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0">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6">
        <f>IFERROR(IF(AND($EU$2&lt;&gt;"Enter Spend&gt;&gt;&gt;",$EV$2="EXISTING"),SUMIFS('Existing Customers'!$S:$S,'Existing Customers'!$H:$H,$ET25,'Existing Customers'!$A:$A,$EU$1)*$EU$4,FK25*EU25),0)</f>
        <v>0</v>
      </c>
      <c r="FB25" s="846">
        <f>IFERROR(IF(AND($EU$2&lt;&gt;"Enter Spend&gt;&gt;&gt;",$EV$2="EXISTING"),SUMIFS('Existing Customers'!$U:$U,'Existing Customers'!$H:$H,$ET25,'Existing Customers'!$A:$A,$EU$1)*$EU$4,FL25*EU25),0)</f>
        <v>0</v>
      </c>
      <c r="FC25" s="849" t="e">
        <f>_xlfn.CONCAT('Customer Inputs'!$AG$10,"_",ET25)</f>
        <v>#N/A</v>
      </c>
      <c r="FD25" s="849">
        <f t="array" ref="FD25">IFERROR(INDEX('Margin Guidence Table'!$A$1:$AG$10000,MATCH(1,('Margin Guidence Table'!$A$1:$A$10000=FC25)*('Margin Guidence Table'!$I$1:$I$10000&lt;=ROUND($EU$3,0))*('Margin Guidence Table'!$J$1:$J$10000&gt;=ROUND($EU$3,0)),0),MATCH("DATA_POINTS",'Margin Guidence Table'!$A$1:$AG$1,0)),0)</f>
        <v>0</v>
      </c>
      <c r="FE25" s="846" t="str">
        <f t="shared" si="36"/>
        <v>DEFAULT</v>
      </c>
      <c r="FF25" s="846">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6"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0">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0">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0">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0">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0">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0">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6">
        <f>IFERROR(IF(AND($FR$2&lt;&gt;"Enter Spend&gt;&gt;&gt;",$FS$2="EXISTING"),SUMIFS('Existing Customers'!$S:$S,'Existing Customers'!$H:$H,$FQ25,'Existing Customers'!$A:$A,$FR$1)*$FR$4,GH25*FR25),0)</f>
        <v>0</v>
      </c>
      <c r="FY25" s="846">
        <f>IFERROR(IF(AND($FR$2&lt;&gt;"Enter Spend&gt;&gt;&gt;",$FS$2="EXISTING"),SUMIFS('Existing Customers'!$U:$U,'Existing Customers'!$H:$H,$FQ25,'Existing Customers'!$A:$A,$FR$1)*$FR$4,GI25*FR25),0)</f>
        <v>0</v>
      </c>
      <c r="FZ25" s="849" t="e">
        <f>_xlfn.CONCAT('Customer Inputs'!$AG$11,"_",FQ25)</f>
        <v>#N/A</v>
      </c>
      <c r="GA25" s="849">
        <f t="array" ref="GA25">IFERROR(INDEX('Margin Guidence Table'!$A$1:$AG$10000,MATCH(1,('Margin Guidence Table'!$A$1:$A$10000=FZ25)*('Margin Guidence Table'!$I$1:$I$10000&lt;=ROUND($FR$3,0))*('Margin Guidence Table'!$J$1:$J$10000&gt;=ROUND($FR$3,0)),0),MATCH("DATA_POINTS",'Margin Guidence Table'!$A$1:$AG$1,0)),0)</f>
        <v>0</v>
      </c>
      <c r="GB25" s="846" t="str">
        <f t="shared" si="38"/>
        <v>DEFAULT</v>
      </c>
      <c r="GC25" s="846">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6">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0">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0">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0">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0">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0">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0">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6">
        <f>IFERROR(IF(AND($GO$2&lt;&gt;"Enter Spend&gt;&gt;&gt;",$GP$2="EXISTING"),SUMIFS('Existing Customers'!$S:$S,'Existing Customers'!$H:$H,$GN25,'Existing Customers'!$A:$A,$GO$1)*$GO$4,HE25*GO25),0)</f>
        <v>0</v>
      </c>
      <c r="GV25" s="846">
        <f>IFERROR(IF(AND($GO$2&lt;&gt;"Enter Spend&gt;&gt;&gt;",$GP$2="EXISTING"),SUMIFS('Existing Customers'!$U:$U,'Existing Customers'!$H:$H,$GN25,'Existing Customers'!$A:$A,$GO$1)*$GO$4,HF25*GO25),0)</f>
        <v>0</v>
      </c>
      <c r="GW25" s="849" t="e">
        <f>_xlfn.CONCAT('Customer Inputs'!$AG$12,"_",GN25)</f>
        <v>#N/A</v>
      </c>
      <c r="GX25" s="849">
        <f t="array" ref="GX25">IFERROR(INDEX('Margin Guidence Table'!$A$1:$AG$10000,MATCH(1,('Margin Guidence Table'!$A$1:$A$10000=GW25)*('Margin Guidence Table'!$I$1:$I$10000&lt;=ROUND($GO$3,0))*('Margin Guidence Table'!$J$1:$J$10000&gt;=ROUND($GO$3,0)),0),MATCH("DATA_POINTS",'Margin Guidence Table'!$A$1:$AG$1,0)),0)</f>
        <v>0</v>
      </c>
      <c r="GY25" s="846" t="str">
        <f t="shared" si="40"/>
        <v>DEFAULT</v>
      </c>
      <c r="GZ25" s="846">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6">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0">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0">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0">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0">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0">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0">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6">
        <f>IFERROR(IF(AND($HL$2&lt;&gt;"Enter Spend&gt;&gt;&gt;",$HM$2="EXISTING"),SUMIFS('Existing Customers'!$S:$S,'Existing Customers'!$H:$H,$HK25,'Existing Customers'!$A:$A,$HL$1)*$HL$4,IB25*HL25),0)</f>
        <v>0</v>
      </c>
      <c r="HS25" s="846">
        <f>IFERROR(IF(AND($HL$2&lt;&gt;"Enter Spend&gt;&gt;&gt;",$HM$2="EXISTING"),SUMIFS('Existing Customers'!$U:$U,'Existing Customers'!$H:$H,$HK25,'Existing Customers'!$A:$A,$HL$1)*$HL$4,IC25*HL25),0)</f>
        <v>0</v>
      </c>
      <c r="HT25" s="849" t="e">
        <f>_xlfn.CONCAT('Customer Inputs'!$AG$13,"_",HK25)</f>
        <v>#N/A</v>
      </c>
      <c r="HU25" s="849">
        <f t="array" ref="HU25">IFERROR(INDEX('Margin Guidence Table'!$A$1:$AG$10000,MATCH(1,('Margin Guidence Table'!$A$1:$A$10000=HT25)*('Margin Guidence Table'!$I$1:$I$10000&lt;=ROUND($HL$3,0))*('Margin Guidence Table'!$J$1:$J$10000&gt;=ROUND($HL$3,0)),0),MATCH("DATA_POINTS",'Margin Guidence Table'!$A$1:$AG$1,0)),0)</f>
        <v>0</v>
      </c>
      <c r="HV25" s="846" t="str">
        <f t="shared" si="42"/>
        <v>DEFAULT</v>
      </c>
      <c r="HW25" s="846">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6">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0">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0">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0">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0">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0">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0">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6">
        <f>IFERROR(IF(AND($II$2&lt;&gt;"Enter Spend&gt;&gt;&gt;",$IJ$2="EXISTING"),SUMIFS('Existing Customers'!$S:$S,'Existing Customers'!$H:$H,$IH25,'Existing Customers'!$A:$A,$II$1)*$II$4,IY25*II25),0)</f>
        <v>0</v>
      </c>
      <c r="IP25" s="846">
        <f>IFERROR(IF(AND($II$2&lt;&gt;"Enter Spend&gt;&gt;&gt;",$IJ$2="EXISTING"),SUMIFS('Existing Customers'!$U:$U,'Existing Customers'!$H:$H,$IH25,'Existing Customers'!$A:$A,$II$1)*$II$4,IZ25*II25),0)</f>
        <v>0</v>
      </c>
      <c r="IQ25" s="849" t="e">
        <f>_xlfn.CONCAT('Customer Inputs'!$AG$14,"_",IH25)</f>
        <v>#N/A</v>
      </c>
      <c r="IR25" s="849">
        <f t="array" ref="IR25">IFERROR(INDEX('Margin Guidence Table'!$A$1:$AG$10000,MATCH(1,('Margin Guidence Table'!$A$1:$A$10000=IQ25)*('Margin Guidence Table'!$I$1:$I$10000&lt;=ROUND($II$3,0))*('Margin Guidence Table'!$J$1:$J$10000&gt;=ROUND($II$3,0)),0),MATCH("DATA_POINTS",'Margin Guidence Table'!$A$1:$AG$1,0)),0)</f>
        <v>0</v>
      </c>
      <c r="IS25" s="846" t="str">
        <f t="shared" si="44"/>
        <v>DEFAULT</v>
      </c>
      <c r="IT25" s="846">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6">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0">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0">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0">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0">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0">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0">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6">
        <f>IFERROR(IF(AND($JF$2&lt;&gt;"Enter Spend&gt;&gt;&gt;",$JG$2="EXISTING"),SUMIFS('Existing Customers'!$S:$S,'Existing Customers'!$H:$H,$JE25,'Existing Customers'!$A:$A,$JF$1)*$JF$4,JV25*JF25),0)</f>
        <v>0</v>
      </c>
      <c r="JM25" s="846">
        <f>IFERROR(IF(AND($JF$2&lt;&gt;"Enter Spend&gt;&gt;&gt;",$JG$2="EXISTING"),SUMIFS('Existing Customers'!$U:$U,'Existing Customers'!$H:$H,$JE25,'Existing Customers'!$A:$A,$JF$1)*$JF$4,JW25*JF25),0)</f>
        <v>0</v>
      </c>
      <c r="JN25" s="849" t="e">
        <f>_xlfn.CONCAT('Customer Inputs'!$AG$15,"_",JE25)</f>
        <v>#N/A</v>
      </c>
      <c r="JO25" s="849">
        <f t="array" ref="JO25">IFERROR(INDEX('Margin Guidence Table'!$A$1:$AG$10000,MATCH(1,('Margin Guidence Table'!$A$1:$A$10000=JN25)*('Margin Guidence Table'!$I$1:$I$10000&lt;=ROUND($JF$3,0))*('Margin Guidence Table'!$J$1:$J$10000&gt;=ROUND($JF$3,0)),0),MATCH("DATA_POINTS",'Margin Guidence Table'!$A$1:$AG$1,0)),0)</f>
        <v>0</v>
      </c>
      <c r="JP25" s="846" t="str">
        <f t="shared" si="46"/>
        <v>DEFAULT</v>
      </c>
      <c r="JQ25" s="846">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6">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0">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0">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0">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0">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0">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0">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66">
        <f t="shared" si="0"/>
        <v>0</v>
      </c>
      <c r="H26" s="1466">
        <f t="shared" si="0"/>
        <v>0</v>
      </c>
      <c r="I26" s="395">
        <f t="shared" si="11"/>
        <v>0</v>
      </c>
      <c r="J26" s="394">
        <f t="shared" si="12"/>
        <v>0</v>
      </c>
      <c r="K26" s="844">
        <f t="shared" si="13"/>
        <v>0</v>
      </c>
      <c r="L26" s="844">
        <f t="shared" si="14"/>
        <v>0</v>
      </c>
      <c r="M26" s="844">
        <f t="shared" si="15"/>
        <v>0</v>
      </c>
      <c r="N26" s="1466">
        <f>IF('PIM Model'!D22="$/CS",IFERROR(ROUND(SUM(BT26*$BR$35+CQ26*$CO$35+DN26*$DL$35+EK26*$EI$35+FH26*$FF$35+GE26*$GC$35+HB26*$GZ$35+HY26*$HW$35+IV26*$IT$35+JS26*$JQ$35)/$G$35,2),0),IF('PIM Model'!D22="$/LB",IFERROR(ROUND(SUM(BT26*$BS$35+CQ26*$CP$35+DN26*$DM$35+EK26*$EJ$35+FH26*$FG$35+GE26*$GD$35+HB26*$HA$35+HY26*$HX$35+IV26*$IU$35+JS26*$JR$35)/$H$35,2),0),0))</f>
        <v>0</v>
      </c>
      <c r="O26" s="1466">
        <f>IF('PIM Model'!D22="$/CS",IFERROR(ROUND(SUM(BU26*$BR$35+CR26*$CO$35+DO26*$DL$35+EL26*$EI$35+FI26*$FF$35+GF26*$GC$35+HC26*$GZ$35+HZ26*$HW$35+IW26*$IT$35+JT26*$JQ$35)/$G$35,2),0),IF('PIM Model'!D22="$/LB",IFERROR(ROUND(SUM(BU26*$BS$35+CR26*$CP$35+DO26*$DM$35+EL26*$EJ$35+FI26*$FG$35+GF26*$GD$35+HC26*$HA$35+HZ26*$HX$35+IW26*$IU$35+JT26*$JR$35)/$H$35,2),0),0))</f>
        <v>0</v>
      </c>
      <c r="P26" s="1466">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5">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8" t="e">
        <f>_xlfn.CONCAT('Customer Inputs'!$AG$6,"_",BF26)</f>
        <v>#N/A</v>
      </c>
      <c r="BP26" s="849">
        <f t="array" ref="BP26">IFERROR(INDEX('Margin Guidence Table'!$A$1:$AG$10000,MATCH(1,('Margin Guidence Table'!$A$1:$A$10000=$BO26)*('Margin Guidence Table'!$I$1:$I$10000&lt;=ROUND($BG$3,0))*('Margin Guidence Table'!$J$1:$J$10000&gt;=ROUND($BG$3,0)),0),MATCH("DATA_POINTS",'Margin Guidence Table'!$A$1:$AG$1,0)),0)</f>
        <v>0</v>
      </c>
      <c r="BQ26" s="846" t="str">
        <f t="shared" si="28"/>
        <v>DEFAULT</v>
      </c>
      <c r="BR26" s="846">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6">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0">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0">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0">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0">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0">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0">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6">
        <f>IFERROR(IF(AND($CD$2&lt;&gt;"Enter Spend&gt;&gt;&gt;",$CE$2="EXISTING"),SUMIFS('Existing Customers'!$S:$S,'Existing Customers'!$H:$H,$CC26,'Existing Customers'!$A:$A,$CD$1)*$CD$4,CT26*CD26),0)</f>
        <v>0</v>
      </c>
      <c r="CK26" s="846">
        <f>IFERROR(IF(AND($CD$2&lt;&gt;"Enter Spend&gt;&gt;&gt;",$CE$2="EXISTING"),SUMIFS('Existing Customers'!$U:$U,'Existing Customers'!$H:$H,$CC26,'Existing Customers'!$A:$A,$CD$1)*$CD$4,CU26*CD26),0)</f>
        <v>0</v>
      </c>
      <c r="CL26" s="849" t="e">
        <f>_xlfn.CONCAT('Customer Inputs'!$AG$7,"_",CC26)</f>
        <v>#N/A</v>
      </c>
      <c r="CM26" s="849">
        <f t="array" ref="CM26">IFERROR(INDEX('Margin Guidence Table'!$A$1:$AG$10000,MATCH(1,('Margin Guidence Table'!$A$1:$A$10000=$CL26)*('Margin Guidence Table'!$I$1:$I$10000&lt;=ROUND($CD$3,0))*('Margin Guidence Table'!$J$1:$J$10000&gt;=ROUND($CD$3,0)),0),MATCH("DATA_POINTS",'Margin Guidence Table'!$A$1:$AG$1,0)),0)</f>
        <v>0</v>
      </c>
      <c r="CN26" s="846" t="str">
        <f t="shared" si="30"/>
        <v>DEFAULT</v>
      </c>
      <c r="CO26" s="846">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6">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0">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0">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0">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0">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0">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0">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6">
        <f>IFERROR(IF(AND($DA$2&lt;&gt;"Enter Spend&gt;&gt;&gt;",$DB$2="EXISTING"),SUMIFS('Existing Customers'!$S:$S,'Existing Customers'!$H:$H,$CZ26,'Existing Customers'!$A:$A,$DA$1)*$DA$4,DQ26*DA26),0)</f>
        <v>0</v>
      </c>
      <c r="DH26" s="846">
        <f>IFERROR(IF(AND($DA$2&lt;&gt;"Enter Spend&gt;&gt;&gt;",$DB$2="EXISTING"),SUMIFS('Existing Customers'!$U:$U,'Existing Customers'!$H:$H,$CZ26,'Existing Customers'!$A:$A,$DA$1)*$DA$4,DR26*DA26),0)</f>
        <v>0</v>
      </c>
      <c r="DI26" s="849" t="e">
        <f>_xlfn.CONCAT('Customer Inputs'!$AG$8,"_",CZ26)</f>
        <v>#N/A</v>
      </c>
      <c r="DJ26" s="849">
        <f t="array" ref="DJ26">IFERROR(INDEX('Margin Guidence Table'!$A$1:$AG$10000,MATCH(1,('Margin Guidence Table'!$A$1:$A$10000=DI26)*('Margin Guidence Table'!$I$1:$I$10000&lt;=ROUND($DA$3,0))*('Margin Guidence Table'!$J$1:$J$10000&gt;=ROUND($DA$3,0)),0),MATCH("DATA_POINTS",'Margin Guidence Table'!$A$1:$AG$1,0)),0)</f>
        <v>0</v>
      </c>
      <c r="DK26" s="846" t="str">
        <f t="shared" si="32"/>
        <v>DEFAULT</v>
      </c>
      <c r="DL26" s="846">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6">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0">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0">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0">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0">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0">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0">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6">
        <f>IFERROR(IF(AND($DX$2&lt;&gt;"Enter Spend&gt;&gt;&gt;",$DY$2="EXISTING"),SUMIFS('Existing Customers'!$S:$S,'Existing Customers'!$H:$H,$DY26,'Existing Customers'!$A:$A,$DX$1)*$DX$4,EN26*DX26),0)</f>
        <v>0</v>
      </c>
      <c r="EE26" s="846">
        <f>IFERROR(IF(AND($DX$2&lt;&gt;"Enter Spend&gt;&gt;&gt;",$DY$2="EXISTING"),SUMIFS('Existing Customers'!$U:$U,'Existing Customers'!$H:$H,$DW26,'Existing Customers'!$A:$A,$DX$1)*$DX$4,EO26*DX26),0)</f>
        <v>0</v>
      </c>
      <c r="EF26" s="849" t="e">
        <f>_xlfn.CONCAT('Customer Inputs'!$AG$9,"_",DW26)</f>
        <v>#N/A</v>
      </c>
      <c r="EG26" s="849">
        <f t="array" ref="EG26">IFERROR(INDEX('Margin Guidence Table'!$A$1:$AG$10000,MATCH(1,('Margin Guidence Table'!$A$1:$A$10000=EF26)*('Margin Guidence Table'!$I$1:$I$10000&lt;=ROUND($DX$3,0))*('Margin Guidence Table'!$J$1:$J$10000&gt;=ROUND($DX$3,0)),0),MATCH("DATA_POINTS",'Margin Guidence Table'!$A$1:$AG$1,0)),0)</f>
        <v>0</v>
      </c>
      <c r="EH26" s="846" t="str">
        <f t="shared" si="34"/>
        <v>DEFAULT</v>
      </c>
      <c r="EI26" s="846">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6">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0">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0">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0">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0">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0">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0">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6">
        <f>IFERROR(IF(AND($EU$2&lt;&gt;"Enter Spend&gt;&gt;&gt;",$EV$2="EXISTING"),SUMIFS('Existing Customers'!$S:$S,'Existing Customers'!$H:$H,$ET26,'Existing Customers'!$A:$A,$EU$1)*$EU$4,FK26*EU26),0)</f>
        <v>0</v>
      </c>
      <c r="FB26" s="846">
        <f>IFERROR(IF(AND($EU$2&lt;&gt;"Enter Spend&gt;&gt;&gt;",$EV$2="EXISTING"),SUMIFS('Existing Customers'!$U:$U,'Existing Customers'!$H:$H,$ET26,'Existing Customers'!$A:$A,$EU$1)*$EU$4,FL26*EU26),0)</f>
        <v>0</v>
      </c>
      <c r="FC26" s="849" t="e">
        <f>_xlfn.CONCAT('Customer Inputs'!$AG$10,"_",ET26)</f>
        <v>#N/A</v>
      </c>
      <c r="FD26" s="849">
        <f t="array" ref="FD26">IFERROR(INDEX('Margin Guidence Table'!$A$1:$AG$10000,MATCH(1,('Margin Guidence Table'!$A$1:$A$10000=FC26)*('Margin Guidence Table'!$I$1:$I$10000&lt;=ROUND($EU$3,0))*('Margin Guidence Table'!$J$1:$J$10000&gt;=ROUND($EU$3,0)),0),MATCH("DATA_POINTS",'Margin Guidence Table'!$A$1:$AG$1,0)),0)</f>
        <v>0</v>
      </c>
      <c r="FE26" s="846" t="str">
        <f t="shared" si="36"/>
        <v>DEFAULT</v>
      </c>
      <c r="FF26" s="846">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6"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0">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0">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0">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0">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0">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0">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6">
        <f>IFERROR(IF(AND($FR$2&lt;&gt;"Enter Spend&gt;&gt;&gt;",$FS$2="EXISTING"),SUMIFS('Existing Customers'!$S:$S,'Existing Customers'!$H:$H,$FQ26,'Existing Customers'!$A:$A,$FR$1)*$FR$4,GH26*FR26),0)</f>
        <v>0</v>
      </c>
      <c r="FY26" s="846">
        <f>IFERROR(IF(AND($FR$2&lt;&gt;"Enter Spend&gt;&gt;&gt;",$FS$2="EXISTING"),SUMIFS('Existing Customers'!$U:$U,'Existing Customers'!$H:$H,$FQ26,'Existing Customers'!$A:$A,$FR$1)*$FR$4,GI26*FR26),0)</f>
        <v>0</v>
      </c>
      <c r="FZ26" s="849" t="e">
        <f>_xlfn.CONCAT('Customer Inputs'!$AG$11,"_",FQ26)</f>
        <v>#N/A</v>
      </c>
      <c r="GA26" s="849">
        <f t="array" ref="GA26">IFERROR(INDEX('Margin Guidence Table'!$A$1:$AG$10000,MATCH(1,('Margin Guidence Table'!$A$1:$A$10000=FZ26)*('Margin Guidence Table'!$I$1:$I$10000&lt;=ROUND($FR$3,0))*('Margin Guidence Table'!$J$1:$J$10000&gt;=ROUND($FR$3,0)),0),MATCH("DATA_POINTS",'Margin Guidence Table'!$A$1:$AG$1,0)),0)</f>
        <v>0</v>
      </c>
      <c r="GB26" s="846" t="str">
        <f t="shared" si="38"/>
        <v>DEFAULT</v>
      </c>
      <c r="GC26" s="846">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6">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0">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0">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0">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0">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0">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0">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6">
        <f>IFERROR(IF(AND($GO$2&lt;&gt;"Enter Spend&gt;&gt;&gt;",$GP$2="EXISTING"),SUMIFS('Existing Customers'!$S:$S,'Existing Customers'!$H:$H,$GN26,'Existing Customers'!$A:$A,$GO$1)*$GO$4,HE26*GO26),0)</f>
        <v>0</v>
      </c>
      <c r="GV26" s="846">
        <f>IFERROR(IF(AND($GO$2&lt;&gt;"Enter Spend&gt;&gt;&gt;",$GP$2="EXISTING"),SUMIFS('Existing Customers'!$U:$U,'Existing Customers'!$H:$H,$GN26,'Existing Customers'!$A:$A,$GO$1)*$GO$4,HF26*GO26),0)</f>
        <v>0</v>
      </c>
      <c r="GW26" s="849" t="e">
        <f>_xlfn.CONCAT('Customer Inputs'!$AG$12,"_",GN26)</f>
        <v>#N/A</v>
      </c>
      <c r="GX26" s="849">
        <f t="array" ref="GX26">IFERROR(INDEX('Margin Guidence Table'!$A$1:$AG$10000,MATCH(1,('Margin Guidence Table'!$A$1:$A$10000=GW26)*('Margin Guidence Table'!$I$1:$I$10000&lt;=ROUND($GO$3,0))*('Margin Guidence Table'!$J$1:$J$10000&gt;=ROUND($GO$3,0)),0),MATCH("DATA_POINTS",'Margin Guidence Table'!$A$1:$AG$1,0)),0)</f>
        <v>0</v>
      </c>
      <c r="GY26" s="846" t="str">
        <f t="shared" si="40"/>
        <v>DEFAULT</v>
      </c>
      <c r="GZ26" s="846">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6">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0">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0">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0">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0">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0">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0">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6">
        <f>IFERROR(IF(AND($HL$2&lt;&gt;"Enter Spend&gt;&gt;&gt;",$HM$2="EXISTING"),SUMIFS('Existing Customers'!$S:$S,'Existing Customers'!$H:$H,$HK26,'Existing Customers'!$A:$A,$HL$1)*$HL$4,IB26*HL26),0)</f>
        <v>0</v>
      </c>
      <c r="HS26" s="846">
        <f>IFERROR(IF(AND($HL$2&lt;&gt;"Enter Spend&gt;&gt;&gt;",$HM$2="EXISTING"),SUMIFS('Existing Customers'!$U:$U,'Existing Customers'!$H:$H,$HK26,'Existing Customers'!$A:$A,$HL$1)*$HL$4,IC26*HL26),0)</f>
        <v>0</v>
      </c>
      <c r="HT26" s="849" t="e">
        <f>_xlfn.CONCAT('Customer Inputs'!$AG$13,"_",HK26)</f>
        <v>#N/A</v>
      </c>
      <c r="HU26" s="849">
        <f t="array" ref="HU26">IFERROR(INDEX('Margin Guidence Table'!$A$1:$AG$10000,MATCH(1,('Margin Guidence Table'!$A$1:$A$10000=HT26)*('Margin Guidence Table'!$I$1:$I$10000&lt;=ROUND($HL$3,0))*('Margin Guidence Table'!$J$1:$J$10000&gt;=ROUND($HL$3,0)),0),MATCH("DATA_POINTS",'Margin Guidence Table'!$A$1:$AG$1,0)),0)</f>
        <v>0</v>
      </c>
      <c r="HV26" s="846" t="str">
        <f t="shared" si="42"/>
        <v>DEFAULT</v>
      </c>
      <c r="HW26" s="846">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6">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0">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0">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0">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0">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0">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0">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6">
        <f>IFERROR(IF(AND($II$2&lt;&gt;"Enter Spend&gt;&gt;&gt;",$IJ$2="EXISTING"),SUMIFS('Existing Customers'!$S:$S,'Existing Customers'!$H:$H,$IH26,'Existing Customers'!$A:$A,$II$1)*$II$4,IY26*II26),0)</f>
        <v>0</v>
      </c>
      <c r="IP26" s="846">
        <f>IFERROR(IF(AND($II$2&lt;&gt;"Enter Spend&gt;&gt;&gt;",$IJ$2="EXISTING"),SUMIFS('Existing Customers'!$U:$U,'Existing Customers'!$H:$H,$IH26,'Existing Customers'!$A:$A,$II$1)*$II$4,IZ26*II26),0)</f>
        <v>0</v>
      </c>
      <c r="IQ26" s="849" t="e">
        <f>_xlfn.CONCAT('Customer Inputs'!$AG$14,"_",IH26)</f>
        <v>#N/A</v>
      </c>
      <c r="IR26" s="849">
        <f t="array" ref="IR26">IFERROR(INDEX('Margin Guidence Table'!$A$1:$AG$10000,MATCH(1,('Margin Guidence Table'!$A$1:$A$10000=IQ26)*('Margin Guidence Table'!$I$1:$I$10000&lt;=ROUND($II$3,0))*('Margin Guidence Table'!$J$1:$J$10000&gt;=ROUND($II$3,0)),0),MATCH("DATA_POINTS",'Margin Guidence Table'!$A$1:$AG$1,0)),0)</f>
        <v>0</v>
      </c>
      <c r="IS26" s="846" t="str">
        <f t="shared" si="44"/>
        <v>DEFAULT</v>
      </c>
      <c r="IT26" s="846">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6">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0">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0">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0">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0">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0">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0">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6">
        <f>IFERROR(IF(AND($JF$2&lt;&gt;"Enter Spend&gt;&gt;&gt;",$JG$2="EXISTING"),SUMIFS('Existing Customers'!$S:$S,'Existing Customers'!$H:$H,$JE26,'Existing Customers'!$A:$A,$JF$1)*$JF$4,JV26*JF26),0)</f>
        <v>0</v>
      </c>
      <c r="JM26" s="846">
        <f>IFERROR(IF(AND($JF$2&lt;&gt;"Enter Spend&gt;&gt;&gt;",$JG$2="EXISTING"),SUMIFS('Existing Customers'!$U:$U,'Existing Customers'!$H:$H,$JE26,'Existing Customers'!$A:$A,$JF$1)*$JF$4,JW26*JF26),0)</f>
        <v>0</v>
      </c>
      <c r="JN26" s="849" t="e">
        <f>_xlfn.CONCAT('Customer Inputs'!$AG$15,"_",JE26)</f>
        <v>#N/A</v>
      </c>
      <c r="JO26" s="849">
        <f t="array" ref="JO26">IFERROR(INDEX('Margin Guidence Table'!$A$1:$AG$10000,MATCH(1,('Margin Guidence Table'!$A$1:$A$10000=JN26)*('Margin Guidence Table'!$I$1:$I$10000&lt;=ROUND($JF$3,0))*('Margin Guidence Table'!$J$1:$J$10000&gt;=ROUND($JF$3,0)),0),MATCH("DATA_POINTS",'Margin Guidence Table'!$A$1:$AG$1,0)),0)</f>
        <v>0</v>
      </c>
      <c r="JP26" s="846" t="str">
        <f t="shared" si="46"/>
        <v>DEFAULT</v>
      </c>
      <c r="JQ26" s="846">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6">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0">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0">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0">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0">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0">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0">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66">
        <f t="shared" si="0"/>
        <v>0</v>
      </c>
      <c r="H27" s="1466">
        <f t="shared" si="0"/>
        <v>0</v>
      </c>
      <c r="I27" s="395">
        <f t="shared" si="11"/>
        <v>0</v>
      </c>
      <c r="J27" s="394">
        <f t="shared" si="12"/>
        <v>0</v>
      </c>
      <c r="K27" s="844">
        <f t="shared" si="13"/>
        <v>0</v>
      </c>
      <c r="L27" s="844">
        <f t="shared" si="14"/>
        <v>0</v>
      </c>
      <c r="M27" s="844">
        <f t="shared" si="15"/>
        <v>0</v>
      </c>
      <c r="N27" s="1466">
        <f>IF('PIM Model'!D23="$/CS",IFERROR(ROUND(SUM(BT27*$BR$35+CQ27*$CO$35+DN27*$DL$35+EK27*$EI$35+FH27*$FF$35+GE27*$GC$35+HB27*$GZ$35+HY27*$HW$35+IV27*$IT$35+JS27*$JQ$35)/$G$35,2),0),IF('PIM Model'!D23="$/LB",IFERROR(ROUND(SUM(BT27*$BS$35+CQ27*$CP$35+DN27*$DM$35+EK27*$EJ$35+FH27*$FG$35+GE27*$GD$35+HB27*$HA$35+HY27*$HX$35+IV27*$IU$35+JS27*$JR$35)/$H$35,2),0),0))</f>
        <v>0</v>
      </c>
      <c r="O27" s="1466">
        <f>IF('PIM Model'!D23="$/CS",IFERROR(ROUND(SUM(BU27*$BR$35+CR27*$CO$35+DO27*$DL$35+EL27*$EI$35+FI27*$FF$35+GF27*$GC$35+HC27*$GZ$35+HZ27*$HW$35+IW27*$IT$35+JT27*$JQ$35)/$G$35,2),0),IF('PIM Model'!D23="$/LB",IFERROR(ROUND(SUM(BU27*$BS$35+CR27*$CP$35+DO27*$DM$35+EL27*$EJ$35+FI27*$FG$35+GF27*$GD$35+HC27*$HA$35+HZ27*$HX$35+IW27*$IU$35+JT27*$JR$35)/$H$35,2),0),0))</f>
        <v>0</v>
      </c>
      <c r="P27" s="1466">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5">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8" t="e">
        <f>_xlfn.CONCAT('Customer Inputs'!$AG$6,"_",BF27)</f>
        <v>#N/A</v>
      </c>
      <c r="BP27" s="849">
        <f t="array" ref="BP27">IFERROR(INDEX('Margin Guidence Table'!$A$1:$AG$10000,MATCH(1,('Margin Guidence Table'!$A$1:$A$10000=$BO27)*('Margin Guidence Table'!$I$1:$I$10000&lt;=ROUND($BG$3,0))*('Margin Guidence Table'!$J$1:$J$10000&gt;=ROUND($BG$3,0)),0),MATCH("DATA_POINTS",'Margin Guidence Table'!$A$1:$AG$1,0)),0)</f>
        <v>0</v>
      </c>
      <c r="BQ27" s="846" t="str">
        <f t="shared" si="28"/>
        <v>DEFAULT</v>
      </c>
      <c r="BR27" s="846">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6">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0">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0">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0">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0">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0">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0">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6">
        <f>IFERROR(IF(AND($CD$2&lt;&gt;"Enter Spend&gt;&gt;&gt;",$CE$2="EXISTING"),SUMIFS('Existing Customers'!$S:$S,'Existing Customers'!$H:$H,$CC27,'Existing Customers'!$A:$A,$CD$1)*$CD$4,CT27*CD27),0)</f>
        <v>0</v>
      </c>
      <c r="CK27" s="846">
        <f>IFERROR(IF(AND($CD$2&lt;&gt;"Enter Spend&gt;&gt;&gt;",$CE$2="EXISTING"),SUMIFS('Existing Customers'!$U:$U,'Existing Customers'!$H:$H,$CC27,'Existing Customers'!$A:$A,$CD$1)*$CD$4,CU27*CD27),0)</f>
        <v>0</v>
      </c>
      <c r="CL27" s="849" t="e">
        <f>_xlfn.CONCAT('Customer Inputs'!$AG$7,"_",CC27)</f>
        <v>#N/A</v>
      </c>
      <c r="CM27" s="849">
        <f t="array" ref="CM27">IFERROR(INDEX('Margin Guidence Table'!$A$1:$AG$10000,MATCH(1,('Margin Guidence Table'!$A$1:$A$10000=$CL27)*('Margin Guidence Table'!$I$1:$I$10000&lt;=ROUND($CD$3,0))*('Margin Guidence Table'!$J$1:$J$10000&gt;=ROUND($CD$3,0)),0),MATCH("DATA_POINTS",'Margin Guidence Table'!$A$1:$AG$1,0)),0)</f>
        <v>0</v>
      </c>
      <c r="CN27" s="846" t="str">
        <f t="shared" si="30"/>
        <v>DEFAULT</v>
      </c>
      <c r="CO27" s="846">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6">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0">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0">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0">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0">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0">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0">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6">
        <f>IFERROR(IF(AND($DA$2&lt;&gt;"Enter Spend&gt;&gt;&gt;",$DB$2="EXISTING"),SUMIFS('Existing Customers'!$S:$S,'Existing Customers'!$H:$H,$CZ27,'Existing Customers'!$A:$A,$DA$1)*$DA$4,DQ27*DA27),0)</f>
        <v>0</v>
      </c>
      <c r="DH27" s="846">
        <f>IFERROR(IF(AND($DA$2&lt;&gt;"Enter Spend&gt;&gt;&gt;",$DB$2="EXISTING"),SUMIFS('Existing Customers'!$U:$U,'Existing Customers'!$H:$H,$CZ27,'Existing Customers'!$A:$A,$DA$1)*$DA$4,DR27*DA27),0)</f>
        <v>0</v>
      </c>
      <c r="DI27" s="849" t="e">
        <f>_xlfn.CONCAT('Customer Inputs'!$AG$8,"_",CZ27)</f>
        <v>#N/A</v>
      </c>
      <c r="DJ27" s="849">
        <f t="array" ref="DJ27">IFERROR(INDEX('Margin Guidence Table'!$A$1:$AG$10000,MATCH(1,('Margin Guidence Table'!$A$1:$A$10000=DI27)*('Margin Guidence Table'!$I$1:$I$10000&lt;=ROUND($DA$3,0))*('Margin Guidence Table'!$J$1:$J$10000&gt;=ROUND($DA$3,0)),0),MATCH("DATA_POINTS",'Margin Guidence Table'!$A$1:$AG$1,0)),0)</f>
        <v>0</v>
      </c>
      <c r="DK27" s="846" t="str">
        <f t="shared" si="32"/>
        <v>DEFAULT</v>
      </c>
      <c r="DL27" s="846">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6">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0">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0">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0">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0">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0">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0">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6">
        <f>IFERROR(IF(AND($DX$2&lt;&gt;"Enter Spend&gt;&gt;&gt;",$DY$2="EXISTING"),SUMIFS('Existing Customers'!$S:$S,'Existing Customers'!$H:$H,$DY27,'Existing Customers'!$A:$A,$DX$1)*$DX$4,EN27*DX27),0)</f>
        <v>0</v>
      </c>
      <c r="EE27" s="846">
        <f>IFERROR(IF(AND($DX$2&lt;&gt;"Enter Spend&gt;&gt;&gt;",$DY$2="EXISTING"),SUMIFS('Existing Customers'!$U:$U,'Existing Customers'!$H:$H,$DW27,'Existing Customers'!$A:$A,$DX$1)*$DX$4,EO27*DX27),0)</f>
        <v>0</v>
      </c>
      <c r="EF27" s="849" t="e">
        <f>_xlfn.CONCAT('Customer Inputs'!$AG$9,"_",DW27)</f>
        <v>#N/A</v>
      </c>
      <c r="EG27" s="849">
        <f t="array" ref="EG27">IFERROR(INDEX('Margin Guidence Table'!$A$1:$AG$10000,MATCH(1,('Margin Guidence Table'!$A$1:$A$10000=EF27)*('Margin Guidence Table'!$I$1:$I$10000&lt;=ROUND($DX$3,0))*('Margin Guidence Table'!$J$1:$J$10000&gt;=ROUND($DX$3,0)),0),MATCH("DATA_POINTS",'Margin Guidence Table'!$A$1:$AG$1,0)),0)</f>
        <v>0</v>
      </c>
      <c r="EH27" s="846" t="str">
        <f t="shared" si="34"/>
        <v>DEFAULT</v>
      </c>
      <c r="EI27" s="846">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6">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0">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0">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0">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0">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0">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0">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6">
        <f>IFERROR(IF(AND($EU$2&lt;&gt;"Enter Spend&gt;&gt;&gt;",$EV$2="EXISTING"),SUMIFS('Existing Customers'!$S:$S,'Existing Customers'!$H:$H,$ET27,'Existing Customers'!$A:$A,$EU$1)*$EU$4,FK27*EU27),0)</f>
        <v>0</v>
      </c>
      <c r="FB27" s="846">
        <f>IFERROR(IF(AND($EU$2&lt;&gt;"Enter Spend&gt;&gt;&gt;",$EV$2="EXISTING"),SUMIFS('Existing Customers'!$U:$U,'Existing Customers'!$H:$H,$ET27,'Existing Customers'!$A:$A,$EU$1)*$EU$4,FL27*EU27),0)</f>
        <v>0</v>
      </c>
      <c r="FC27" s="849" t="e">
        <f>_xlfn.CONCAT('Customer Inputs'!$AG$10,"_",ET27)</f>
        <v>#N/A</v>
      </c>
      <c r="FD27" s="849">
        <f t="array" ref="FD27">IFERROR(INDEX('Margin Guidence Table'!$A$1:$AG$10000,MATCH(1,('Margin Guidence Table'!$A$1:$A$10000=FC27)*('Margin Guidence Table'!$I$1:$I$10000&lt;=ROUND($EU$3,0))*('Margin Guidence Table'!$J$1:$J$10000&gt;=ROUND($EU$3,0)),0),MATCH("DATA_POINTS",'Margin Guidence Table'!$A$1:$AG$1,0)),0)</f>
        <v>0</v>
      </c>
      <c r="FE27" s="846" t="str">
        <f t="shared" si="36"/>
        <v>DEFAULT</v>
      </c>
      <c r="FF27" s="846">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6"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0">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0">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0">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0">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0">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0">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6">
        <f>IFERROR(IF(AND($FR$2&lt;&gt;"Enter Spend&gt;&gt;&gt;",$FS$2="EXISTING"),SUMIFS('Existing Customers'!$S:$S,'Existing Customers'!$H:$H,$FQ27,'Existing Customers'!$A:$A,$FR$1)*$FR$4,GH27*FR27),0)</f>
        <v>0</v>
      </c>
      <c r="FY27" s="846">
        <f>IFERROR(IF(AND($FR$2&lt;&gt;"Enter Spend&gt;&gt;&gt;",$FS$2="EXISTING"),SUMIFS('Existing Customers'!$U:$U,'Existing Customers'!$H:$H,$FQ27,'Existing Customers'!$A:$A,$FR$1)*$FR$4,GI27*FR27),0)</f>
        <v>0</v>
      </c>
      <c r="FZ27" s="849" t="e">
        <f>_xlfn.CONCAT('Customer Inputs'!$AG$11,"_",FQ27)</f>
        <v>#N/A</v>
      </c>
      <c r="GA27" s="849">
        <f t="array" ref="GA27">IFERROR(INDEX('Margin Guidence Table'!$A$1:$AG$10000,MATCH(1,('Margin Guidence Table'!$A$1:$A$10000=FZ27)*('Margin Guidence Table'!$I$1:$I$10000&lt;=ROUND($FR$3,0))*('Margin Guidence Table'!$J$1:$J$10000&gt;=ROUND($FR$3,0)),0),MATCH("DATA_POINTS",'Margin Guidence Table'!$A$1:$AG$1,0)),0)</f>
        <v>0</v>
      </c>
      <c r="GB27" s="846" t="str">
        <f t="shared" si="38"/>
        <v>DEFAULT</v>
      </c>
      <c r="GC27" s="846">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6">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0">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0">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0">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0">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0">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0">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6">
        <f>IFERROR(IF(AND($GO$2&lt;&gt;"Enter Spend&gt;&gt;&gt;",$GP$2="EXISTING"),SUMIFS('Existing Customers'!$S:$S,'Existing Customers'!$H:$H,$GN27,'Existing Customers'!$A:$A,$GO$1)*$GO$4,HE27*GO27),0)</f>
        <v>0</v>
      </c>
      <c r="GV27" s="846">
        <f>IFERROR(IF(AND($GO$2&lt;&gt;"Enter Spend&gt;&gt;&gt;",$GP$2="EXISTING"),SUMIFS('Existing Customers'!$U:$U,'Existing Customers'!$H:$H,$GN27,'Existing Customers'!$A:$A,$GO$1)*$GO$4,HF27*GO27),0)</f>
        <v>0</v>
      </c>
      <c r="GW27" s="849" t="e">
        <f>_xlfn.CONCAT('Customer Inputs'!$AG$12,"_",GN27)</f>
        <v>#N/A</v>
      </c>
      <c r="GX27" s="849">
        <f t="array" ref="GX27">IFERROR(INDEX('Margin Guidence Table'!$A$1:$AG$10000,MATCH(1,('Margin Guidence Table'!$A$1:$A$10000=GW27)*('Margin Guidence Table'!$I$1:$I$10000&lt;=ROUND($GO$3,0))*('Margin Guidence Table'!$J$1:$J$10000&gt;=ROUND($GO$3,0)),0),MATCH("DATA_POINTS",'Margin Guidence Table'!$A$1:$AG$1,0)),0)</f>
        <v>0</v>
      </c>
      <c r="GY27" s="846" t="str">
        <f t="shared" si="40"/>
        <v>DEFAULT</v>
      </c>
      <c r="GZ27" s="846">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6">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0">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0">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0">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0">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0">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0">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6">
        <f>IFERROR(IF(AND($HL$2&lt;&gt;"Enter Spend&gt;&gt;&gt;",$HM$2="EXISTING"),SUMIFS('Existing Customers'!$S:$S,'Existing Customers'!$H:$H,$HK27,'Existing Customers'!$A:$A,$HL$1)*$HL$4,IB27*HL27),0)</f>
        <v>0</v>
      </c>
      <c r="HS27" s="846">
        <f>IFERROR(IF(AND($HL$2&lt;&gt;"Enter Spend&gt;&gt;&gt;",$HM$2="EXISTING"),SUMIFS('Existing Customers'!$U:$U,'Existing Customers'!$H:$H,$HK27,'Existing Customers'!$A:$A,$HL$1)*$HL$4,IC27*HL27),0)</f>
        <v>0</v>
      </c>
      <c r="HT27" s="849" t="e">
        <f>_xlfn.CONCAT('Customer Inputs'!$AG$13,"_",HK27)</f>
        <v>#N/A</v>
      </c>
      <c r="HU27" s="849">
        <f t="array" ref="HU27">IFERROR(INDEX('Margin Guidence Table'!$A$1:$AG$10000,MATCH(1,('Margin Guidence Table'!$A$1:$A$10000=HT27)*('Margin Guidence Table'!$I$1:$I$10000&lt;=ROUND($HL$3,0))*('Margin Guidence Table'!$J$1:$J$10000&gt;=ROUND($HL$3,0)),0),MATCH("DATA_POINTS",'Margin Guidence Table'!$A$1:$AG$1,0)),0)</f>
        <v>0</v>
      </c>
      <c r="HV27" s="846" t="str">
        <f t="shared" si="42"/>
        <v>DEFAULT</v>
      </c>
      <c r="HW27" s="846">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6">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0">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0">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0">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0">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0">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0">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6">
        <f>IFERROR(IF(AND($II$2&lt;&gt;"Enter Spend&gt;&gt;&gt;",$IJ$2="EXISTING"),SUMIFS('Existing Customers'!$S:$S,'Existing Customers'!$H:$H,$IH27,'Existing Customers'!$A:$A,$II$1)*$II$4,IY27*II27),0)</f>
        <v>0</v>
      </c>
      <c r="IP27" s="846">
        <f>IFERROR(IF(AND($II$2&lt;&gt;"Enter Spend&gt;&gt;&gt;",$IJ$2="EXISTING"),SUMIFS('Existing Customers'!$U:$U,'Existing Customers'!$H:$H,$IH27,'Existing Customers'!$A:$A,$II$1)*$II$4,IZ27*II27),0)</f>
        <v>0</v>
      </c>
      <c r="IQ27" s="849" t="e">
        <f>_xlfn.CONCAT('Customer Inputs'!$AG$14,"_",IH27)</f>
        <v>#N/A</v>
      </c>
      <c r="IR27" s="849">
        <f t="array" ref="IR27">IFERROR(INDEX('Margin Guidence Table'!$A$1:$AG$10000,MATCH(1,('Margin Guidence Table'!$A$1:$A$10000=IQ27)*('Margin Guidence Table'!$I$1:$I$10000&lt;=ROUND($II$3,0))*('Margin Guidence Table'!$J$1:$J$10000&gt;=ROUND($II$3,0)),0),MATCH("DATA_POINTS",'Margin Guidence Table'!$A$1:$AG$1,0)),0)</f>
        <v>0</v>
      </c>
      <c r="IS27" s="846" t="str">
        <f t="shared" si="44"/>
        <v>DEFAULT</v>
      </c>
      <c r="IT27" s="846">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6">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0">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0">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0">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0">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0">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0">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6">
        <f>IFERROR(IF(AND($JF$2&lt;&gt;"Enter Spend&gt;&gt;&gt;",$JG$2="EXISTING"),SUMIFS('Existing Customers'!$S:$S,'Existing Customers'!$H:$H,$JE27,'Existing Customers'!$A:$A,$JF$1)*$JF$4,JV27*JF27),0)</f>
        <v>0</v>
      </c>
      <c r="JM27" s="846">
        <f>IFERROR(IF(AND($JF$2&lt;&gt;"Enter Spend&gt;&gt;&gt;",$JG$2="EXISTING"),SUMIFS('Existing Customers'!$U:$U,'Existing Customers'!$H:$H,$JE27,'Existing Customers'!$A:$A,$JF$1)*$JF$4,JW27*JF27),0)</f>
        <v>0</v>
      </c>
      <c r="JN27" s="849" t="e">
        <f>_xlfn.CONCAT('Customer Inputs'!$AG$15,"_",JE27)</f>
        <v>#N/A</v>
      </c>
      <c r="JO27" s="849">
        <f t="array" ref="JO27">IFERROR(INDEX('Margin Guidence Table'!$A$1:$AG$10000,MATCH(1,('Margin Guidence Table'!$A$1:$A$10000=JN27)*('Margin Guidence Table'!$I$1:$I$10000&lt;=ROUND($JF$3,0))*('Margin Guidence Table'!$J$1:$J$10000&gt;=ROUND($JF$3,0)),0),MATCH("DATA_POINTS",'Margin Guidence Table'!$A$1:$AG$1,0)),0)</f>
        <v>0</v>
      </c>
      <c r="JP27" s="846" t="str">
        <f t="shared" si="46"/>
        <v>DEFAULT</v>
      </c>
      <c r="JQ27" s="846">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6">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0">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0">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0">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0">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0">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0">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66">
        <f t="shared" si="0"/>
        <v>0</v>
      </c>
      <c r="H28" s="1466">
        <f t="shared" si="0"/>
        <v>0</v>
      </c>
      <c r="I28" s="395">
        <f t="shared" si="11"/>
        <v>0</v>
      </c>
      <c r="J28" s="394">
        <f t="shared" si="12"/>
        <v>0</v>
      </c>
      <c r="K28" s="844">
        <f t="shared" si="13"/>
        <v>0</v>
      </c>
      <c r="L28" s="844">
        <f t="shared" si="14"/>
        <v>0</v>
      </c>
      <c r="M28" s="844">
        <f t="shared" si="15"/>
        <v>0</v>
      </c>
      <c r="N28" s="1466">
        <f>IF('PIM Model'!D24="$/CS",IFERROR(ROUND(SUM(BT28*$BR$35+CQ28*$CO$35+DN28*$DL$35+EK28*$EI$35+FH28*$FF$35+GE28*$GC$35+HB28*$GZ$35+HY28*$HW$35+IV28*$IT$35+JS28*$JQ$35)/$G$35,2),0),IF('PIM Model'!D24="$/LB",IFERROR(ROUND(SUM(BT28*$BS$35+CQ28*$CP$35+DN28*$DM$35+EK28*$EJ$35+FH28*$FG$35+GE28*$GD$35+HB28*$HA$35+HY28*$HX$35+IV28*$IU$35+JS28*$JR$35)/$H$35,2),0),0))</f>
        <v>0</v>
      </c>
      <c r="O28" s="1466">
        <f>IF('PIM Model'!D24="$/CS",IFERROR(ROUND(SUM(BU28*$BR$35+CR28*$CO$35+DO28*$DL$35+EL28*$EI$35+FI28*$FF$35+GF28*$GC$35+HC28*$GZ$35+HZ28*$HW$35+IW28*$IT$35+JT28*$JQ$35)/$G$35,2),0),IF('PIM Model'!D24="$/LB",IFERROR(ROUND(SUM(BU28*$BS$35+CR28*$CP$35+DO28*$DM$35+EL28*$EJ$35+FI28*$FG$35+GF28*$GD$35+HC28*$HA$35+HZ28*$HX$35+IW28*$IU$35+JT28*$JR$35)/$H$35,2),0),0))</f>
        <v>0</v>
      </c>
      <c r="P28" s="1466">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5">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8" t="e">
        <f>_xlfn.CONCAT('Customer Inputs'!$AG$6,"_",BF28)</f>
        <v>#N/A</v>
      </c>
      <c r="BP28" s="849">
        <f t="array" ref="BP28">IFERROR(INDEX('Margin Guidence Table'!$A$1:$AG$10000,MATCH(1,('Margin Guidence Table'!$A$1:$A$10000=$BO28)*('Margin Guidence Table'!$I$1:$I$10000&lt;=ROUND($BG$3,0))*('Margin Guidence Table'!$J$1:$J$10000&gt;=ROUND($BG$3,0)),0),MATCH("DATA_POINTS",'Margin Guidence Table'!$A$1:$AG$1,0)),0)</f>
        <v>0</v>
      </c>
      <c r="BQ28" s="846" t="str">
        <f t="shared" si="28"/>
        <v>DEFAULT</v>
      </c>
      <c r="BR28" s="846">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6">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0">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0">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0">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0">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0">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0">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6">
        <f>IFERROR(IF(AND($CD$2&lt;&gt;"Enter Spend&gt;&gt;&gt;",$CE$2="EXISTING"),SUMIFS('Existing Customers'!$S:$S,'Existing Customers'!$H:$H,$CC28,'Existing Customers'!$A:$A,$CD$1)*$CD$4,CT28*CD28),0)</f>
        <v>0</v>
      </c>
      <c r="CK28" s="846">
        <f>IFERROR(IF(AND($CD$2&lt;&gt;"Enter Spend&gt;&gt;&gt;",$CE$2="EXISTING"),SUMIFS('Existing Customers'!$U:$U,'Existing Customers'!$H:$H,$CC28,'Existing Customers'!$A:$A,$CD$1)*$CD$4,CU28*CD28),0)</f>
        <v>0</v>
      </c>
      <c r="CL28" s="849" t="e">
        <f>_xlfn.CONCAT('Customer Inputs'!$AG$7,"_",CC28)</f>
        <v>#N/A</v>
      </c>
      <c r="CM28" s="849">
        <f t="array" ref="CM28">IFERROR(INDEX('Margin Guidence Table'!$A$1:$AG$10000,MATCH(1,('Margin Guidence Table'!$A$1:$A$10000=$CL28)*('Margin Guidence Table'!$I$1:$I$10000&lt;=ROUND($CD$3,0))*('Margin Guidence Table'!$J$1:$J$10000&gt;=ROUND($CD$3,0)),0),MATCH("DATA_POINTS",'Margin Guidence Table'!$A$1:$AG$1,0)),0)</f>
        <v>0</v>
      </c>
      <c r="CN28" s="846" t="str">
        <f t="shared" si="30"/>
        <v>DEFAULT</v>
      </c>
      <c r="CO28" s="846">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6">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0">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0">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0">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0">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0">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0">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6">
        <f>IFERROR(IF(AND($DA$2&lt;&gt;"Enter Spend&gt;&gt;&gt;",$DB$2="EXISTING"),SUMIFS('Existing Customers'!$S:$S,'Existing Customers'!$H:$H,$CZ28,'Existing Customers'!$A:$A,$DA$1)*$DA$4,DQ28*DA28),0)</f>
        <v>0</v>
      </c>
      <c r="DH28" s="846">
        <f>IFERROR(IF(AND($DA$2&lt;&gt;"Enter Spend&gt;&gt;&gt;",$DB$2="EXISTING"),SUMIFS('Existing Customers'!$U:$U,'Existing Customers'!$H:$H,$CZ28,'Existing Customers'!$A:$A,$DA$1)*$DA$4,DR28*DA28),0)</f>
        <v>0</v>
      </c>
      <c r="DI28" s="849" t="e">
        <f>_xlfn.CONCAT('Customer Inputs'!$AG$8,"_",CZ28)</f>
        <v>#N/A</v>
      </c>
      <c r="DJ28" s="849">
        <f t="array" ref="DJ28">IFERROR(INDEX('Margin Guidence Table'!$A$1:$AG$10000,MATCH(1,('Margin Guidence Table'!$A$1:$A$10000=DI28)*('Margin Guidence Table'!$I$1:$I$10000&lt;=ROUND($DA$3,0))*('Margin Guidence Table'!$J$1:$J$10000&gt;=ROUND($DA$3,0)),0),MATCH("DATA_POINTS",'Margin Guidence Table'!$A$1:$AG$1,0)),0)</f>
        <v>0</v>
      </c>
      <c r="DK28" s="846" t="str">
        <f t="shared" si="32"/>
        <v>DEFAULT</v>
      </c>
      <c r="DL28" s="846">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6">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0">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0">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0">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0">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0">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0">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6">
        <f>IFERROR(IF(AND($DX$2&lt;&gt;"Enter Spend&gt;&gt;&gt;",$DY$2="EXISTING"),SUMIFS('Existing Customers'!$S:$S,'Existing Customers'!$H:$H,$DY28,'Existing Customers'!$A:$A,$DX$1)*$DX$4,EN28*DX28),0)</f>
        <v>0</v>
      </c>
      <c r="EE28" s="846">
        <f>IFERROR(IF(AND($DX$2&lt;&gt;"Enter Spend&gt;&gt;&gt;",$DY$2="EXISTING"),SUMIFS('Existing Customers'!$U:$U,'Existing Customers'!$H:$H,$DW28,'Existing Customers'!$A:$A,$DX$1)*$DX$4,EO28*DX28),0)</f>
        <v>0</v>
      </c>
      <c r="EF28" s="849" t="e">
        <f>_xlfn.CONCAT('Customer Inputs'!$AG$9,"_",DW28)</f>
        <v>#N/A</v>
      </c>
      <c r="EG28" s="849">
        <f t="array" ref="EG28">IFERROR(INDEX('Margin Guidence Table'!$A$1:$AG$10000,MATCH(1,('Margin Guidence Table'!$A$1:$A$10000=EF28)*('Margin Guidence Table'!$I$1:$I$10000&lt;=ROUND($DX$3,0))*('Margin Guidence Table'!$J$1:$J$10000&gt;=ROUND($DX$3,0)),0),MATCH("DATA_POINTS",'Margin Guidence Table'!$A$1:$AG$1,0)),0)</f>
        <v>0</v>
      </c>
      <c r="EH28" s="846" t="str">
        <f t="shared" si="34"/>
        <v>DEFAULT</v>
      </c>
      <c r="EI28" s="846">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6">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0">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0">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0">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0">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0">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0">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6">
        <f>IFERROR(IF(AND($EU$2&lt;&gt;"Enter Spend&gt;&gt;&gt;",$EV$2="EXISTING"),SUMIFS('Existing Customers'!$S:$S,'Existing Customers'!$H:$H,$ET28,'Existing Customers'!$A:$A,$EU$1)*$EU$4,FK28*EU28),0)</f>
        <v>0</v>
      </c>
      <c r="FB28" s="846">
        <f>IFERROR(IF(AND($EU$2&lt;&gt;"Enter Spend&gt;&gt;&gt;",$EV$2="EXISTING"),SUMIFS('Existing Customers'!$U:$U,'Existing Customers'!$H:$H,$ET28,'Existing Customers'!$A:$A,$EU$1)*$EU$4,FL28*EU28),0)</f>
        <v>0</v>
      </c>
      <c r="FC28" s="849" t="e">
        <f>_xlfn.CONCAT('Customer Inputs'!$AG$10,"_",ET28)</f>
        <v>#N/A</v>
      </c>
      <c r="FD28" s="849">
        <f t="array" ref="FD28">IFERROR(INDEX('Margin Guidence Table'!$A$1:$AG$10000,MATCH(1,('Margin Guidence Table'!$A$1:$A$10000=FC28)*('Margin Guidence Table'!$I$1:$I$10000&lt;=ROUND($EU$3,0))*('Margin Guidence Table'!$J$1:$J$10000&gt;=ROUND($EU$3,0)),0),MATCH("DATA_POINTS",'Margin Guidence Table'!$A$1:$AG$1,0)),0)</f>
        <v>0</v>
      </c>
      <c r="FE28" s="846" t="str">
        <f t="shared" si="36"/>
        <v>DEFAULT</v>
      </c>
      <c r="FF28" s="846">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6"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0">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0">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0">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0">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0">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0">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6">
        <f>IFERROR(IF(AND($FR$2&lt;&gt;"Enter Spend&gt;&gt;&gt;",$FS$2="EXISTING"),SUMIFS('Existing Customers'!$S:$S,'Existing Customers'!$H:$H,$FQ28,'Existing Customers'!$A:$A,$FR$1)*$FR$4,GH28*FR28),0)</f>
        <v>0</v>
      </c>
      <c r="FY28" s="846">
        <f>IFERROR(IF(AND($FR$2&lt;&gt;"Enter Spend&gt;&gt;&gt;",$FS$2="EXISTING"),SUMIFS('Existing Customers'!$U:$U,'Existing Customers'!$H:$H,$FQ28,'Existing Customers'!$A:$A,$FR$1)*$FR$4,GI28*FR28),0)</f>
        <v>0</v>
      </c>
      <c r="FZ28" s="849" t="e">
        <f>_xlfn.CONCAT('Customer Inputs'!$AG$11,"_",FQ28)</f>
        <v>#N/A</v>
      </c>
      <c r="GA28" s="849">
        <f t="array" ref="GA28">IFERROR(INDEX('Margin Guidence Table'!$A$1:$AG$10000,MATCH(1,('Margin Guidence Table'!$A$1:$A$10000=FZ28)*('Margin Guidence Table'!$I$1:$I$10000&lt;=ROUND($FR$3,0))*('Margin Guidence Table'!$J$1:$J$10000&gt;=ROUND($FR$3,0)),0),MATCH("DATA_POINTS",'Margin Guidence Table'!$A$1:$AG$1,0)),0)</f>
        <v>0</v>
      </c>
      <c r="GB28" s="846" t="str">
        <f t="shared" si="38"/>
        <v>DEFAULT</v>
      </c>
      <c r="GC28" s="846">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6">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0">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0">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0">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0">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0">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0">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6">
        <f>IFERROR(IF(AND($GO$2&lt;&gt;"Enter Spend&gt;&gt;&gt;",$GP$2="EXISTING"),SUMIFS('Existing Customers'!$S:$S,'Existing Customers'!$H:$H,$GN28,'Existing Customers'!$A:$A,$GO$1)*$GO$4,HE28*GO28),0)</f>
        <v>0</v>
      </c>
      <c r="GV28" s="846">
        <f>IFERROR(IF(AND($GO$2&lt;&gt;"Enter Spend&gt;&gt;&gt;",$GP$2="EXISTING"),SUMIFS('Existing Customers'!$U:$U,'Existing Customers'!$H:$H,$GN28,'Existing Customers'!$A:$A,$GO$1)*$GO$4,HF28*GO28),0)</f>
        <v>0</v>
      </c>
      <c r="GW28" s="849" t="e">
        <f>_xlfn.CONCAT('Customer Inputs'!$AG$12,"_",GN28)</f>
        <v>#N/A</v>
      </c>
      <c r="GX28" s="849">
        <f t="array" ref="GX28">IFERROR(INDEX('Margin Guidence Table'!$A$1:$AG$10000,MATCH(1,('Margin Guidence Table'!$A$1:$A$10000=GW28)*('Margin Guidence Table'!$I$1:$I$10000&lt;=ROUND($GO$3,0))*('Margin Guidence Table'!$J$1:$J$10000&gt;=ROUND($GO$3,0)),0),MATCH("DATA_POINTS",'Margin Guidence Table'!$A$1:$AG$1,0)),0)</f>
        <v>0</v>
      </c>
      <c r="GY28" s="846" t="str">
        <f t="shared" si="40"/>
        <v>DEFAULT</v>
      </c>
      <c r="GZ28" s="846">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6">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0">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0">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0">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0">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0">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0">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6">
        <f>IFERROR(IF(AND($HL$2&lt;&gt;"Enter Spend&gt;&gt;&gt;",$HM$2="EXISTING"),SUMIFS('Existing Customers'!$S:$S,'Existing Customers'!$H:$H,$HK28,'Existing Customers'!$A:$A,$HL$1)*$HL$4,IB28*HL28),0)</f>
        <v>0</v>
      </c>
      <c r="HS28" s="846">
        <f>IFERROR(IF(AND($HL$2&lt;&gt;"Enter Spend&gt;&gt;&gt;",$HM$2="EXISTING"),SUMIFS('Existing Customers'!$U:$U,'Existing Customers'!$H:$H,$HK28,'Existing Customers'!$A:$A,$HL$1)*$HL$4,IC28*HL28),0)</f>
        <v>0</v>
      </c>
      <c r="HT28" s="849" t="e">
        <f>_xlfn.CONCAT('Customer Inputs'!$AG$13,"_",HK28)</f>
        <v>#N/A</v>
      </c>
      <c r="HU28" s="849">
        <f t="array" ref="HU28">IFERROR(INDEX('Margin Guidence Table'!$A$1:$AG$10000,MATCH(1,('Margin Guidence Table'!$A$1:$A$10000=HT28)*('Margin Guidence Table'!$I$1:$I$10000&lt;=ROUND($HL$3,0))*('Margin Guidence Table'!$J$1:$J$10000&gt;=ROUND($HL$3,0)),0),MATCH("DATA_POINTS",'Margin Guidence Table'!$A$1:$AG$1,0)),0)</f>
        <v>0</v>
      </c>
      <c r="HV28" s="846" t="str">
        <f t="shared" si="42"/>
        <v>DEFAULT</v>
      </c>
      <c r="HW28" s="846">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6">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0">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0">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0">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0">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0">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0">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6">
        <f>IFERROR(IF(AND($II$2&lt;&gt;"Enter Spend&gt;&gt;&gt;",$IJ$2="EXISTING"),SUMIFS('Existing Customers'!$S:$S,'Existing Customers'!$H:$H,$IH28,'Existing Customers'!$A:$A,$II$1)*$II$4,IY28*II28),0)</f>
        <v>0</v>
      </c>
      <c r="IP28" s="846">
        <f>IFERROR(IF(AND($II$2&lt;&gt;"Enter Spend&gt;&gt;&gt;",$IJ$2="EXISTING"),SUMIFS('Existing Customers'!$U:$U,'Existing Customers'!$H:$H,$IH28,'Existing Customers'!$A:$A,$II$1)*$II$4,IZ28*II28),0)</f>
        <v>0</v>
      </c>
      <c r="IQ28" s="849" t="e">
        <f>_xlfn.CONCAT('Customer Inputs'!$AG$14,"_",IH28)</f>
        <v>#N/A</v>
      </c>
      <c r="IR28" s="849">
        <f t="array" ref="IR28">IFERROR(INDEX('Margin Guidence Table'!$A$1:$AG$10000,MATCH(1,('Margin Guidence Table'!$A$1:$A$10000=IQ28)*('Margin Guidence Table'!$I$1:$I$10000&lt;=ROUND($II$3,0))*('Margin Guidence Table'!$J$1:$J$10000&gt;=ROUND($II$3,0)),0),MATCH("DATA_POINTS",'Margin Guidence Table'!$A$1:$AG$1,0)),0)</f>
        <v>0</v>
      </c>
      <c r="IS28" s="846" t="str">
        <f t="shared" si="44"/>
        <v>DEFAULT</v>
      </c>
      <c r="IT28" s="846">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6">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0">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0">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0">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0">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0">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0">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6">
        <f>IFERROR(IF(AND($JF$2&lt;&gt;"Enter Spend&gt;&gt;&gt;",$JG$2="EXISTING"),SUMIFS('Existing Customers'!$S:$S,'Existing Customers'!$H:$H,$JE28,'Existing Customers'!$A:$A,$JF$1)*$JF$4,JV28*JF28),0)</f>
        <v>0</v>
      </c>
      <c r="JM28" s="846">
        <f>IFERROR(IF(AND($JF$2&lt;&gt;"Enter Spend&gt;&gt;&gt;",$JG$2="EXISTING"),SUMIFS('Existing Customers'!$U:$U,'Existing Customers'!$H:$H,$JE28,'Existing Customers'!$A:$A,$JF$1)*$JF$4,JW28*JF28),0)</f>
        <v>0</v>
      </c>
      <c r="JN28" s="849" t="e">
        <f>_xlfn.CONCAT('Customer Inputs'!$AG$15,"_",JE28)</f>
        <v>#N/A</v>
      </c>
      <c r="JO28" s="849">
        <f t="array" ref="JO28">IFERROR(INDEX('Margin Guidence Table'!$A$1:$AG$10000,MATCH(1,('Margin Guidence Table'!$A$1:$A$10000=JN28)*('Margin Guidence Table'!$I$1:$I$10000&lt;=ROUND($JF$3,0))*('Margin Guidence Table'!$J$1:$J$10000&gt;=ROUND($JF$3,0)),0),MATCH("DATA_POINTS",'Margin Guidence Table'!$A$1:$AG$1,0)),0)</f>
        <v>0</v>
      </c>
      <c r="JP28" s="846" t="str">
        <f t="shared" si="46"/>
        <v>DEFAULT</v>
      </c>
      <c r="JQ28" s="846">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6">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0">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0">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0">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0">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0">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0">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66">
        <f t="shared" si="0"/>
        <v>0</v>
      </c>
      <c r="H29" s="1466">
        <f t="shared" si="0"/>
        <v>0</v>
      </c>
      <c r="I29" s="395">
        <f t="shared" si="11"/>
        <v>0</v>
      </c>
      <c r="J29" s="394">
        <f t="shared" si="12"/>
        <v>0</v>
      </c>
      <c r="K29" s="844">
        <f t="shared" si="13"/>
        <v>0</v>
      </c>
      <c r="L29" s="844">
        <f t="shared" si="14"/>
        <v>0</v>
      </c>
      <c r="M29" s="844">
        <f t="shared" si="15"/>
        <v>0</v>
      </c>
      <c r="N29" s="1466">
        <f>IF('PIM Model'!D25="$/CS",IFERROR(ROUND(SUM(BT29*$BR$35+CQ29*$CO$35+DN29*$DL$35+EK29*$EI$35+FH29*$FF$35+GE29*$GC$35+HB29*$GZ$35+HY29*$HW$35+IV29*$IT$35+JS29*$JQ$35)/$G$35,2),0),IF('PIM Model'!D25="$/LB",IFERROR(ROUND(SUM(BT29*$BS$35+CQ29*$CP$35+DN29*$DM$35+EK29*$EJ$35+FH29*$FG$35+GE29*$GD$35+HB29*$HA$35+HY29*$HX$35+IV29*$IU$35+JS29*$JR$35)/$H$35,2),0),0))</f>
        <v>0</v>
      </c>
      <c r="O29" s="1466">
        <f>IF('PIM Model'!D25="$/CS",IFERROR(ROUND(SUM(BU29*$BR$35+CR29*$CO$35+DO29*$DL$35+EL29*$EI$35+FI29*$FF$35+GF29*$GC$35+HC29*$GZ$35+HZ29*$HW$35+IW29*$IT$35+JT29*$JQ$35)/$G$35,2),0),IF('PIM Model'!D25="$/LB",IFERROR(ROUND(SUM(BU29*$BS$35+CR29*$CP$35+DO29*$DM$35+EL29*$EJ$35+FI29*$FG$35+GF29*$GD$35+HC29*$HA$35+HZ29*$HX$35+IW29*$IU$35+JT29*$JR$35)/$H$35,2),0),0))</f>
        <v>0</v>
      </c>
      <c r="P29" s="1466">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5">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8" t="e">
        <f>_xlfn.CONCAT('Customer Inputs'!$AG$6,"_",BF29)</f>
        <v>#N/A</v>
      </c>
      <c r="BP29" s="849">
        <f t="array" ref="BP29">IFERROR(INDEX('Margin Guidence Table'!$A$1:$AG$10000,MATCH(1,('Margin Guidence Table'!$A$1:$A$10000=$BO29)*('Margin Guidence Table'!$I$1:$I$10000&lt;=ROUND($BG$3,0))*('Margin Guidence Table'!$J$1:$J$10000&gt;=ROUND($BG$3,0)),0),MATCH("DATA_POINTS",'Margin Guidence Table'!$A$1:$AG$1,0)),0)</f>
        <v>0</v>
      </c>
      <c r="BQ29" s="846" t="str">
        <f t="shared" si="28"/>
        <v>DEFAULT</v>
      </c>
      <c r="BR29" s="846">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6">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0">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0">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0">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0">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0">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0">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6">
        <f>IFERROR(IF(AND($CD$2&lt;&gt;"Enter Spend&gt;&gt;&gt;",$CE$2="EXISTING"),SUMIFS('Existing Customers'!$S:$S,'Existing Customers'!$H:$H,$CC29,'Existing Customers'!$A:$A,$CD$1)*$CD$4,CT29*CD29),0)</f>
        <v>0</v>
      </c>
      <c r="CK29" s="846">
        <f>IFERROR(IF(AND($CD$2&lt;&gt;"Enter Spend&gt;&gt;&gt;",$CE$2="EXISTING"),SUMIFS('Existing Customers'!$U:$U,'Existing Customers'!$H:$H,$CC29,'Existing Customers'!$A:$A,$CD$1)*$CD$4,CU29*CD29),0)</f>
        <v>0</v>
      </c>
      <c r="CL29" s="849" t="e">
        <f>_xlfn.CONCAT('Customer Inputs'!$AG$7,"_",CC29)</f>
        <v>#N/A</v>
      </c>
      <c r="CM29" s="849">
        <f t="array" ref="CM29">IFERROR(INDEX('Margin Guidence Table'!$A$1:$AG$10000,MATCH(1,('Margin Guidence Table'!$A$1:$A$10000=$CL29)*('Margin Guidence Table'!$I$1:$I$10000&lt;=ROUND($CD$3,0))*('Margin Guidence Table'!$J$1:$J$10000&gt;=ROUND($CD$3,0)),0),MATCH("DATA_POINTS",'Margin Guidence Table'!$A$1:$AG$1,0)),0)</f>
        <v>0</v>
      </c>
      <c r="CN29" s="846" t="str">
        <f t="shared" si="30"/>
        <v>DEFAULT</v>
      </c>
      <c r="CO29" s="846">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6">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0">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0">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0">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0">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0">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0">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6">
        <f>IFERROR(IF(AND($DA$2&lt;&gt;"Enter Spend&gt;&gt;&gt;",$DB$2="EXISTING"),SUMIFS('Existing Customers'!$S:$S,'Existing Customers'!$H:$H,$CZ29,'Existing Customers'!$A:$A,$DA$1)*$DA$4,DQ29*DA29),0)</f>
        <v>0</v>
      </c>
      <c r="DH29" s="846">
        <f>IFERROR(IF(AND($DA$2&lt;&gt;"Enter Spend&gt;&gt;&gt;",$DB$2="EXISTING"),SUMIFS('Existing Customers'!$U:$U,'Existing Customers'!$H:$H,$CZ29,'Existing Customers'!$A:$A,$DA$1)*$DA$4,DR29*DA29),0)</f>
        <v>0</v>
      </c>
      <c r="DI29" s="849" t="e">
        <f>_xlfn.CONCAT('Customer Inputs'!$AG$8,"_",CZ29)</f>
        <v>#N/A</v>
      </c>
      <c r="DJ29" s="849">
        <f t="array" ref="DJ29">IFERROR(INDEX('Margin Guidence Table'!$A$1:$AG$10000,MATCH(1,('Margin Guidence Table'!$A$1:$A$10000=DI29)*('Margin Guidence Table'!$I$1:$I$10000&lt;=ROUND($DA$3,0))*('Margin Guidence Table'!$J$1:$J$10000&gt;=ROUND($DA$3,0)),0),MATCH("DATA_POINTS",'Margin Guidence Table'!$A$1:$AG$1,0)),0)</f>
        <v>0</v>
      </c>
      <c r="DK29" s="846" t="str">
        <f t="shared" si="32"/>
        <v>DEFAULT</v>
      </c>
      <c r="DL29" s="846">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6">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0">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0">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0">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0">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0">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0">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6">
        <f>IFERROR(IF(AND($DX$2&lt;&gt;"Enter Spend&gt;&gt;&gt;",$DY$2="EXISTING"),SUMIFS('Existing Customers'!$S:$S,'Existing Customers'!$H:$H,$DY29,'Existing Customers'!$A:$A,$DX$1)*$DX$4,EN29*DX29),0)</f>
        <v>0</v>
      </c>
      <c r="EE29" s="846">
        <f>IFERROR(IF(AND($DX$2&lt;&gt;"Enter Spend&gt;&gt;&gt;",$DY$2="EXISTING"),SUMIFS('Existing Customers'!$U:$U,'Existing Customers'!$H:$H,$DW29,'Existing Customers'!$A:$A,$DX$1)*$DX$4,EO29*DX29),0)</f>
        <v>0</v>
      </c>
      <c r="EF29" s="849" t="e">
        <f>_xlfn.CONCAT('Customer Inputs'!$AG$9,"_",DW29)</f>
        <v>#N/A</v>
      </c>
      <c r="EG29" s="849">
        <f t="array" ref="EG29">IFERROR(INDEX('Margin Guidence Table'!$A$1:$AG$10000,MATCH(1,('Margin Guidence Table'!$A$1:$A$10000=EF29)*('Margin Guidence Table'!$I$1:$I$10000&lt;=ROUND($DX$3,0))*('Margin Guidence Table'!$J$1:$J$10000&gt;=ROUND($DX$3,0)),0),MATCH("DATA_POINTS",'Margin Guidence Table'!$A$1:$AG$1,0)),0)</f>
        <v>0</v>
      </c>
      <c r="EH29" s="846" t="str">
        <f t="shared" si="34"/>
        <v>DEFAULT</v>
      </c>
      <c r="EI29" s="846">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6">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0">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0">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0">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0">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0">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0">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6">
        <f>IFERROR(IF(AND($EU$2&lt;&gt;"Enter Spend&gt;&gt;&gt;",$EV$2="EXISTING"),SUMIFS('Existing Customers'!$S:$S,'Existing Customers'!$H:$H,$ET29,'Existing Customers'!$A:$A,$EU$1)*$EU$4,FK29*EU29),0)</f>
        <v>0</v>
      </c>
      <c r="FB29" s="846">
        <f>IFERROR(IF(AND($EU$2&lt;&gt;"Enter Spend&gt;&gt;&gt;",$EV$2="EXISTING"),SUMIFS('Existing Customers'!$U:$U,'Existing Customers'!$H:$H,$ET29,'Existing Customers'!$A:$A,$EU$1)*$EU$4,FL29*EU29),0)</f>
        <v>0</v>
      </c>
      <c r="FC29" s="849" t="e">
        <f>_xlfn.CONCAT('Customer Inputs'!$AG$10,"_",ET29)</f>
        <v>#N/A</v>
      </c>
      <c r="FD29" s="849">
        <f t="array" ref="FD29">IFERROR(INDEX('Margin Guidence Table'!$A$1:$AG$10000,MATCH(1,('Margin Guidence Table'!$A$1:$A$10000=FC29)*('Margin Guidence Table'!$I$1:$I$10000&lt;=ROUND($EU$3,0))*('Margin Guidence Table'!$J$1:$J$10000&gt;=ROUND($EU$3,0)),0),MATCH("DATA_POINTS",'Margin Guidence Table'!$A$1:$AG$1,0)),0)</f>
        <v>0</v>
      </c>
      <c r="FE29" s="846" t="str">
        <f t="shared" si="36"/>
        <v>DEFAULT</v>
      </c>
      <c r="FF29" s="846">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6"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0">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0">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0">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0">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0">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0">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6">
        <f>IFERROR(IF(AND($FR$2&lt;&gt;"Enter Spend&gt;&gt;&gt;",$FS$2="EXISTING"),SUMIFS('Existing Customers'!$S:$S,'Existing Customers'!$H:$H,$FQ29,'Existing Customers'!$A:$A,$FR$1)*$FR$4,GH29*FR29),0)</f>
        <v>0</v>
      </c>
      <c r="FY29" s="846">
        <f>IFERROR(IF(AND($FR$2&lt;&gt;"Enter Spend&gt;&gt;&gt;",$FS$2="EXISTING"),SUMIFS('Existing Customers'!$U:$U,'Existing Customers'!$H:$H,$FQ29,'Existing Customers'!$A:$A,$FR$1)*$FR$4,GI29*FR29),0)</f>
        <v>0</v>
      </c>
      <c r="FZ29" s="849" t="e">
        <f>_xlfn.CONCAT('Customer Inputs'!$AG$11,"_",FQ29)</f>
        <v>#N/A</v>
      </c>
      <c r="GA29" s="849">
        <f t="array" ref="GA29">IFERROR(INDEX('Margin Guidence Table'!$A$1:$AG$10000,MATCH(1,('Margin Guidence Table'!$A$1:$A$10000=FZ29)*('Margin Guidence Table'!$I$1:$I$10000&lt;=ROUND($FR$3,0))*('Margin Guidence Table'!$J$1:$J$10000&gt;=ROUND($FR$3,0)),0),MATCH("DATA_POINTS",'Margin Guidence Table'!$A$1:$AG$1,0)),0)</f>
        <v>0</v>
      </c>
      <c r="GB29" s="846" t="str">
        <f t="shared" si="38"/>
        <v>DEFAULT</v>
      </c>
      <c r="GC29" s="846">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6">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0">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0">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0">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0">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0">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0">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6">
        <f>IFERROR(IF(AND($GO$2&lt;&gt;"Enter Spend&gt;&gt;&gt;",$GP$2="EXISTING"),SUMIFS('Existing Customers'!$S:$S,'Existing Customers'!$H:$H,$GN29,'Existing Customers'!$A:$A,$GO$1)*$GO$4,HE29*GO29),0)</f>
        <v>0</v>
      </c>
      <c r="GV29" s="846">
        <f>IFERROR(IF(AND($GO$2&lt;&gt;"Enter Spend&gt;&gt;&gt;",$GP$2="EXISTING"),SUMIFS('Existing Customers'!$U:$U,'Existing Customers'!$H:$H,$GN29,'Existing Customers'!$A:$A,$GO$1)*$GO$4,HF29*GO29),0)</f>
        <v>0</v>
      </c>
      <c r="GW29" s="849" t="e">
        <f>_xlfn.CONCAT('Customer Inputs'!$AG$12,"_",GN29)</f>
        <v>#N/A</v>
      </c>
      <c r="GX29" s="849">
        <f t="array" ref="GX29">IFERROR(INDEX('Margin Guidence Table'!$A$1:$AG$10000,MATCH(1,('Margin Guidence Table'!$A$1:$A$10000=GW29)*('Margin Guidence Table'!$I$1:$I$10000&lt;=ROUND($GO$3,0))*('Margin Guidence Table'!$J$1:$J$10000&gt;=ROUND($GO$3,0)),0),MATCH("DATA_POINTS",'Margin Guidence Table'!$A$1:$AG$1,0)),0)</f>
        <v>0</v>
      </c>
      <c r="GY29" s="846" t="str">
        <f t="shared" si="40"/>
        <v>DEFAULT</v>
      </c>
      <c r="GZ29" s="846">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6">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0">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0">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0">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0">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0">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0">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6">
        <f>IFERROR(IF(AND($HL$2&lt;&gt;"Enter Spend&gt;&gt;&gt;",$HM$2="EXISTING"),SUMIFS('Existing Customers'!$S:$S,'Existing Customers'!$H:$H,$HK29,'Existing Customers'!$A:$A,$HL$1)*$HL$4,IB29*HL29),0)</f>
        <v>0</v>
      </c>
      <c r="HS29" s="846">
        <f>IFERROR(IF(AND($HL$2&lt;&gt;"Enter Spend&gt;&gt;&gt;",$HM$2="EXISTING"),SUMIFS('Existing Customers'!$U:$U,'Existing Customers'!$H:$H,$HK29,'Existing Customers'!$A:$A,$HL$1)*$HL$4,IC29*HL29),0)</f>
        <v>0</v>
      </c>
      <c r="HT29" s="849" t="e">
        <f>_xlfn.CONCAT('Customer Inputs'!$AG$13,"_",HK29)</f>
        <v>#N/A</v>
      </c>
      <c r="HU29" s="849">
        <f t="array" ref="HU29">IFERROR(INDEX('Margin Guidence Table'!$A$1:$AG$10000,MATCH(1,('Margin Guidence Table'!$A$1:$A$10000=HT29)*('Margin Guidence Table'!$I$1:$I$10000&lt;=ROUND($HL$3,0))*('Margin Guidence Table'!$J$1:$J$10000&gt;=ROUND($HL$3,0)),0),MATCH("DATA_POINTS",'Margin Guidence Table'!$A$1:$AG$1,0)),0)</f>
        <v>0</v>
      </c>
      <c r="HV29" s="846" t="str">
        <f t="shared" si="42"/>
        <v>DEFAULT</v>
      </c>
      <c r="HW29" s="846">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6">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0">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0">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0">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0">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0">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0">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6">
        <f>IFERROR(IF(AND($II$2&lt;&gt;"Enter Spend&gt;&gt;&gt;",$IJ$2="EXISTING"),SUMIFS('Existing Customers'!$S:$S,'Existing Customers'!$H:$H,$IH29,'Existing Customers'!$A:$A,$II$1)*$II$4,IY29*II29),0)</f>
        <v>0</v>
      </c>
      <c r="IP29" s="846">
        <f>IFERROR(IF(AND($II$2&lt;&gt;"Enter Spend&gt;&gt;&gt;",$IJ$2="EXISTING"),SUMIFS('Existing Customers'!$U:$U,'Existing Customers'!$H:$H,$IH29,'Existing Customers'!$A:$A,$II$1)*$II$4,IZ29*II29),0)</f>
        <v>0</v>
      </c>
      <c r="IQ29" s="849" t="e">
        <f>_xlfn.CONCAT('Customer Inputs'!$AG$14,"_",IH29)</f>
        <v>#N/A</v>
      </c>
      <c r="IR29" s="849">
        <f t="array" ref="IR29">IFERROR(INDEX('Margin Guidence Table'!$A$1:$AG$10000,MATCH(1,('Margin Guidence Table'!$A$1:$A$10000=IQ29)*('Margin Guidence Table'!$I$1:$I$10000&lt;=ROUND($II$3,0))*('Margin Guidence Table'!$J$1:$J$10000&gt;=ROUND($II$3,0)),0),MATCH("DATA_POINTS",'Margin Guidence Table'!$A$1:$AG$1,0)),0)</f>
        <v>0</v>
      </c>
      <c r="IS29" s="846" t="str">
        <f t="shared" si="44"/>
        <v>DEFAULT</v>
      </c>
      <c r="IT29" s="846">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6">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0">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0">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0">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0">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0">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0">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6">
        <f>IFERROR(IF(AND($JF$2&lt;&gt;"Enter Spend&gt;&gt;&gt;",$JG$2="EXISTING"),SUMIFS('Existing Customers'!$S:$S,'Existing Customers'!$H:$H,$JE29,'Existing Customers'!$A:$A,$JF$1)*$JF$4,JV29*JF29),0)</f>
        <v>0</v>
      </c>
      <c r="JM29" s="846">
        <f>IFERROR(IF(AND($JF$2&lt;&gt;"Enter Spend&gt;&gt;&gt;",$JG$2="EXISTING"),SUMIFS('Existing Customers'!$U:$U,'Existing Customers'!$H:$H,$JE29,'Existing Customers'!$A:$A,$JF$1)*$JF$4,JW29*JF29),0)</f>
        <v>0</v>
      </c>
      <c r="JN29" s="849" t="e">
        <f>_xlfn.CONCAT('Customer Inputs'!$AG$15,"_",JE29)</f>
        <v>#N/A</v>
      </c>
      <c r="JO29" s="849">
        <f t="array" ref="JO29">IFERROR(INDEX('Margin Guidence Table'!$A$1:$AG$10000,MATCH(1,('Margin Guidence Table'!$A$1:$A$10000=JN29)*('Margin Guidence Table'!$I$1:$I$10000&lt;=ROUND($JF$3,0))*('Margin Guidence Table'!$J$1:$J$10000&gt;=ROUND($JF$3,0)),0),MATCH("DATA_POINTS",'Margin Guidence Table'!$A$1:$AG$1,0)),0)</f>
        <v>0</v>
      </c>
      <c r="JP29" s="846" t="str">
        <f t="shared" si="46"/>
        <v>DEFAULT</v>
      </c>
      <c r="JQ29" s="846">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6">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0">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0">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0">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0">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0">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0">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66">
        <f t="shared" si="0"/>
        <v>0</v>
      </c>
      <c r="H30" s="1466">
        <f t="shared" si="0"/>
        <v>0</v>
      </c>
      <c r="I30" s="395">
        <f t="shared" si="11"/>
        <v>0</v>
      </c>
      <c r="J30" s="394">
        <f t="shared" si="12"/>
        <v>0</v>
      </c>
      <c r="K30" s="844">
        <f t="shared" si="13"/>
        <v>0</v>
      </c>
      <c r="L30" s="844">
        <f t="shared" si="14"/>
        <v>0</v>
      </c>
      <c r="M30" s="844">
        <f t="shared" si="15"/>
        <v>0</v>
      </c>
      <c r="N30" s="1466">
        <f>IF('PIM Model'!D26="$/CS",IFERROR(ROUND(SUM(BT30*$BR$35+CQ30*$CO$35+DN30*$DL$35+EK30*$EI$35+FH30*$FF$35+GE30*$GC$35+HB30*$GZ$35+HY30*$HW$35+IV30*$IT$35+JS30*$JQ$35)/$G$35,2),0),IF('PIM Model'!D26="$/LB",IFERROR(ROUND(SUM(BT30*$BS$35+CQ30*$CP$35+DN30*$DM$35+EK30*$EJ$35+FH30*$FG$35+GE30*$GD$35+HB30*$HA$35+HY30*$HX$35+IV30*$IU$35+JS30*$JR$35)/$H$35,2),0),0))</f>
        <v>0</v>
      </c>
      <c r="O30" s="1466">
        <f>IF('PIM Model'!D26="$/CS",IFERROR(ROUND(SUM(BU30*$BR$35+CR30*$CO$35+DO30*$DL$35+EL30*$EI$35+FI30*$FF$35+GF30*$GC$35+HC30*$GZ$35+HZ30*$HW$35+IW30*$IT$35+JT30*$JQ$35)/$G$35,2),0),IF('PIM Model'!D26="$/LB",IFERROR(ROUND(SUM(BU30*$BS$35+CR30*$CP$35+DO30*$DM$35+EL30*$EJ$35+FI30*$FG$35+GF30*$GD$35+HC30*$HA$35+HZ30*$HX$35+IW30*$IU$35+JT30*$JR$35)/$H$35,2),0),0))</f>
        <v>0</v>
      </c>
      <c r="P30" s="1466">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5">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8" t="e">
        <f>_xlfn.CONCAT('Customer Inputs'!$AG$6,"_",BF30)</f>
        <v>#N/A</v>
      </c>
      <c r="BP30" s="849">
        <f t="array" ref="BP30">IFERROR(INDEX('Margin Guidence Table'!$A$1:$AG$10000,MATCH(1,('Margin Guidence Table'!$A$1:$A$10000=$BO30)*('Margin Guidence Table'!$I$1:$I$10000&lt;=ROUND($BG$3,0))*('Margin Guidence Table'!$J$1:$J$10000&gt;=ROUND($BG$3,0)),0),MATCH("DATA_POINTS",'Margin Guidence Table'!$A$1:$AG$1,0)),0)</f>
        <v>0</v>
      </c>
      <c r="BQ30" s="846" t="str">
        <f t="shared" si="28"/>
        <v>DEFAULT</v>
      </c>
      <c r="BR30" s="846">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6">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0">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0">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0">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0">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0">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0">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6">
        <f>IFERROR(IF(AND($CD$2&lt;&gt;"Enter Spend&gt;&gt;&gt;",$CE$2="EXISTING"),SUMIFS('Existing Customers'!$S:$S,'Existing Customers'!$H:$H,$CC30,'Existing Customers'!$A:$A,$CD$1)*$CD$4,CT30*CD30),0)</f>
        <v>0</v>
      </c>
      <c r="CK30" s="846">
        <f>IFERROR(IF(AND($CD$2&lt;&gt;"Enter Spend&gt;&gt;&gt;",$CE$2="EXISTING"),SUMIFS('Existing Customers'!$U:$U,'Existing Customers'!$H:$H,$CC30,'Existing Customers'!$A:$A,$CD$1)*$CD$4,CU30*CD30),0)</f>
        <v>0</v>
      </c>
      <c r="CL30" s="849" t="e">
        <f>_xlfn.CONCAT('Customer Inputs'!$AG$7,"_",CC30)</f>
        <v>#N/A</v>
      </c>
      <c r="CM30" s="849">
        <f t="array" ref="CM30">IFERROR(INDEX('Margin Guidence Table'!$A$1:$AG$10000,MATCH(1,('Margin Guidence Table'!$A$1:$A$10000=$CL30)*('Margin Guidence Table'!$I$1:$I$10000&lt;=ROUND($CD$3,0))*('Margin Guidence Table'!$J$1:$J$10000&gt;=ROUND($CD$3,0)),0),MATCH("DATA_POINTS",'Margin Guidence Table'!$A$1:$AG$1,0)),0)</f>
        <v>0</v>
      </c>
      <c r="CN30" s="846" t="str">
        <f t="shared" si="30"/>
        <v>DEFAULT</v>
      </c>
      <c r="CO30" s="846">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6">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0">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0">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0">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0">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0">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0">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6">
        <f>IFERROR(IF(AND($DA$2&lt;&gt;"Enter Spend&gt;&gt;&gt;",$DB$2="EXISTING"),SUMIFS('Existing Customers'!$S:$S,'Existing Customers'!$H:$H,$CZ30,'Existing Customers'!$A:$A,$DA$1)*$DA$4,DQ30*DA30),0)</f>
        <v>0</v>
      </c>
      <c r="DH30" s="846">
        <f>IFERROR(IF(AND($DA$2&lt;&gt;"Enter Spend&gt;&gt;&gt;",$DB$2="EXISTING"),SUMIFS('Existing Customers'!$U:$U,'Existing Customers'!$H:$H,$CZ30,'Existing Customers'!$A:$A,$DA$1)*$DA$4,DR30*DA30),0)</f>
        <v>0</v>
      </c>
      <c r="DI30" s="849" t="e">
        <f>_xlfn.CONCAT('Customer Inputs'!$AG$8,"_",CZ30)</f>
        <v>#N/A</v>
      </c>
      <c r="DJ30" s="849">
        <f t="array" ref="DJ30">IFERROR(INDEX('Margin Guidence Table'!$A$1:$AG$10000,MATCH(1,('Margin Guidence Table'!$A$1:$A$10000=DI30)*('Margin Guidence Table'!$I$1:$I$10000&lt;=ROUND($DA$3,0))*('Margin Guidence Table'!$J$1:$J$10000&gt;=ROUND($DA$3,0)),0),MATCH("DATA_POINTS",'Margin Guidence Table'!$A$1:$AG$1,0)),0)</f>
        <v>0</v>
      </c>
      <c r="DK30" s="846" t="str">
        <f t="shared" si="32"/>
        <v>DEFAULT</v>
      </c>
      <c r="DL30" s="846">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6">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0">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0">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0">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0">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0">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0">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6">
        <f>IFERROR(IF(AND($DX$2&lt;&gt;"Enter Spend&gt;&gt;&gt;",$DY$2="EXISTING"),SUMIFS('Existing Customers'!$S:$S,'Existing Customers'!$H:$H,$DY30,'Existing Customers'!$A:$A,$DX$1)*$DX$4,EN30*DX30),0)</f>
        <v>0</v>
      </c>
      <c r="EE30" s="846">
        <f>IFERROR(IF(AND($DX$2&lt;&gt;"Enter Spend&gt;&gt;&gt;",$DY$2="EXISTING"),SUMIFS('Existing Customers'!$U:$U,'Existing Customers'!$H:$H,$DW30,'Existing Customers'!$A:$A,$DX$1)*$DX$4,EO30*DX30),0)</f>
        <v>0</v>
      </c>
      <c r="EF30" s="849" t="e">
        <f>_xlfn.CONCAT('Customer Inputs'!$AG$9,"_",DW30)</f>
        <v>#N/A</v>
      </c>
      <c r="EG30" s="849">
        <f t="array" ref="EG30">IFERROR(INDEX('Margin Guidence Table'!$A$1:$AG$10000,MATCH(1,('Margin Guidence Table'!$A$1:$A$10000=EF30)*('Margin Guidence Table'!$I$1:$I$10000&lt;=ROUND($DX$3,0))*('Margin Guidence Table'!$J$1:$J$10000&gt;=ROUND($DX$3,0)),0),MATCH("DATA_POINTS",'Margin Guidence Table'!$A$1:$AG$1,0)),0)</f>
        <v>0</v>
      </c>
      <c r="EH30" s="846" t="str">
        <f t="shared" si="34"/>
        <v>DEFAULT</v>
      </c>
      <c r="EI30" s="846">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6">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0">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0">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0">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0">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0">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0">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6">
        <f>IFERROR(IF(AND($EU$2&lt;&gt;"Enter Spend&gt;&gt;&gt;",$EV$2="EXISTING"),SUMIFS('Existing Customers'!$S:$S,'Existing Customers'!$H:$H,$ET30,'Existing Customers'!$A:$A,$EU$1)*$EU$4,FK30*EU30),0)</f>
        <v>0</v>
      </c>
      <c r="FB30" s="846">
        <f>IFERROR(IF(AND($EU$2&lt;&gt;"Enter Spend&gt;&gt;&gt;",$EV$2="EXISTING"),SUMIFS('Existing Customers'!$U:$U,'Existing Customers'!$H:$H,$ET30,'Existing Customers'!$A:$A,$EU$1)*$EU$4,FL30*EU30),0)</f>
        <v>0</v>
      </c>
      <c r="FC30" s="849" t="e">
        <f>_xlfn.CONCAT('Customer Inputs'!$AG$10,"_",ET30)</f>
        <v>#N/A</v>
      </c>
      <c r="FD30" s="849">
        <f t="array" ref="FD30">IFERROR(INDEX('Margin Guidence Table'!$A$1:$AG$10000,MATCH(1,('Margin Guidence Table'!$A$1:$A$10000=FC30)*('Margin Guidence Table'!$I$1:$I$10000&lt;=ROUND($EU$3,0))*('Margin Guidence Table'!$J$1:$J$10000&gt;=ROUND($EU$3,0)),0),MATCH("DATA_POINTS",'Margin Guidence Table'!$A$1:$AG$1,0)),0)</f>
        <v>0</v>
      </c>
      <c r="FE30" s="846" t="str">
        <f t="shared" si="36"/>
        <v>DEFAULT</v>
      </c>
      <c r="FF30" s="846">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6"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0">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0">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0">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0">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0">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0">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6">
        <f>IFERROR(IF(AND($FR$2&lt;&gt;"Enter Spend&gt;&gt;&gt;",$FS$2="EXISTING"),SUMIFS('Existing Customers'!$S:$S,'Existing Customers'!$H:$H,$FQ30,'Existing Customers'!$A:$A,$FR$1)*$FR$4,GH30*FR30),0)</f>
        <v>0</v>
      </c>
      <c r="FY30" s="846">
        <f>IFERROR(IF(AND($FR$2&lt;&gt;"Enter Spend&gt;&gt;&gt;",$FS$2="EXISTING"),SUMIFS('Existing Customers'!$U:$U,'Existing Customers'!$H:$H,$FQ30,'Existing Customers'!$A:$A,$FR$1)*$FR$4,GI30*FR30),0)</f>
        <v>0</v>
      </c>
      <c r="FZ30" s="849" t="e">
        <f>_xlfn.CONCAT('Customer Inputs'!$AG$11,"_",FQ30)</f>
        <v>#N/A</v>
      </c>
      <c r="GA30" s="849">
        <f t="array" ref="GA30">IFERROR(INDEX('Margin Guidence Table'!$A$1:$AG$10000,MATCH(1,('Margin Guidence Table'!$A$1:$A$10000=FZ30)*('Margin Guidence Table'!$I$1:$I$10000&lt;=ROUND($FR$3,0))*('Margin Guidence Table'!$J$1:$J$10000&gt;=ROUND($FR$3,0)),0),MATCH("DATA_POINTS",'Margin Guidence Table'!$A$1:$AG$1,0)),0)</f>
        <v>0</v>
      </c>
      <c r="GB30" s="846" t="str">
        <f t="shared" si="38"/>
        <v>DEFAULT</v>
      </c>
      <c r="GC30" s="846">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6">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0">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0">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0">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0">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0">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0">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6">
        <f>IFERROR(IF(AND($GO$2&lt;&gt;"Enter Spend&gt;&gt;&gt;",$GP$2="EXISTING"),SUMIFS('Existing Customers'!$S:$S,'Existing Customers'!$H:$H,$GN30,'Existing Customers'!$A:$A,$GO$1)*$GO$4,HE30*GO30),0)</f>
        <v>0</v>
      </c>
      <c r="GV30" s="846">
        <f>IFERROR(IF(AND($GO$2&lt;&gt;"Enter Spend&gt;&gt;&gt;",$GP$2="EXISTING"),SUMIFS('Existing Customers'!$U:$U,'Existing Customers'!$H:$H,$GN30,'Existing Customers'!$A:$A,$GO$1)*$GO$4,HF30*GO30),0)</f>
        <v>0</v>
      </c>
      <c r="GW30" s="849" t="e">
        <f>_xlfn.CONCAT('Customer Inputs'!$AG$12,"_",GN30)</f>
        <v>#N/A</v>
      </c>
      <c r="GX30" s="849">
        <f t="array" ref="GX30">IFERROR(INDEX('Margin Guidence Table'!$A$1:$AG$10000,MATCH(1,('Margin Guidence Table'!$A$1:$A$10000=GW30)*('Margin Guidence Table'!$I$1:$I$10000&lt;=ROUND($GO$3,0))*('Margin Guidence Table'!$J$1:$J$10000&gt;=ROUND($GO$3,0)),0),MATCH("DATA_POINTS",'Margin Guidence Table'!$A$1:$AG$1,0)),0)</f>
        <v>0</v>
      </c>
      <c r="GY30" s="846" t="str">
        <f t="shared" si="40"/>
        <v>DEFAULT</v>
      </c>
      <c r="GZ30" s="846">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6">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0">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0">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0">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0">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0">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0">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6">
        <f>IFERROR(IF(AND($HL$2&lt;&gt;"Enter Spend&gt;&gt;&gt;",$HM$2="EXISTING"),SUMIFS('Existing Customers'!$S:$S,'Existing Customers'!$H:$H,$HK30,'Existing Customers'!$A:$A,$HL$1)*$HL$4,IB30*HL30),0)</f>
        <v>0</v>
      </c>
      <c r="HS30" s="846">
        <f>IFERROR(IF(AND($HL$2&lt;&gt;"Enter Spend&gt;&gt;&gt;",$HM$2="EXISTING"),SUMIFS('Existing Customers'!$U:$U,'Existing Customers'!$H:$H,$HK30,'Existing Customers'!$A:$A,$HL$1)*$HL$4,IC30*HL30),0)</f>
        <v>0</v>
      </c>
      <c r="HT30" s="849" t="e">
        <f>_xlfn.CONCAT('Customer Inputs'!$AG$13,"_",HK30)</f>
        <v>#N/A</v>
      </c>
      <c r="HU30" s="849">
        <f t="array" ref="HU30">IFERROR(INDEX('Margin Guidence Table'!$A$1:$AG$10000,MATCH(1,('Margin Guidence Table'!$A$1:$A$10000=HT30)*('Margin Guidence Table'!$I$1:$I$10000&lt;=ROUND($HL$3,0))*('Margin Guidence Table'!$J$1:$J$10000&gt;=ROUND($HL$3,0)),0),MATCH("DATA_POINTS",'Margin Guidence Table'!$A$1:$AG$1,0)),0)</f>
        <v>0</v>
      </c>
      <c r="HV30" s="846" t="str">
        <f t="shared" si="42"/>
        <v>DEFAULT</v>
      </c>
      <c r="HW30" s="846">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6">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0">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0">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0">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0">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0">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0">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6">
        <f>IFERROR(IF(AND($II$2&lt;&gt;"Enter Spend&gt;&gt;&gt;",$IJ$2="EXISTING"),SUMIFS('Existing Customers'!$S:$S,'Existing Customers'!$H:$H,$IH30,'Existing Customers'!$A:$A,$II$1)*$II$4,IY30*II30),0)</f>
        <v>0</v>
      </c>
      <c r="IP30" s="846">
        <f>IFERROR(IF(AND($II$2&lt;&gt;"Enter Spend&gt;&gt;&gt;",$IJ$2="EXISTING"),SUMIFS('Existing Customers'!$U:$U,'Existing Customers'!$H:$H,$IH30,'Existing Customers'!$A:$A,$II$1)*$II$4,IZ30*II30),0)</f>
        <v>0</v>
      </c>
      <c r="IQ30" s="849" t="e">
        <f>_xlfn.CONCAT('Customer Inputs'!$AG$14,"_",IH30)</f>
        <v>#N/A</v>
      </c>
      <c r="IR30" s="849">
        <f t="array" ref="IR30">IFERROR(INDEX('Margin Guidence Table'!$A$1:$AG$10000,MATCH(1,('Margin Guidence Table'!$A$1:$A$10000=IQ30)*('Margin Guidence Table'!$I$1:$I$10000&lt;=ROUND($II$3,0))*('Margin Guidence Table'!$J$1:$J$10000&gt;=ROUND($II$3,0)),0),MATCH("DATA_POINTS",'Margin Guidence Table'!$A$1:$AG$1,0)),0)</f>
        <v>0</v>
      </c>
      <c r="IS30" s="846" t="str">
        <f t="shared" si="44"/>
        <v>DEFAULT</v>
      </c>
      <c r="IT30" s="846">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6">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0">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0">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0">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0">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0">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0">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6">
        <f>IFERROR(IF(AND($JF$2&lt;&gt;"Enter Spend&gt;&gt;&gt;",$JG$2="EXISTING"),SUMIFS('Existing Customers'!$S:$S,'Existing Customers'!$H:$H,$JE30,'Existing Customers'!$A:$A,$JF$1)*$JF$4,JV30*JF30),0)</f>
        <v>0</v>
      </c>
      <c r="JM30" s="846">
        <f>IFERROR(IF(AND($JF$2&lt;&gt;"Enter Spend&gt;&gt;&gt;",$JG$2="EXISTING"),SUMIFS('Existing Customers'!$U:$U,'Existing Customers'!$H:$H,$JE30,'Existing Customers'!$A:$A,$JF$1)*$JF$4,JW30*JF30),0)</f>
        <v>0</v>
      </c>
      <c r="JN30" s="849" t="e">
        <f>_xlfn.CONCAT('Customer Inputs'!$AG$15,"_",JE30)</f>
        <v>#N/A</v>
      </c>
      <c r="JO30" s="849">
        <f t="array" ref="JO30">IFERROR(INDEX('Margin Guidence Table'!$A$1:$AG$10000,MATCH(1,('Margin Guidence Table'!$A$1:$A$10000=JN30)*('Margin Guidence Table'!$I$1:$I$10000&lt;=ROUND($JF$3,0))*('Margin Guidence Table'!$J$1:$J$10000&gt;=ROUND($JF$3,0)),0),MATCH("DATA_POINTS",'Margin Guidence Table'!$A$1:$AG$1,0)),0)</f>
        <v>0</v>
      </c>
      <c r="JP30" s="846" t="str">
        <f t="shared" si="46"/>
        <v>DEFAULT</v>
      </c>
      <c r="JQ30" s="846">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6">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0">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0">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0">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0">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0">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0">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66">
        <f t="shared" si="0"/>
        <v>0</v>
      </c>
      <c r="H31" s="1466">
        <f t="shared" si="0"/>
        <v>0</v>
      </c>
      <c r="I31" s="395">
        <f t="shared" si="11"/>
        <v>0</v>
      </c>
      <c r="J31" s="394">
        <f t="shared" si="12"/>
        <v>0</v>
      </c>
      <c r="K31" s="844">
        <f t="shared" si="13"/>
        <v>0</v>
      </c>
      <c r="L31" s="844">
        <f t="shared" si="14"/>
        <v>0</v>
      </c>
      <c r="M31" s="844">
        <f t="shared" si="15"/>
        <v>0</v>
      </c>
      <c r="N31" s="1466">
        <f>IF('PIM Model'!D27="$/CS",IFERROR(ROUND(SUM(BT31*$BR$35+CQ31*$CO$35+DN31*$DL$35+EK31*$EI$35+FH31*$FF$35+GE31*$GC$35+HB31*$GZ$35+HY31*$HW$35+IV31*$IT$35+JS31*$JQ$35)/$G$35,2),0),IF('PIM Model'!D27="$/LB",IFERROR(ROUND(SUM(BT31*$BS$35+CQ31*$CP$35+DN31*$DM$35+EK31*$EJ$35+FH31*$FG$35+GE31*$GD$35+HB31*$HA$35+HY31*$HX$35+IV31*$IU$35+JS31*$JR$35)/$H$35,2),0),0))</f>
        <v>0</v>
      </c>
      <c r="O31" s="1466">
        <f>IF('PIM Model'!D27="$/CS",IFERROR(ROUND(SUM(BU31*$BR$35+CR31*$CO$35+DO31*$DL$35+EL31*$EI$35+FI31*$FF$35+GF31*$GC$35+HC31*$GZ$35+HZ31*$HW$35+IW31*$IT$35+JT31*$JQ$35)/$G$35,2),0),IF('PIM Model'!D27="$/LB",IFERROR(ROUND(SUM(BU31*$BS$35+CR31*$CP$35+DO31*$DM$35+EL31*$EJ$35+FI31*$FG$35+GF31*$GD$35+HC31*$HA$35+HZ31*$HX$35+IW31*$IU$35+JT31*$JR$35)/$H$35,2),0),0))</f>
        <v>0</v>
      </c>
      <c r="P31" s="1466">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5">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8" t="e">
        <f>_xlfn.CONCAT('Customer Inputs'!$AG$6,"_",BF31)</f>
        <v>#N/A</v>
      </c>
      <c r="BP31" s="849">
        <f t="array" ref="BP31">IFERROR(INDEX('Margin Guidence Table'!$A$1:$AG$10000,MATCH(1,('Margin Guidence Table'!$A$1:$A$10000=$BO31)*('Margin Guidence Table'!$I$1:$I$10000&lt;=ROUND($BG$3,0))*('Margin Guidence Table'!$J$1:$J$10000&gt;=ROUND($BG$3,0)),0),MATCH("DATA_POINTS",'Margin Guidence Table'!$A$1:$AG$1,0)),0)</f>
        <v>0</v>
      </c>
      <c r="BQ31" s="846" t="str">
        <f t="shared" si="28"/>
        <v>DEFAULT</v>
      </c>
      <c r="BR31" s="846">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6">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0">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0">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0">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0">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0">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0">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6">
        <f>IFERROR(IF(AND($CD$2&lt;&gt;"Enter Spend&gt;&gt;&gt;",$CE$2="EXISTING"),SUMIFS('Existing Customers'!$S:$S,'Existing Customers'!$H:$H,$CC31,'Existing Customers'!$A:$A,$CD$1)*$CD$4,CT31*CD31),0)</f>
        <v>0</v>
      </c>
      <c r="CK31" s="846">
        <f>IFERROR(IF(AND($CD$2&lt;&gt;"Enter Spend&gt;&gt;&gt;",$CE$2="EXISTING"),SUMIFS('Existing Customers'!$U:$U,'Existing Customers'!$H:$H,$CC31,'Existing Customers'!$A:$A,$CD$1)*$CD$4,CU31*CD31),0)</f>
        <v>0</v>
      </c>
      <c r="CL31" s="849" t="e">
        <f>_xlfn.CONCAT('Customer Inputs'!$AG$7,"_",CC31)</f>
        <v>#N/A</v>
      </c>
      <c r="CM31" s="849">
        <f t="array" ref="CM31">IFERROR(INDEX('Margin Guidence Table'!$A$1:$AG$10000,MATCH(1,('Margin Guidence Table'!$A$1:$A$10000=$CL31)*('Margin Guidence Table'!$I$1:$I$10000&lt;=ROUND($CD$3,0))*('Margin Guidence Table'!$J$1:$J$10000&gt;=ROUND($CD$3,0)),0),MATCH("DATA_POINTS",'Margin Guidence Table'!$A$1:$AG$1,0)),0)</f>
        <v>0</v>
      </c>
      <c r="CN31" s="846" t="str">
        <f t="shared" si="30"/>
        <v>DEFAULT</v>
      </c>
      <c r="CO31" s="846">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6">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0">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0">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0">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0">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0">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0">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6">
        <f>IFERROR(IF(AND($DA$2&lt;&gt;"Enter Spend&gt;&gt;&gt;",$DB$2="EXISTING"),SUMIFS('Existing Customers'!$S:$S,'Existing Customers'!$H:$H,$CZ31,'Existing Customers'!$A:$A,$DA$1)*$DA$4,DQ31*DA31),0)</f>
        <v>0</v>
      </c>
      <c r="DH31" s="846">
        <f>IFERROR(IF(AND($DA$2&lt;&gt;"Enter Spend&gt;&gt;&gt;",$DB$2="EXISTING"),SUMIFS('Existing Customers'!$U:$U,'Existing Customers'!$H:$H,$CZ31,'Existing Customers'!$A:$A,$DA$1)*$DA$4,DR31*DA31),0)</f>
        <v>0</v>
      </c>
      <c r="DI31" s="849" t="e">
        <f>_xlfn.CONCAT('Customer Inputs'!$AG$8,"_",CZ31)</f>
        <v>#N/A</v>
      </c>
      <c r="DJ31" s="849">
        <f t="array" ref="DJ31">IFERROR(INDEX('Margin Guidence Table'!$A$1:$AG$10000,MATCH(1,('Margin Guidence Table'!$A$1:$A$10000=DI31)*('Margin Guidence Table'!$I$1:$I$10000&lt;=ROUND($DA$3,0))*('Margin Guidence Table'!$J$1:$J$10000&gt;=ROUND($DA$3,0)),0),MATCH("DATA_POINTS",'Margin Guidence Table'!$A$1:$AG$1,0)),0)</f>
        <v>0</v>
      </c>
      <c r="DK31" s="846" t="str">
        <f t="shared" si="32"/>
        <v>DEFAULT</v>
      </c>
      <c r="DL31" s="846">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6">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0">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0">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0">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0">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0">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0">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6">
        <f>IFERROR(IF(AND($DX$2&lt;&gt;"Enter Spend&gt;&gt;&gt;",$DY$2="EXISTING"),SUMIFS('Existing Customers'!$S:$S,'Existing Customers'!$H:$H,$DY31,'Existing Customers'!$A:$A,$DX$1)*$DX$4,EN31*DX31),0)</f>
        <v>0</v>
      </c>
      <c r="EE31" s="846">
        <f>IFERROR(IF(AND($DX$2&lt;&gt;"Enter Spend&gt;&gt;&gt;",$DY$2="EXISTING"),SUMIFS('Existing Customers'!$U:$U,'Existing Customers'!$H:$H,$DW31,'Existing Customers'!$A:$A,$DX$1)*$DX$4,EO31*DX31),0)</f>
        <v>0</v>
      </c>
      <c r="EF31" s="849" t="e">
        <f>_xlfn.CONCAT('Customer Inputs'!$AG$9,"_",DW31)</f>
        <v>#N/A</v>
      </c>
      <c r="EG31" s="849">
        <f t="array" ref="EG31">IFERROR(INDEX('Margin Guidence Table'!$A$1:$AG$10000,MATCH(1,('Margin Guidence Table'!$A$1:$A$10000=EF31)*('Margin Guidence Table'!$I$1:$I$10000&lt;=ROUND($DX$3,0))*('Margin Guidence Table'!$J$1:$J$10000&gt;=ROUND($DX$3,0)),0),MATCH("DATA_POINTS",'Margin Guidence Table'!$A$1:$AG$1,0)),0)</f>
        <v>0</v>
      </c>
      <c r="EH31" s="846" t="str">
        <f t="shared" si="34"/>
        <v>DEFAULT</v>
      </c>
      <c r="EI31" s="846">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6">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0">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0">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0">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0">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0">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0">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6">
        <f>IFERROR(IF(AND($EU$2&lt;&gt;"Enter Spend&gt;&gt;&gt;",$EV$2="EXISTING"),SUMIFS('Existing Customers'!$S:$S,'Existing Customers'!$H:$H,$ET31,'Existing Customers'!$A:$A,$EU$1)*$EU$4,FK31*EU31),0)</f>
        <v>0</v>
      </c>
      <c r="FB31" s="846">
        <f>IFERROR(IF(AND($EU$2&lt;&gt;"Enter Spend&gt;&gt;&gt;",$EV$2="EXISTING"),SUMIFS('Existing Customers'!$U:$U,'Existing Customers'!$H:$H,$ET31,'Existing Customers'!$A:$A,$EU$1)*$EU$4,FL31*EU31),0)</f>
        <v>0</v>
      </c>
      <c r="FC31" s="849" t="e">
        <f>_xlfn.CONCAT('Customer Inputs'!$AG$10,"_",ET31)</f>
        <v>#N/A</v>
      </c>
      <c r="FD31" s="849">
        <f t="array" ref="FD31">IFERROR(INDEX('Margin Guidence Table'!$A$1:$AG$10000,MATCH(1,('Margin Guidence Table'!$A$1:$A$10000=FC31)*('Margin Guidence Table'!$I$1:$I$10000&lt;=ROUND($EU$3,0))*('Margin Guidence Table'!$J$1:$J$10000&gt;=ROUND($EU$3,0)),0),MATCH("DATA_POINTS",'Margin Guidence Table'!$A$1:$AG$1,0)),0)</f>
        <v>0</v>
      </c>
      <c r="FE31" s="846" t="str">
        <f t="shared" si="36"/>
        <v>DEFAULT</v>
      </c>
      <c r="FF31" s="846">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6"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0">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0">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0">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0">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0">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0">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6">
        <f>IFERROR(IF(AND($FR$2&lt;&gt;"Enter Spend&gt;&gt;&gt;",$FS$2="EXISTING"),SUMIFS('Existing Customers'!$S:$S,'Existing Customers'!$H:$H,$FQ31,'Existing Customers'!$A:$A,$FR$1)*$FR$4,GH31*FR31),0)</f>
        <v>0</v>
      </c>
      <c r="FY31" s="846">
        <f>IFERROR(IF(AND($FR$2&lt;&gt;"Enter Spend&gt;&gt;&gt;",$FS$2="EXISTING"),SUMIFS('Existing Customers'!$U:$U,'Existing Customers'!$H:$H,$FQ31,'Existing Customers'!$A:$A,$FR$1)*$FR$4,GI31*FR31),0)</f>
        <v>0</v>
      </c>
      <c r="FZ31" s="849" t="e">
        <f>_xlfn.CONCAT('Customer Inputs'!$AG$11,"_",FQ31)</f>
        <v>#N/A</v>
      </c>
      <c r="GA31" s="849">
        <f t="array" ref="GA31">IFERROR(INDEX('Margin Guidence Table'!$A$1:$AG$10000,MATCH(1,('Margin Guidence Table'!$A$1:$A$10000=FZ31)*('Margin Guidence Table'!$I$1:$I$10000&lt;=ROUND($FR$3,0))*('Margin Guidence Table'!$J$1:$J$10000&gt;=ROUND($FR$3,0)),0),MATCH("DATA_POINTS",'Margin Guidence Table'!$A$1:$AG$1,0)),0)</f>
        <v>0</v>
      </c>
      <c r="GB31" s="846" t="str">
        <f t="shared" si="38"/>
        <v>DEFAULT</v>
      </c>
      <c r="GC31" s="846">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6">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0">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0">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0">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0">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0">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0">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6">
        <f>IFERROR(IF(AND($GO$2&lt;&gt;"Enter Spend&gt;&gt;&gt;",$GP$2="EXISTING"),SUMIFS('Existing Customers'!$S:$S,'Existing Customers'!$H:$H,$GN31,'Existing Customers'!$A:$A,$GO$1)*$GO$4,HE31*GO31),0)</f>
        <v>0</v>
      </c>
      <c r="GV31" s="846">
        <f>IFERROR(IF(AND($GO$2&lt;&gt;"Enter Spend&gt;&gt;&gt;",$GP$2="EXISTING"),SUMIFS('Existing Customers'!$U:$U,'Existing Customers'!$H:$H,$GN31,'Existing Customers'!$A:$A,$GO$1)*$GO$4,HF31*GO31),0)</f>
        <v>0</v>
      </c>
      <c r="GW31" s="849" t="e">
        <f>_xlfn.CONCAT('Customer Inputs'!$AG$12,"_",GN31)</f>
        <v>#N/A</v>
      </c>
      <c r="GX31" s="849">
        <f t="array" ref="GX31">IFERROR(INDEX('Margin Guidence Table'!$A$1:$AG$10000,MATCH(1,('Margin Guidence Table'!$A$1:$A$10000=GW31)*('Margin Guidence Table'!$I$1:$I$10000&lt;=ROUND($GO$3,0))*('Margin Guidence Table'!$J$1:$J$10000&gt;=ROUND($GO$3,0)),0),MATCH("DATA_POINTS",'Margin Guidence Table'!$A$1:$AG$1,0)),0)</f>
        <v>0</v>
      </c>
      <c r="GY31" s="846" t="str">
        <f t="shared" si="40"/>
        <v>DEFAULT</v>
      </c>
      <c r="GZ31" s="846">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6">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0">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0">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0">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0">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0">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0">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6">
        <f>IFERROR(IF(AND($HL$2&lt;&gt;"Enter Spend&gt;&gt;&gt;",$HM$2="EXISTING"),SUMIFS('Existing Customers'!$S:$S,'Existing Customers'!$H:$H,$HK31,'Existing Customers'!$A:$A,$HL$1)*$HL$4,IB31*HL31),0)</f>
        <v>0</v>
      </c>
      <c r="HS31" s="846">
        <f>IFERROR(IF(AND($HL$2&lt;&gt;"Enter Spend&gt;&gt;&gt;",$HM$2="EXISTING"),SUMIFS('Existing Customers'!$U:$U,'Existing Customers'!$H:$H,$HK31,'Existing Customers'!$A:$A,$HL$1)*$HL$4,IC31*HL31),0)</f>
        <v>0</v>
      </c>
      <c r="HT31" s="849" t="e">
        <f>_xlfn.CONCAT('Customer Inputs'!$AG$13,"_",HK31)</f>
        <v>#N/A</v>
      </c>
      <c r="HU31" s="849">
        <f t="array" ref="HU31">IFERROR(INDEX('Margin Guidence Table'!$A$1:$AG$10000,MATCH(1,('Margin Guidence Table'!$A$1:$A$10000=HT31)*('Margin Guidence Table'!$I$1:$I$10000&lt;=ROUND($HL$3,0))*('Margin Guidence Table'!$J$1:$J$10000&gt;=ROUND($HL$3,0)),0),MATCH("DATA_POINTS",'Margin Guidence Table'!$A$1:$AG$1,0)),0)</f>
        <v>0</v>
      </c>
      <c r="HV31" s="846" t="str">
        <f t="shared" si="42"/>
        <v>DEFAULT</v>
      </c>
      <c r="HW31" s="846">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6">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0">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0">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0">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0">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0">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0">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6">
        <f>IFERROR(IF(AND($II$2&lt;&gt;"Enter Spend&gt;&gt;&gt;",$IJ$2="EXISTING"),SUMIFS('Existing Customers'!$S:$S,'Existing Customers'!$H:$H,$IH31,'Existing Customers'!$A:$A,$II$1)*$II$4,IY31*II31),0)</f>
        <v>0</v>
      </c>
      <c r="IP31" s="846">
        <f>IFERROR(IF(AND($II$2&lt;&gt;"Enter Spend&gt;&gt;&gt;",$IJ$2="EXISTING"),SUMIFS('Existing Customers'!$U:$U,'Existing Customers'!$H:$H,$IH31,'Existing Customers'!$A:$A,$II$1)*$II$4,IZ31*II31),0)</f>
        <v>0</v>
      </c>
      <c r="IQ31" s="849" t="e">
        <f>_xlfn.CONCAT('Customer Inputs'!$AG$14,"_",IH31)</f>
        <v>#N/A</v>
      </c>
      <c r="IR31" s="849">
        <f t="array" ref="IR31">IFERROR(INDEX('Margin Guidence Table'!$A$1:$AG$10000,MATCH(1,('Margin Guidence Table'!$A$1:$A$10000=IQ31)*('Margin Guidence Table'!$I$1:$I$10000&lt;=ROUND($II$3,0))*('Margin Guidence Table'!$J$1:$J$10000&gt;=ROUND($II$3,0)),0),MATCH("DATA_POINTS",'Margin Guidence Table'!$A$1:$AG$1,0)),0)</f>
        <v>0</v>
      </c>
      <c r="IS31" s="846" t="str">
        <f t="shared" si="44"/>
        <v>DEFAULT</v>
      </c>
      <c r="IT31" s="846">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6">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0">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0">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0">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0">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0">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0">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6">
        <f>IFERROR(IF(AND($JF$2&lt;&gt;"Enter Spend&gt;&gt;&gt;",$JG$2="EXISTING"),SUMIFS('Existing Customers'!$S:$S,'Existing Customers'!$H:$H,$JE31,'Existing Customers'!$A:$A,$JF$1)*$JF$4,JV31*JF31),0)</f>
        <v>0</v>
      </c>
      <c r="JM31" s="846">
        <f>IFERROR(IF(AND($JF$2&lt;&gt;"Enter Spend&gt;&gt;&gt;",$JG$2="EXISTING"),SUMIFS('Existing Customers'!$U:$U,'Existing Customers'!$H:$H,$JE31,'Existing Customers'!$A:$A,$JF$1)*$JF$4,JW31*JF31),0)</f>
        <v>0</v>
      </c>
      <c r="JN31" s="849" t="e">
        <f>_xlfn.CONCAT('Customer Inputs'!$AG$15,"_",JE31)</f>
        <v>#N/A</v>
      </c>
      <c r="JO31" s="849">
        <f t="array" ref="JO31">IFERROR(INDEX('Margin Guidence Table'!$A$1:$AG$10000,MATCH(1,('Margin Guidence Table'!$A$1:$A$10000=JN31)*('Margin Guidence Table'!$I$1:$I$10000&lt;=ROUND($JF$3,0))*('Margin Guidence Table'!$J$1:$J$10000&gt;=ROUND($JF$3,0)),0),MATCH("DATA_POINTS",'Margin Guidence Table'!$A$1:$AG$1,0)),0)</f>
        <v>0</v>
      </c>
      <c r="JP31" s="846" t="str">
        <f t="shared" si="46"/>
        <v>DEFAULT</v>
      </c>
      <c r="JQ31" s="846">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6">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0">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0">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0">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0">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0">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0">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66">
        <f t="shared" si="0"/>
        <v>0</v>
      </c>
      <c r="H32" s="1466">
        <f t="shared" si="0"/>
        <v>0</v>
      </c>
      <c r="I32" s="395">
        <f t="shared" si="11"/>
        <v>0</v>
      </c>
      <c r="J32" s="394">
        <f t="shared" si="12"/>
        <v>0</v>
      </c>
      <c r="K32" s="844">
        <f t="shared" si="13"/>
        <v>0</v>
      </c>
      <c r="L32" s="844">
        <f t="shared" si="14"/>
        <v>0</v>
      </c>
      <c r="M32" s="844">
        <f t="shared" si="15"/>
        <v>0</v>
      </c>
      <c r="N32" s="1466">
        <f>IF('PIM Model'!D28="$/CS",IFERROR(ROUND(SUM(BT32*$BR$35+CQ32*$CO$35+DN32*$DL$35+EK32*$EI$35+FH32*$FF$35+GE32*$GC$35+HB32*$GZ$35+HY32*$HW$35+IV32*$IT$35+JS32*$JQ$35)/$G$35,2),0),IF('PIM Model'!D28="$/LB",IFERROR(ROUND(SUM(BT32*$BS$35+CQ32*$CP$35+DN32*$DM$35+EK32*$EJ$35+FH32*$FG$35+GE32*$GD$35+HB32*$HA$35+HY32*$HX$35+IV32*$IU$35+JS32*$JR$35)/$H$35,2),0),0))</f>
        <v>0</v>
      </c>
      <c r="O32" s="1466">
        <f>IF('PIM Model'!D28="$/CS",IFERROR(ROUND(SUM(BU32*$BR$35+CR32*$CO$35+DO32*$DL$35+EL32*$EI$35+FI32*$FF$35+GF32*$GC$35+HC32*$GZ$35+HZ32*$HW$35+IW32*$IT$35+JT32*$JQ$35)/$G$35,2),0),IF('PIM Model'!D28="$/LB",IFERROR(ROUND(SUM(BU32*$BS$35+CR32*$CP$35+DO32*$DM$35+EL32*$EJ$35+FI32*$FG$35+GF32*$GD$35+HC32*$HA$35+HZ32*$HX$35+IW32*$IU$35+JT32*$JR$35)/$H$35,2),0),0))</f>
        <v>0</v>
      </c>
      <c r="P32" s="1466">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5">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8" t="e">
        <f>_xlfn.CONCAT('Customer Inputs'!$AG$6,"_",BF32)</f>
        <v>#N/A</v>
      </c>
      <c r="BP32" s="849">
        <f t="array" ref="BP32">IFERROR(INDEX('Margin Guidence Table'!$A$1:$AG$10000,MATCH(1,('Margin Guidence Table'!$A$1:$A$10000=$BO32)*('Margin Guidence Table'!$I$1:$I$10000&lt;=ROUND($BG$3,0))*('Margin Guidence Table'!$J$1:$J$10000&gt;=ROUND($BG$3,0)),0),MATCH("DATA_POINTS",'Margin Guidence Table'!$A$1:$AG$1,0)),0)</f>
        <v>0</v>
      </c>
      <c r="BQ32" s="846" t="str">
        <f t="shared" si="28"/>
        <v>DEFAULT</v>
      </c>
      <c r="BR32" s="846">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6">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0">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0">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0">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0">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0">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0">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6">
        <f>IFERROR(IF(AND($CD$2&lt;&gt;"Enter Spend&gt;&gt;&gt;",$CE$2="EXISTING"),SUMIFS('Existing Customers'!$S:$S,'Existing Customers'!$H:$H,$CC32,'Existing Customers'!$A:$A,$CD$1)*$CD$4,CT32*CD32),0)</f>
        <v>0</v>
      </c>
      <c r="CK32" s="846">
        <f>IFERROR(IF(AND($CD$2&lt;&gt;"Enter Spend&gt;&gt;&gt;",$CE$2="EXISTING"),SUMIFS('Existing Customers'!$U:$U,'Existing Customers'!$H:$H,$CC32,'Existing Customers'!$A:$A,$CD$1)*$CD$4,CU32*CD32),0)</f>
        <v>0</v>
      </c>
      <c r="CL32" s="849" t="e">
        <f>_xlfn.CONCAT('Customer Inputs'!$AG$7,"_",CC32)</f>
        <v>#N/A</v>
      </c>
      <c r="CM32" s="849">
        <f t="array" ref="CM32">IFERROR(INDEX('Margin Guidence Table'!$A$1:$AG$10000,MATCH(1,('Margin Guidence Table'!$A$1:$A$10000=$CL32)*('Margin Guidence Table'!$I$1:$I$10000&lt;=ROUND($CD$3,0))*('Margin Guidence Table'!$J$1:$J$10000&gt;=ROUND($CD$3,0)),0),MATCH("DATA_POINTS",'Margin Guidence Table'!$A$1:$AG$1,0)),0)</f>
        <v>0</v>
      </c>
      <c r="CN32" s="846" t="str">
        <f t="shared" si="30"/>
        <v>DEFAULT</v>
      </c>
      <c r="CO32" s="846">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6">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0">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0">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0">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0">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0">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0">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6">
        <f>IFERROR(IF(AND($DA$2&lt;&gt;"Enter Spend&gt;&gt;&gt;",$DB$2="EXISTING"),SUMIFS('Existing Customers'!$S:$S,'Existing Customers'!$H:$H,$CZ32,'Existing Customers'!$A:$A,$DA$1)*$DA$4,DQ32*DA32),0)</f>
        <v>0</v>
      </c>
      <c r="DH32" s="846">
        <f>IFERROR(IF(AND($DA$2&lt;&gt;"Enter Spend&gt;&gt;&gt;",$DB$2="EXISTING"),SUMIFS('Existing Customers'!$U:$U,'Existing Customers'!$H:$H,$CZ32,'Existing Customers'!$A:$A,$DA$1)*$DA$4,DR32*DA32),0)</f>
        <v>0</v>
      </c>
      <c r="DI32" s="849" t="e">
        <f>_xlfn.CONCAT('Customer Inputs'!$AG$8,"_",CZ32)</f>
        <v>#N/A</v>
      </c>
      <c r="DJ32" s="849">
        <f t="array" ref="DJ32">IFERROR(INDEX('Margin Guidence Table'!$A$1:$AG$10000,MATCH(1,('Margin Guidence Table'!$A$1:$A$10000=DI32)*('Margin Guidence Table'!$I$1:$I$10000&lt;=ROUND($DA$3,0))*('Margin Guidence Table'!$J$1:$J$10000&gt;=ROUND($DA$3,0)),0),MATCH("DATA_POINTS",'Margin Guidence Table'!$A$1:$AG$1,0)),0)</f>
        <v>0</v>
      </c>
      <c r="DK32" s="846" t="str">
        <f t="shared" si="32"/>
        <v>DEFAULT</v>
      </c>
      <c r="DL32" s="846">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6">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0">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0">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0">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0">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0">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0">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6">
        <f>IFERROR(IF(AND($DX$2&lt;&gt;"Enter Spend&gt;&gt;&gt;",$DY$2="EXISTING"),SUMIFS('Existing Customers'!$S:$S,'Existing Customers'!$H:$H,$DY32,'Existing Customers'!$A:$A,$DX$1)*$DX$4,EN32*DX32),0)</f>
        <v>0</v>
      </c>
      <c r="EE32" s="846">
        <f>IFERROR(IF(AND($DX$2&lt;&gt;"Enter Spend&gt;&gt;&gt;",$DY$2="EXISTING"),SUMIFS('Existing Customers'!$U:$U,'Existing Customers'!$H:$H,$DW32,'Existing Customers'!$A:$A,$DX$1)*$DX$4,EO32*DX32),0)</f>
        <v>0</v>
      </c>
      <c r="EF32" s="849" t="e">
        <f>_xlfn.CONCAT('Customer Inputs'!$AG$9,"_",DW32)</f>
        <v>#N/A</v>
      </c>
      <c r="EG32" s="849">
        <f t="array" ref="EG32">IFERROR(INDEX('Margin Guidence Table'!$A$1:$AG$10000,MATCH(1,('Margin Guidence Table'!$A$1:$A$10000=EF32)*('Margin Guidence Table'!$I$1:$I$10000&lt;=ROUND($DX$3,0))*('Margin Guidence Table'!$J$1:$J$10000&gt;=ROUND($DX$3,0)),0),MATCH("DATA_POINTS",'Margin Guidence Table'!$A$1:$AG$1,0)),0)</f>
        <v>0</v>
      </c>
      <c r="EH32" s="846" t="str">
        <f t="shared" si="34"/>
        <v>DEFAULT</v>
      </c>
      <c r="EI32" s="846">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6">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0">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0">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0">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0">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0">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0">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6">
        <f>IFERROR(IF(AND($EU$2&lt;&gt;"Enter Spend&gt;&gt;&gt;",$EV$2="EXISTING"),SUMIFS('Existing Customers'!$S:$S,'Existing Customers'!$H:$H,$ET32,'Existing Customers'!$A:$A,$EU$1)*$EU$4,FK32*EU32),0)</f>
        <v>0</v>
      </c>
      <c r="FB32" s="846">
        <f>IFERROR(IF(AND($EU$2&lt;&gt;"Enter Spend&gt;&gt;&gt;",$EV$2="EXISTING"),SUMIFS('Existing Customers'!$U:$U,'Existing Customers'!$H:$H,$ET32,'Existing Customers'!$A:$A,$EU$1)*$EU$4,FL32*EU32),0)</f>
        <v>0</v>
      </c>
      <c r="FC32" s="849" t="e">
        <f>_xlfn.CONCAT('Customer Inputs'!$AG$10,"_",ET32)</f>
        <v>#N/A</v>
      </c>
      <c r="FD32" s="849">
        <f t="array" ref="FD32">IFERROR(INDEX('Margin Guidence Table'!$A$1:$AG$10000,MATCH(1,('Margin Guidence Table'!$A$1:$A$10000=FC32)*('Margin Guidence Table'!$I$1:$I$10000&lt;=ROUND($EU$3,0))*('Margin Guidence Table'!$J$1:$J$10000&gt;=ROUND($EU$3,0)),0),MATCH("DATA_POINTS",'Margin Guidence Table'!$A$1:$AG$1,0)),0)</f>
        <v>0</v>
      </c>
      <c r="FE32" s="846" t="str">
        <f t="shared" si="36"/>
        <v>DEFAULT</v>
      </c>
      <c r="FF32" s="846">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6"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0">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0">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0">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0">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0">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0">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6">
        <f>IFERROR(IF(AND($FR$2&lt;&gt;"Enter Spend&gt;&gt;&gt;",$FS$2="EXISTING"),SUMIFS('Existing Customers'!$S:$S,'Existing Customers'!$H:$H,$FQ32,'Existing Customers'!$A:$A,$FR$1)*$FR$4,GH32*FR32),0)</f>
        <v>0</v>
      </c>
      <c r="FY32" s="846">
        <f>IFERROR(IF(AND($FR$2&lt;&gt;"Enter Spend&gt;&gt;&gt;",$FS$2="EXISTING"),SUMIFS('Existing Customers'!$U:$U,'Existing Customers'!$H:$H,$FQ32,'Existing Customers'!$A:$A,$FR$1)*$FR$4,GI32*FR32),0)</f>
        <v>0</v>
      </c>
      <c r="FZ32" s="849" t="e">
        <f>_xlfn.CONCAT('Customer Inputs'!$AG$11,"_",FQ32)</f>
        <v>#N/A</v>
      </c>
      <c r="GA32" s="849">
        <f t="array" ref="GA32">IFERROR(INDEX('Margin Guidence Table'!$A$1:$AG$10000,MATCH(1,('Margin Guidence Table'!$A$1:$A$10000=FZ32)*('Margin Guidence Table'!$I$1:$I$10000&lt;=ROUND($FR$3,0))*('Margin Guidence Table'!$J$1:$J$10000&gt;=ROUND($FR$3,0)),0),MATCH("DATA_POINTS",'Margin Guidence Table'!$A$1:$AG$1,0)),0)</f>
        <v>0</v>
      </c>
      <c r="GB32" s="846" t="str">
        <f t="shared" si="38"/>
        <v>DEFAULT</v>
      </c>
      <c r="GC32" s="846">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6">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0">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0">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0">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0">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0">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0">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6">
        <f>IFERROR(IF(AND($GO$2&lt;&gt;"Enter Spend&gt;&gt;&gt;",$GP$2="EXISTING"),SUMIFS('Existing Customers'!$S:$S,'Existing Customers'!$H:$H,$GN32,'Existing Customers'!$A:$A,$GO$1)*$GO$4,HE32*GO32),0)</f>
        <v>0</v>
      </c>
      <c r="GV32" s="846">
        <f>IFERROR(IF(AND($GO$2&lt;&gt;"Enter Spend&gt;&gt;&gt;",$GP$2="EXISTING"),SUMIFS('Existing Customers'!$U:$U,'Existing Customers'!$H:$H,$GN32,'Existing Customers'!$A:$A,$GO$1)*$GO$4,HF32*GO32),0)</f>
        <v>0</v>
      </c>
      <c r="GW32" s="849" t="e">
        <f>_xlfn.CONCAT('Customer Inputs'!$AG$12,"_",GN32)</f>
        <v>#N/A</v>
      </c>
      <c r="GX32" s="849">
        <f t="array" ref="GX32">IFERROR(INDEX('Margin Guidence Table'!$A$1:$AG$10000,MATCH(1,('Margin Guidence Table'!$A$1:$A$10000=GW32)*('Margin Guidence Table'!$I$1:$I$10000&lt;=ROUND($GO$3,0))*('Margin Guidence Table'!$J$1:$J$10000&gt;=ROUND($GO$3,0)),0),MATCH("DATA_POINTS",'Margin Guidence Table'!$A$1:$AG$1,0)),0)</f>
        <v>0</v>
      </c>
      <c r="GY32" s="846" t="str">
        <f t="shared" si="40"/>
        <v>DEFAULT</v>
      </c>
      <c r="GZ32" s="846">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6">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0">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0">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0">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0">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0">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0">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6">
        <f>IFERROR(IF(AND($HL$2&lt;&gt;"Enter Spend&gt;&gt;&gt;",$HM$2="EXISTING"),SUMIFS('Existing Customers'!$S:$S,'Existing Customers'!$H:$H,$HK32,'Existing Customers'!$A:$A,$HL$1)*$HL$4,IB32*HL32),0)</f>
        <v>0</v>
      </c>
      <c r="HS32" s="846">
        <f>IFERROR(IF(AND($HL$2&lt;&gt;"Enter Spend&gt;&gt;&gt;",$HM$2="EXISTING"),SUMIFS('Existing Customers'!$U:$U,'Existing Customers'!$H:$H,$HK32,'Existing Customers'!$A:$A,$HL$1)*$HL$4,IC32*HL32),0)</f>
        <v>0</v>
      </c>
      <c r="HT32" s="849" t="e">
        <f>_xlfn.CONCAT('Customer Inputs'!$AG$13,"_",HK32)</f>
        <v>#N/A</v>
      </c>
      <c r="HU32" s="849">
        <f t="array" ref="HU32">IFERROR(INDEX('Margin Guidence Table'!$A$1:$AG$10000,MATCH(1,('Margin Guidence Table'!$A$1:$A$10000=HT32)*('Margin Guidence Table'!$I$1:$I$10000&lt;=ROUND($HL$3,0))*('Margin Guidence Table'!$J$1:$J$10000&gt;=ROUND($HL$3,0)),0),MATCH("DATA_POINTS",'Margin Guidence Table'!$A$1:$AG$1,0)),0)</f>
        <v>0</v>
      </c>
      <c r="HV32" s="846" t="str">
        <f t="shared" si="42"/>
        <v>DEFAULT</v>
      </c>
      <c r="HW32" s="846">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6">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0">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0">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0">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0">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0">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0">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6">
        <f>IFERROR(IF(AND($II$2&lt;&gt;"Enter Spend&gt;&gt;&gt;",$IJ$2="EXISTING"),SUMIFS('Existing Customers'!$S:$S,'Existing Customers'!$H:$H,$IH32,'Existing Customers'!$A:$A,$II$1)*$II$4,IY32*II32),0)</f>
        <v>0</v>
      </c>
      <c r="IP32" s="846">
        <f>IFERROR(IF(AND($II$2&lt;&gt;"Enter Spend&gt;&gt;&gt;",$IJ$2="EXISTING"),SUMIFS('Existing Customers'!$U:$U,'Existing Customers'!$H:$H,$IH32,'Existing Customers'!$A:$A,$II$1)*$II$4,IZ32*II32),0)</f>
        <v>0</v>
      </c>
      <c r="IQ32" s="849" t="e">
        <f>_xlfn.CONCAT('Customer Inputs'!$AG$14,"_",IH32)</f>
        <v>#N/A</v>
      </c>
      <c r="IR32" s="849">
        <f t="array" ref="IR32">IFERROR(INDEX('Margin Guidence Table'!$A$1:$AG$10000,MATCH(1,('Margin Guidence Table'!$A$1:$A$10000=IQ32)*('Margin Guidence Table'!$I$1:$I$10000&lt;=ROUND($II$3,0))*('Margin Guidence Table'!$J$1:$J$10000&gt;=ROUND($II$3,0)),0),MATCH("DATA_POINTS",'Margin Guidence Table'!$A$1:$AG$1,0)),0)</f>
        <v>0</v>
      </c>
      <c r="IS32" s="846" t="str">
        <f t="shared" si="44"/>
        <v>DEFAULT</v>
      </c>
      <c r="IT32" s="846">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6">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0">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0">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0">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0">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0">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0">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6">
        <f>IFERROR(IF(AND($JF$2&lt;&gt;"Enter Spend&gt;&gt;&gt;",$JG$2="EXISTING"),SUMIFS('Existing Customers'!$S:$S,'Existing Customers'!$H:$H,$JE32,'Existing Customers'!$A:$A,$JF$1)*$JF$4,JV32*JF32),0)</f>
        <v>0</v>
      </c>
      <c r="JM32" s="846">
        <f>IFERROR(IF(AND($JF$2&lt;&gt;"Enter Spend&gt;&gt;&gt;",$JG$2="EXISTING"),SUMIFS('Existing Customers'!$U:$U,'Existing Customers'!$H:$H,$JE32,'Existing Customers'!$A:$A,$JF$1)*$JF$4,JW32*JF32),0)</f>
        <v>0</v>
      </c>
      <c r="JN32" s="849" t="e">
        <f>_xlfn.CONCAT('Customer Inputs'!$AG$15,"_",JE32)</f>
        <v>#N/A</v>
      </c>
      <c r="JO32" s="849">
        <f t="array" ref="JO32">IFERROR(INDEX('Margin Guidence Table'!$A$1:$AG$10000,MATCH(1,('Margin Guidence Table'!$A$1:$A$10000=JN32)*('Margin Guidence Table'!$I$1:$I$10000&lt;=ROUND($JF$3,0))*('Margin Guidence Table'!$J$1:$J$10000&gt;=ROUND($JF$3,0)),0),MATCH("DATA_POINTS",'Margin Guidence Table'!$A$1:$AG$1,0)),0)</f>
        <v>0</v>
      </c>
      <c r="JP32" s="846" t="str">
        <f t="shared" si="46"/>
        <v>DEFAULT</v>
      </c>
      <c r="JQ32" s="846">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6">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0">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0">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0">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0">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0">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0">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66">
        <f t="shared" si="0"/>
        <v>0</v>
      </c>
      <c r="H33" s="1466">
        <f t="shared" si="0"/>
        <v>0</v>
      </c>
      <c r="I33" s="395">
        <f t="shared" si="11"/>
        <v>0</v>
      </c>
      <c r="J33" s="394">
        <f t="shared" si="12"/>
        <v>0</v>
      </c>
      <c r="K33" s="844">
        <f t="shared" si="13"/>
        <v>0</v>
      </c>
      <c r="L33" s="844">
        <f t="shared" si="14"/>
        <v>0</v>
      </c>
      <c r="M33" s="844">
        <f t="shared" si="15"/>
        <v>0</v>
      </c>
      <c r="N33" s="1466">
        <f>IF('PIM Model'!D29="$/CS",IFERROR(ROUND(SUM(BT33*$BR$35+CQ33*$CO$35+DN33*$DL$35+EK33*$EI$35+FH33*$FF$35+GE33*$GC$35+HB33*$GZ$35+HY33*$HW$35+IV33*$IT$35+JS33*$JQ$35)/$G$35,2),0),IF('PIM Model'!D29="$/LB",IFERROR(ROUND(SUM(BT33*$BS$35+CQ33*$CP$35+DN33*$DM$35+EK33*$EJ$35+FH33*$FG$35+GE33*$GD$35+HB33*$HA$35+HY33*$HX$35+IV33*$IU$35+JS33*$JR$35)/$H$35,2),0),0))</f>
        <v>0</v>
      </c>
      <c r="O33" s="1466">
        <f>IF('PIM Model'!D29="$/CS",IFERROR(ROUND(SUM(BU33*$BR$35+CR33*$CO$35+DO33*$DL$35+EL33*$EI$35+FI33*$FF$35+GF33*$GC$35+HC33*$GZ$35+HZ33*$HW$35+IW33*$IT$35+JT33*$JQ$35)/$G$35,2),0),IF('PIM Model'!D29="$/LB",IFERROR(ROUND(SUM(BU33*$BS$35+CR33*$CP$35+DO33*$DM$35+EL33*$EJ$35+FI33*$FG$35+GF33*$GD$35+HC33*$HA$35+HZ33*$HX$35+IW33*$IU$35+JT33*$JR$35)/$H$35,2),0),0))</f>
        <v>0</v>
      </c>
      <c r="P33" s="1466">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5">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8" t="e">
        <f>_xlfn.CONCAT('Customer Inputs'!$AG$6,"_",BF33)</f>
        <v>#N/A</v>
      </c>
      <c r="BP33" s="849">
        <f t="array" ref="BP33">IFERROR(INDEX('Margin Guidence Table'!$A$1:$AG$10000,MATCH(1,('Margin Guidence Table'!$A$1:$A$10000=$BO33)*('Margin Guidence Table'!$I$1:$I$10000&lt;=ROUND($BG$3,0))*('Margin Guidence Table'!$J$1:$J$10000&gt;=ROUND($BG$3,0)),0),MATCH("DATA_POINTS",'Margin Guidence Table'!$A$1:$AG$1,0)),0)</f>
        <v>0</v>
      </c>
      <c r="BQ33" s="846" t="str">
        <f t="shared" si="28"/>
        <v>DEFAULT</v>
      </c>
      <c r="BR33" s="846">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6">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0">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0">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0">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0">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0">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0">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6">
        <f>IFERROR(IF(AND($CD$2&lt;&gt;"Enter Spend&gt;&gt;&gt;",$CE$2="EXISTING"),SUMIFS('Existing Customers'!$S:$S,'Existing Customers'!$H:$H,$CC33,'Existing Customers'!$A:$A,$CD$1)*$CD$4,CT33*CD33),0)</f>
        <v>0</v>
      </c>
      <c r="CK33" s="846">
        <f>IFERROR(IF(AND($CD$2&lt;&gt;"Enter Spend&gt;&gt;&gt;",$CE$2="EXISTING"),SUMIFS('Existing Customers'!$U:$U,'Existing Customers'!$H:$H,$CC33,'Existing Customers'!$A:$A,$CD$1)*$CD$4,CU33*CD33),0)</f>
        <v>0</v>
      </c>
      <c r="CL33" s="849" t="e">
        <f>_xlfn.CONCAT('Customer Inputs'!$AG$7,"_",CC33)</f>
        <v>#N/A</v>
      </c>
      <c r="CM33" s="849">
        <f t="array" ref="CM33">IFERROR(INDEX('Margin Guidence Table'!$A$1:$AG$10000,MATCH(1,('Margin Guidence Table'!$A$1:$A$10000=$CL33)*('Margin Guidence Table'!$I$1:$I$10000&lt;=ROUND($CD$3,0))*('Margin Guidence Table'!$J$1:$J$10000&gt;=ROUND($CD$3,0)),0),MATCH("DATA_POINTS",'Margin Guidence Table'!$A$1:$AG$1,0)),0)</f>
        <v>0</v>
      </c>
      <c r="CN33" s="846" t="str">
        <f t="shared" si="30"/>
        <v>DEFAULT</v>
      </c>
      <c r="CO33" s="846">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6">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0">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0">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0">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0">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0">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0">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6">
        <f>IFERROR(IF(AND($DA$2&lt;&gt;"Enter Spend&gt;&gt;&gt;",$DB$2="EXISTING"),SUMIFS('Existing Customers'!$S:$S,'Existing Customers'!$H:$H,$CZ33,'Existing Customers'!$A:$A,$DA$1)*$DA$4,DQ33*DA33),0)</f>
        <v>0</v>
      </c>
      <c r="DH33" s="846">
        <f>IFERROR(IF(AND($DA$2&lt;&gt;"Enter Spend&gt;&gt;&gt;",$DB$2="EXISTING"),SUMIFS('Existing Customers'!$U:$U,'Existing Customers'!$H:$H,$CZ33,'Existing Customers'!$A:$A,$DA$1)*$DA$4,DR33*DA33),0)</f>
        <v>0</v>
      </c>
      <c r="DI33" s="849" t="e">
        <f>_xlfn.CONCAT('Customer Inputs'!$AG$8,"_",CZ33)</f>
        <v>#N/A</v>
      </c>
      <c r="DJ33" s="849">
        <f t="array" ref="DJ33">IFERROR(INDEX('Margin Guidence Table'!$A$1:$AG$10000,MATCH(1,('Margin Guidence Table'!$A$1:$A$10000=DI33)*('Margin Guidence Table'!$I$1:$I$10000&lt;=ROUND($DA$3,0))*('Margin Guidence Table'!$J$1:$J$10000&gt;=ROUND($DA$3,0)),0),MATCH("DATA_POINTS",'Margin Guidence Table'!$A$1:$AG$1,0)),0)</f>
        <v>0</v>
      </c>
      <c r="DK33" s="846" t="str">
        <f t="shared" si="32"/>
        <v>DEFAULT</v>
      </c>
      <c r="DL33" s="846">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6">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0">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0">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0">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0">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0">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0">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6">
        <f>IFERROR(IF(AND($DX$2&lt;&gt;"Enter Spend&gt;&gt;&gt;",$DY$2="EXISTING"),SUMIFS('Existing Customers'!$S:$S,'Existing Customers'!$H:$H,$DY33,'Existing Customers'!$A:$A,$DX$1)*$DX$4,EN33*DX33),0)</f>
        <v>0</v>
      </c>
      <c r="EE33" s="846">
        <f>IFERROR(IF(AND($DX$2&lt;&gt;"Enter Spend&gt;&gt;&gt;",$DY$2="EXISTING"),SUMIFS('Existing Customers'!$U:$U,'Existing Customers'!$H:$H,$DW33,'Existing Customers'!$A:$A,$DX$1)*$DX$4,EO33*DX33),0)</f>
        <v>0</v>
      </c>
      <c r="EF33" s="849" t="e">
        <f>_xlfn.CONCAT('Customer Inputs'!$AG$9,"_",DW33)</f>
        <v>#N/A</v>
      </c>
      <c r="EG33" s="849">
        <f t="array" ref="EG33">IFERROR(INDEX('Margin Guidence Table'!$A$1:$AG$10000,MATCH(1,('Margin Guidence Table'!$A$1:$A$10000=EF33)*('Margin Guidence Table'!$I$1:$I$10000&lt;=ROUND($DX$3,0))*('Margin Guidence Table'!$J$1:$J$10000&gt;=ROUND($DX$3,0)),0),MATCH("DATA_POINTS",'Margin Guidence Table'!$A$1:$AG$1,0)),0)</f>
        <v>0</v>
      </c>
      <c r="EH33" s="846" t="str">
        <f t="shared" si="34"/>
        <v>DEFAULT</v>
      </c>
      <c r="EI33" s="846">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6">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0">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0">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0">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0">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0">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0">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6">
        <f>IFERROR(IF(AND($EU$2&lt;&gt;"Enter Spend&gt;&gt;&gt;",$EV$2="EXISTING"),SUMIFS('Existing Customers'!$S:$S,'Existing Customers'!$H:$H,$ET33,'Existing Customers'!$A:$A,$EU$1)*$EU$4,FK33*EU33),0)</f>
        <v>0</v>
      </c>
      <c r="FB33" s="846">
        <f>IFERROR(IF(AND($EU$2&lt;&gt;"Enter Spend&gt;&gt;&gt;",$EV$2="EXISTING"),SUMIFS('Existing Customers'!$U:$U,'Existing Customers'!$H:$H,$ET33,'Existing Customers'!$A:$A,$EU$1)*$EU$4,FL33*EU33),0)</f>
        <v>0</v>
      </c>
      <c r="FC33" s="849" t="e">
        <f>_xlfn.CONCAT('Customer Inputs'!$AG$10,"_",ET33)</f>
        <v>#N/A</v>
      </c>
      <c r="FD33" s="849">
        <f t="array" ref="FD33">IFERROR(INDEX('Margin Guidence Table'!$A$1:$AG$10000,MATCH(1,('Margin Guidence Table'!$A$1:$A$10000=FC33)*('Margin Guidence Table'!$I$1:$I$10000&lt;=ROUND($EU$3,0))*('Margin Guidence Table'!$J$1:$J$10000&gt;=ROUND($EU$3,0)),0),MATCH("DATA_POINTS",'Margin Guidence Table'!$A$1:$AG$1,0)),0)</f>
        <v>0</v>
      </c>
      <c r="FE33" s="846" t="str">
        <f t="shared" si="36"/>
        <v>DEFAULT</v>
      </c>
      <c r="FF33" s="846">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6"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0">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0">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0">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0">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0">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0">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6">
        <f>IFERROR(IF(AND($FR$2&lt;&gt;"Enter Spend&gt;&gt;&gt;",$FS$2="EXISTING"),SUMIFS('Existing Customers'!$S:$S,'Existing Customers'!$H:$H,$FQ33,'Existing Customers'!$A:$A,$FR$1)*$FR$4,GH33*FR33),0)</f>
        <v>0</v>
      </c>
      <c r="FY33" s="846">
        <f>IFERROR(IF(AND($FR$2&lt;&gt;"Enter Spend&gt;&gt;&gt;",$FS$2="EXISTING"),SUMIFS('Existing Customers'!$U:$U,'Existing Customers'!$H:$H,$FQ33,'Existing Customers'!$A:$A,$FR$1)*$FR$4,GI33*FR33),0)</f>
        <v>0</v>
      </c>
      <c r="FZ33" s="849" t="e">
        <f>_xlfn.CONCAT('Customer Inputs'!$AG$11,"_",FQ33)</f>
        <v>#N/A</v>
      </c>
      <c r="GA33" s="849">
        <f t="array" ref="GA33">IFERROR(INDEX('Margin Guidence Table'!$A$1:$AG$10000,MATCH(1,('Margin Guidence Table'!$A$1:$A$10000=FZ33)*('Margin Guidence Table'!$I$1:$I$10000&lt;=ROUND($FR$3,0))*('Margin Guidence Table'!$J$1:$J$10000&gt;=ROUND($FR$3,0)),0),MATCH("DATA_POINTS",'Margin Guidence Table'!$A$1:$AG$1,0)),0)</f>
        <v>0</v>
      </c>
      <c r="GB33" s="846" t="str">
        <f t="shared" si="38"/>
        <v>DEFAULT</v>
      </c>
      <c r="GC33" s="846">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6">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0">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0">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0">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0">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0">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0">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6">
        <f>IFERROR(IF(AND($GO$2&lt;&gt;"Enter Spend&gt;&gt;&gt;",$GP$2="EXISTING"),SUMIFS('Existing Customers'!$S:$S,'Existing Customers'!$H:$H,$GN33,'Existing Customers'!$A:$A,$GO$1)*$GO$4,HE33*GO33),0)</f>
        <v>0</v>
      </c>
      <c r="GV33" s="846">
        <f>IFERROR(IF(AND($GO$2&lt;&gt;"Enter Spend&gt;&gt;&gt;",$GP$2="EXISTING"),SUMIFS('Existing Customers'!$U:$U,'Existing Customers'!$H:$H,$GN33,'Existing Customers'!$A:$A,$GO$1)*$GO$4,HF33*GO33),0)</f>
        <v>0</v>
      </c>
      <c r="GW33" s="849" t="e">
        <f>_xlfn.CONCAT('Customer Inputs'!$AG$12,"_",GN33)</f>
        <v>#N/A</v>
      </c>
      <c r="GX33" s="849">
        <f t="array" ref="GX33">IFERROR(INDEX('Margin Guidence Table'!$A$1:$AG$10000,MATCH(1,('Margin Guidence Table'!$A$1:$A$10000=GW33)*('Margin Guidence Table'!$I$1:$I$10000&lt;=ROUND($GO$3,0))*('Margin Guidence Table'!$J$1:$J$10000&gt;=ROUND($GO$3,0)),0),MATCH("DATA_POINTS",'Margin Guidence Table'!$A$1:$AG$1,0)),0)</f>
        <v>0</v>
      </c>
      <c r="GY33" s="846" t="str">
        <f t="shared" si="40"/>
        <v>DEFAULT</v>
      </c>
      <c r="GZ33" s="846">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6">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0">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0">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0">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0">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0">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0">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6">
        <f>IFERROR(IF(AND($HL$2&lt;&gt;"Enter Spend&gt;&gt;&gt;",$HM$2="EXISTING"),SUMIFS('Existing Customers'!$S:$S,'Existing Customers'!$H:$H,$HK33,'Existing Customers'!$A:$A,$HL$1)*$HL$4,IB33*HL33),0)</f>
        <v>0</v>
      </c>
      <c r="HS33" s="846">
        <f>IFERROR(IF(AND($HL$2&lt;&gt;"Enter Spend&gt;&gt;&gt;",$HM$2="EXISTING"),SUMIFS('Existing Customers'!$U:$U,'Existing Customers'!$H:$H,$HK33,'Existing Customers'!$A:$A,$HL$1)*$HL$4,IC33*HL33),0)</f>
        <v>0</v>
      </c>
      <c r="HT33" s="849" t="e">
        <f>_xlfn.CONCAT('Customer Inputs'!$AG$13,"_",HK33)</f>
        <v>#N/A</v>
      </c>
      <c r="HU33" s="849">
        <f t="array" ref="HU33">IFERROR(INDEX('Margin Guidence Table'!$A$1:$AG$10000,MATCH(1,('Margin Guidence Table'!$A$1:$A$10000=HT33)*('Margin Guidence Table'!$I$1:$I$10000&lt;=ROUND($HL$3,0))*('Margin Guidence Table'!$J$1:$J$10000&gt;=ROUND($HL$3,0)),0),MATCH("DATA_POINTS",'Margin Guidence Table'!$A$1:$AG$1,0)),0)</f>
        <v>0</v>
      </c>
      <c r="HV33" s="846" t="str">
        <f t="shared" si="42"/>
        <v>DEFAULT</v>
      </c>
      <c r="HW33" s="846">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6">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0">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0">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0">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0">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0">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0">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6">
        <f>IFERROR(IF(AND($II$2&lt;&gt;"Enter Spend&gt;&gt;&gt;",$IJ$2="EXISTING"),SUMIFS('Existing Customers'!$S:$S,'Existing Customers'!$H:$H,$IH33,'Existing Customers'!$A:$A,$II$1)*$II$4,IY33*II33),0)</f>
        <v>0</v>
      </c>
      <c r="IP33" s="846">
        <f>IFERROR(IF(AND($II$2&lt;&gt;"Enter Spend&gt;&gt;&gt;",$IJ$2="EXISTING"),SUMIFS('Existing Customers'!$U:$U,'Existing Customers'!$H:$H,$IH33,'Existing Customers'!$A:$A,$II$1)*$II$4,IZ33*II33),0)</f>
        <v>0</v>
      </c>
      <c r="IQ33" s="849" t="e">
        <f>_xlfn.CONCAT('Customer Inputs'!$AG$14,"_",IH33)</f>
        <v>#N/A</v>
      </c>
      <c r="IR33" s="849">
        <f t="array" ref="IR33">IFERROR(INDEX('Margin Guidence Table'!$A$1:$AG$10000,MATCH(1,('Margin Guidence Table'!$A$1:$A$10000=IQ33)*('Margin Guidence Table'!$I$1:$I$10000&lt;=ROUND($II$3,0))*('Margin Guidence Table'!$J$1:$J$10000&gt;=ROUND($II$3,0)),0),MATCH("DATA_POINTS",'Margin Guidence Table'!$A$1:$AG$1,0)),0)</f>
        <v>0</v>
      </c>
      <c r="IS33" s="846" t="str">
        <f t="shared" si="44"/>
        <v>DEFAULT</v>
      </c>
      <c r="IT33" s="846">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6">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0">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0">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0">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0">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0">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0">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6">
        <f>IFERROR(IF(AND($JF$2&lt;&gt;"Enter Spend&gt;&gt;&gt;",$JG$2="EXISTING"),SUMIFS('Existing Customers'!$S:$S,'Existing Customers'!$H:$H,$JE33,'Existing Customers'!$A:$A,$JF$1)*$JF$4,JV33*JF33),0)</f>
        <v>0</v>
      </c>
      <c r="JM33" s="846">
        <f>IFERROR(IF(AND($JF$2&lt;&gt;"Enter Spend&gt;&gt;&gt;",$JG$2="EXISTING"),SUMIFS('Existing Customers'!$U:$U,'Existing Customers'!$H:$H,$JE33,'Existing Customers'!$A:$A,$JF$1)*$JF$4,JW33*JF33),0)</f>
        <v>0</v>
      </c>
      <c r="JN33" s="849" t="e">
        <f>_xlfn.CONCAT('Customer Inputs'!$AG$15,"_",JE33)</f>
        <v>#N/A</v>
      </c>
      <c r="JO33" s="849">
        <f t="array" ref="JO33">IFERROR(INDEX('Margin Guidence Table'!$A$1:$AG$10000,MATCH(1,('Margin Guidence Table'!$A$1:$A$10000=JN33)*('Margin Guidence Table'!$I$1:$I$10000&lt;=ROUND($JF$3,0))*('Margin Guidence Table'!$J$1:$J$10000&gt;=ROUND($JF$3,0)),0),MATCH("DATA_POINTS",'Margin Guidence Table'!$A$1:$AG$1,0)),0)</f>
        <v>0</v>
      </c>
      <c r="JP33" s="846" t="str">
        <f t="shared" si="46"/>
        <v>DEFAULT</v>
      </c>
      <c r="JQ33" s="846">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6">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0">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0">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0">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0">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0">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0">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66">
        <f t="shared" si="0"/>
        <v>0</v>
      </c>
      <c r="H34" s="1466">
        <f t="shared" si="0"/>
        <v>0</v>
      </c>
      <c r="I34" s="395">
        <f t="shared" si="11"/>
        <v>0</v>
      </c>
      <c r="J34" s="394">
        <f t="shared" si="12"/>
        <v>0</v>
      </c>
      <c r="K34" s="844">
        <f t="shared" si="13"/>
        <v>0</v>
      </c>
      <c r="L34" s="844">
        <f t="shared" si="14"/>
        <v>0</v>
      </c>
      <c r="M34" s="844">
        <f t="shared" si="15"/>
        <v>0</v>
      </c>
      <c r="N34" s="1466">
        <f>IF('PIM Model'!D30="$/CS",IFERROR(ROUND(SUM(BT34*$BR$35+CQ34*$CO$35+DN34*$DL$35+EK34*$EI$35+FH34*$FF$35+GE34*$GC$35+HB34*$GZ$35+HY34*$HW$35+IV34*$IT$35+JS34*$JQ$35)/$G$35,2),0),IF('PIM Model'!D30="$/LB",IFERROR(ROUND(SUM(BT34*$BS$35+CQ34*$CP$35+DN34*$DM$35+EK34*$EJ$35+FH34*$FG$35+GE34*$GD$35+HB34*$HA$35+HY34*$HX$35+IV34*$IU$35+JS34*$JR$35)/$H$35,2),0),0))</f>
        <v>0</v>
      </c>
      <c r="O34" s="1466">
        <f>IF('PIM Model'!D30="$/CS",IFERROR(ROUND(SUM(BU34*$BR$35+CR34*$CO$35+DO34*$DL$35+EL34*$EI$35+FI34*$FF$35+GF34*$GC$35+HC34*$GZ$35+HZ34*$HW$35+IW34*$IT$35+JT34*$JQ$35)/$G$35,2),0),IF('PIM Model'!D30="$/LB",IFERROR(ROUND(SUM(BU34*$BS$35+CR34*$CP$35+DO34*$DM$35+EL34*$EJ$35+FI34*$FG$35+GF34*$GD$35+HC34*$HA$35+HZ34*$HX$35+IW34*$IU$35+JT34*$JR$35)/$H$35,2),0),0))</f>
        <v>0</v>
      </c>
      <c r="P34" s="1466">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5">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8" t="e">
        <f>_xlfn.CONCAT('Customer Inputs'!$AG$6,"_",BF34)</f>
        <v>#N/A</v>
      </c>
      <c r="BP34" s="849">
        <f t="array" ref="BP34">IFERROR(INDEX('Margin Guidence Table'!$A$1:$AG$10000,MATCH(1,('Margin Guidence Table'!$A$1:$A$10000=$BO34)*('Margin Guidence Table'!$I$1:$I$10000&lt;=ROUND($BG$3,0))*('Margin Guidence Table'!$J$1:$J$10000&gt;=ROUND($BG$3,0)),0),MATCH("DATA_POINTS",'Margin Guidence Table'!$A$1:$AG$1,0)),0)</f>
        <v>0</v>
      </c>
      <c r="BQ34" s="846" t="str">
        <f t="shared" si="28"/>
        <v>DEFAULT</v>
      </c>
      <c r="BR34" s="846">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6">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0">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0">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0">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0">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0">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0">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6">
        <f>IFERROR(IF(AND($CD$2&lt;&gt;"Enter Spend&gt;&gt;&gt;",$CE$2="EXISTING"),SUMIFS('Existing Customers'!$S:$S,'Existing Customers'!$H:$H,$CC34,'Existing Customers'!$A:$A,$CD$1)*$CD$4,CT34*CD34),0)</f>
        <v>0</v>
      </c>
      <c r="CK34" s="846">
        <f>IFERROR(IF(AND($CD$2&lt;&gt;"Enter Spend&gt;&gt;&gt;",$CE$2="EXISTING"),SUMIFS('Existing Customers'!$U:$U,'Existing Customers'!$H:$H,$CC34,'Existing Customers'!$A:$A,$CD$1)*$CD$4,CU34*CD34),0)</f>
        <v>0</v>
      </c>
      <c r="CL34" s="849" t="e">
        <f>_xlfn.CONCAT('Customer Inputs'!$AG$7,"_",CC34)</f>
        <v>#N/A</v>
      </c>
      <c r="CM34" s="849">
        <f t="array" ref="CM34">IFERROR(INDEX('Margin Guidence Table'!$A$1:$AG$10000,MATCH(1,('Margin Guidence Table'!$A$1:$A$10000=$CL34)*('Margin Guidence Table'!$I$1:$I$10000&lt;=ROUND($CD$3,0))*('Margin Guidence Table'!$J$1:$J$10000&gt;=ROUND($CD$3,0)),0),MATCH("DATA_POINTS",'Margin Guidence Table'!$A$1:$AG$1,0)),0)</f>
        <v>0</v>
      </c>
      <c r="CN34" s="846" t="str">
        <f t="shared" si="30"/>
        <v>DEFAULT</v>
      </c>
      <c r="CO34" s="846">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6">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0">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0">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0">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0">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0">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0">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6">
        <f>IFERROR(IF(AND($DA$2&lt;&gt;"Enter Spend&gt;&gt;&gt;",$DB$2="EXISTING"),SUMIFS('Existing Customers'!$S:$S,'Existing Customers'!$H:$H,$CZ34,'Existing Customers'!$A:$A,$DA$1)*$DA$4,DQ34*DA34),0)</f>
        <v>0</v>
      </c>
      <c r="DH34" s="846">
        <f>IFERROR(IF(AND($DA$2&lt;&gt;"Enter Spend&gt;&gt;&gt;",$DB$2="EXISTING"),SUMIFS('Existing Customers'!$U:$U,'Existing Customers'!$H:$H,$CZ34,'Existing Customers'!$A:$A,$DA$1)*$DA$4,DR34*DA34),0)</f>
        <v>0</v>
      </c>
      <c r="DI34" s="849" t="e">
        <f>_xlfn.CONCAT('Customer Inputs'!$AG$8,"_",CZ34)</f>
        <v>#N/A</v>
      </c>
      <c r="DJ34" s="849">
        <f t="array" ref="DJ34">IFERROR(INDEX('Margin Guidence Table'!$A$1:$AG$10000,MATCH(1,('Margin Guidence Table'!$A$1:$A$10000=DI34)*('Margin Guidence Table'!$I$1:$I$10000&lt;=ROUND($DA$3,0))*('Margin Guidence Table'!$J$1:$J$10000&gt;=ROUND($DA$3,0)),0),MATCH("DATA_POINTS",'Margin Guidence Table'!$A$1:$AG$1,0)),0)</f>
        <v>0</v>
      </c>
      <c r="DK34" s="846" t="str">
        <f t="shared" si="32"/>
        <v>DEFAULT</v>
      </c>
      <c r="DL34" s="846">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6">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0">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0">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0">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0">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0">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0">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6">
        <f>IFERROR(IF(AND($DX$2&lt;&gt;"Enter Spend&gt;&gt;&gt;",$DY$2="EXISTING"),SUMIFS('Existing Customers'!$S:$S,'Existing Customers'!$H:$H,$DY34,'Existing Customers'!$A:$A,$DX$1)*$DX$4,EN34*DX34),0)</f>
        <v>0</v>
      </c>
      <c r="EE34" s="846">
        <f>IFERROR(IF(AND($DX$2&lt;&gt;"Enter Spend&gt;&gt;&gt;",$DY$2="EXISTING"),SUMIFS('Existing Customers'!$U:$U,'Existing Customers'!$H:$H,$DW34,'Existing Customers'!$A:$A,$DX$1)*$DX$4,EO34*DX34),0)</f>
        <v>0</v>
      </c>
      <c r="EF34" s="849" t="e">
        <f>_xlfn.CONCAT('Customer Inputs'!$AG$9,"_",DW34)</f>
        <v>#N/A</v>
      </c>
      <c r="EG34" s="849">
        <f t="array" ref="EG34">IFERROR(INDEX('Margin Guidence Table'!$A$1:$AG$10000,MATCH(1,('Margin Guidence Table'!$A$1:$A$10000=EF34)*('Margin Guidence Table'!$I$1:$I$10000&lt;=ROUND($DX$3,0))*('Margin Guidence Table'!$J$1:$J$10000&gt;=ROUND($DX$3,0)),0),MATCH("DATA_POINTS",'Margin Guidence Table'!$A$1:$AG$1,0)),0)</f>
        <v>0</v>
      </c>
      <c r="EH34" s="846" t="str">
        <f t="shared" si="34"/>
        <v>DEFAULT</v>
      </c>
      <c r="EI34" s="846">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6">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0">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0">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0">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0">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0">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0">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6">
        <f>IFERROR(IF(AND($EU$2&lt;&gt;"Enter Spend&gt;&gt;&gt;",$EV$2="EXISTING"),SUMIFS('Existing Customers'!$S:$S,'Existing Customers'!$H:$H,$ET34,'Existing Customers'!$A:$A,$EU$1)*$EU$4,FK34*EU34),0)</f>
        <v>0</v>
      </c>
      <c r="FB34" s="846">
        <f>IFERROR(IF(AND($EU$2&lt;&gt;"Enter Spend&gt;&gt;&gt;",$EV$2="EXISTING"),SUMIFS('Existing Customers'!$U:$U,'Existing Customers'!$H:$H,$ET34,'Existing Customers'!$A:$A,$EU$1)*$EU$4,FL34*EU34),0)</f>
        <v>0</v>
      </c>
      <c r="FC34" s="849" t="e">
        <f>_xlfn.CONCAT('Customer Inputs'!$AG$10,"_",ET34)</f>
        <v>#N/A</v>
      </c>
      <c r="FD34" s="849">
        <f t="array" ref="FD34">IFERROR(INDEX('Margin Guidence Table'!$A$1:$AG$10000,MATCH(1,('Margin Guidence Table'!$A$1:$A$10000=FC34)*('Margin Guidence Table'!$I$1:$I$10000&lt;=ROUND($EU$3,0))*('Margin Guidence Table'!$J$1:$J$10000&gt;=ROUND($EU$3,0)),0),MATCH("DATA_POINTS",'Margin Guidence Table'!$A$1:$AG$1,0)),0)</f>
        <v>0</v>
      </c>
      <c r="FE34" s="846" t="str">
        <f t="shared" si="36"/>
        <v>DEFAULT</v>
      </c>
      <c r="FF34" s="846">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6"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0">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0">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0">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0">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0">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0">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6">
        <f>IFERROR(IF(AND($FR$2&lt;&gt;"Enter Spend&gt;&gt;&gt;",$FS$2="EXISTING"),SUMIFS('Existing Customers'!$S:$S,'Existing Customers'!$H:$H,$FQ34,'Existing Customers'!$A:$A,$FR$1)*$FR$4,GH34*FR34),0)</f>
        <v>0</v>
      </c>
      <c r="FY34" s="846">
        <f>IFERROR(IF(AND($FR$2&lt;&gt;"Enter Spend&gt;&gt;&gt;",$FS$2="EXISTING"),SUMIFS('Existing Customers'!$U:$U,'Existing Customers'!$H:$H,$FQ34,'Existing Customers'!$A:$A,$FR$1)*$FR$4,GI34*FR34),0)</f>
        <v>0</v>
      </c>
      <c r="FZ34" s="849" t="e">
        <f>_xlfn.CONCAT('Customer Inputs'!$AG$11,"_",FQ34)</f>
        <v>#N/A</v>
      </c>
      <c r="GA34" s="849">
        <f t="array" ref="GA34">IFERROR(INDEX('Margin Guidence Table'!$A$1:$AG$10000,MATCH(1,('Margin Guidence Table'!$A$1:$A$10000=FZ34)*('Margin Guidence Table'!$I$1:$I$10000&lt;=ROUND($FR$3,0))*('Margin Guidence Table'!$J$1:$J$10000&gt;=ROUND($FR$3,0)),0),MATCH("DATA_POINTS",'Margin Guidence Table'!$A$1:$AG$1,0)),0)</f>
        <v>0</v>
      </c>
      <c r="GB34" s="846" t="str">
        <f t="shared" si="38"/>
        <v>DEFAULT</v>
      </c>
      <c r="GC34" s="846">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6">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0">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0">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0">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0">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0">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0">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6">
        <f>IFERROR(IF(AND($GO$2&lt;&gt;"Enter Spend&gt;&gt;&gt;",$GP$2="EXISTING"),SUMIFS('Existing Customers'!$S:$S,'Existing Customers'!$H:$H,$GN34,'Existing Customers'!$A:$A,$GO$1)*$GO$4,HE34*GO34),0)</f>
        <v>0</v>
      </c>
      <c r="GV34" s="846">
        <f>IFERROR(IF(AND($GO$2&lt;&gt;"Enter Spend&gt;&gt;&gt;",$GP$2="EXISTING"),SUMIFS('Existing Customers'!$U:$U,'Existing Customers'!$H:$H,$GN34,'Existing Customers'!$A:$A,$GO$1)*$GO$4,HF34*GO34),0)</f>
        <v>0</v>
      </c>
      <c r="GW34" s="849" t="e">
        <f>_xlfn.CONCAT('Customer Inputs'!$AG$12,"_",GN34)</f>
        <v>#N/A</v>
      </c>
      <c r="GX34" s="849">
        <f t="array" ref="GX34">IFERROR(INDEX('Margin Guidence Table'!$A$1:$AG$10000,MATCH(1,('Margin Guidence Table'!$A$1:$A$10000=GW34)*('Margin Guidence Table'!$I$1:$I$10000&lt;=ROUND($GO$3,0))*('Margin Guidence Table'!$J$1:$J$10000&gt;=ROUND($GO$3,0)),0),MATCH("DATA_POINTS",'Margin Guidence Table'!$A$1:$AG$1,0)),0)</f>
        <v>0</v>
      </c>
      <c r="GY34" s="846" t="str">
        <f t="shared" si="40"/>
        <v>DEFAULT</v>
      </c>
      <c r="GZ34" s="846">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6">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0">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0">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0">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0">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0">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0">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6">
        <f>IFERROR(IF(AND($HL$2&lt;&gt;"Enter Spend&gt;&gt;&gt;",$HM$2="EXISTING"),SUMIFS('Existing Customers'!$S:$S,'Existing Customers'!$H:$H,$HK34,'Existing Customers'!$A:$A,$HL$1)*$HL$4,IB34*HL34),0)</f>
        <v>0</v>
      </c>
      <c r="HS34" s="846">
        <f>IFERROR(IF(AND($HL$2&lt;&gt;"Enter Spend&gt;&gt;&gt;",$HM$2="EXISTING"),SUMIFS('Existing Customers'!$U:$U,'Existing Customers'!$H:$H,$HK34,'Existing Customers'!$A:$A,$HL$1)*$HL$4,IC34*HL34),0)</f>
        <v>0</v>
      </c>
      <c r="HT34" s="849" t="e">
        <f>_xlfn.CONCAT('Customer Inputs'!$AG$13,"_",HK34)</f>
        <v>#N/A</v>
      </c>
      <c r="HU34" s="849">
        <f t="array" ref="HU34">IFERROR(INDEX('Margin Guidence Table'!$A$1:$AG$10000,MATCH(1,('Margin Guidence Table'!$A$1:$A$10000=HT34)*('Margin Guidence Table'!$I$1:$I$10000&lt;=ROUND($HL$3,0))*('Margin Guidence Table'!$J$1:$J$10000&gt;=ROUND($HL$3,0)),0),MATCH("DATA_POINTS",'Margin Guidence Table'!$A$1:$AG$1,0)),0)</f>
        <v>0</v>
      </c>
      <c r="HV34" s="846" t="str">
        <f t="shared" si="42"/>
        <v>DEFAULT</v>
      </c>
      <c r="HW34" s="846">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6">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0">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0">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0">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0">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0">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0">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6">
        <f>IFERROR(IF(AND($II$2&lt;&gt;"Enter Spend&gt;&gt;&gt;",$IJ$2="EXISTING"),SUMIFS('Existing Customers'!$S:$S,'Existing Customers'!$H:$H,$IH34,'Existing Customers'!$A:$A,$II$1)*$II$4,IY34*II34),0)</f>
        <v>0</v>
      </c>
      <c r="IP34" s="846">
        <f>IFERROR(IF(AND($II$2&lt;&gt;"Enter Spend&gt;&gt;&gt;",$IJ$2="EXISTING"),SUMIFS('Existing Customers'!$U:$U,'Existing Customers'!$H:$H,$IH34,'Existing Customers'!$A:$A,$II$1)*$II$4,IZ34*II34),0)</f>
        <v>0</v>
      </c>
      <c r="IQ34" s="849" t="e">
        <f>_xlfn.CONCAT('Customer Inputs'!$AG$14,"_",IH34)</f>
        <v>#N/A</v>
      </c>
      <c r="IR34" s="849">
        <f t="array" ref="IR34">IFERROR(INDEX('Margin Guidence Table'!$A$1:$AG$10000,MATCH(1,('Margin Guidence Table'!$A$1:$A$10000=IQ34)*('Margin Guidence Table'!$I$1:$I$10000&lt;=ROUND($II$3,0))*('Margin Guidence Table'!$J$1:$J$10000&gt;=ROUND($II$3,0)),0),MATCH("DATA_POINTS",'Margin Guidence Table'!$A$1:$AG$1,0)),0)</f>
        <v>0</v>
      </c>
      <c r="IS34" s="846" t="str">
        <f t="shared" si="44"/>
        <v>DEFAULT</v>
      </c>
      <c r="IT34" s="846">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6">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0">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0">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0">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0">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0">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0">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6">
        <f>IFERROR(IF(AND($JF$2&lt;&gt;"Enter Spend&gt;&gt;&gt;",$JG$2="EXISTING"),SUMIFS('Existing Customers'!$S:$S,'Existing Customers'!$H:$H,$JE34,'Existing Customers'!$A:$A,$JF$1)*$JF$4,JV34*JF34),0)</f>
        <v>0</v>
      </c>
      <c r="JM34" s="846">
        <f>IFERROR(IF(AND($JF$2&lt;&gt;"Enter Spend&gt;&gt;&gt;",$JG$2="EXISTING"),SUMIFS('Existing Customers'!$U:$U,'Existing Customers'!$H:$H,$JE34,'Existing Customers'!$A:$A,$JF$1)*$JF$4,JW34*JF34),0)</f>
        <v>0</v>
      </c>
      <c r="JN34" s="849" t="e">
        <f>_xlfn.CONCAT('Customer Inputs'!$AG$15,"_",JE34)</f>
        <v>#N/A</v>
      </c>
      <c r="JO34" s="849">
        <f t="array" ref="JO34">IFERROR(INDEX('Margin Guidence Table'!$A$1:$AG$10000,MATCH(1,('Margin Guidence Table'!$A$1:$A$10000=JN34)*('Margin Guidence Table'!$I$1:$I$10000&lt;=ROUND($JF$3,0))*('Margin Guidence Table'!$J$1:$J$10000&gt;=ROUND($JF$3,0)),0),MATCH("DATA_POINTS",'Margin Guidence Table'!$A$1:$AG$1,0)),0)</f>
        <v>0</v>
      </c>
      <c r="JP34" s="846" t="str">
        <f t="shared" si="46"/>
        <v>DEFAULT</v>
      </c>
      <c r="JQ34" s="846">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6">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0">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0">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0">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0">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0">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0">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67">
        <f t="shared" ref="G35:H35" si="48">SUM(G14:G34)</f>
        <v>0</v>
      </c>
      <c r="H35" s="1467">
        <f t="shared" si="48"/>
        <v>0</v>
      </c>
      <c r="I35" s="104">
        <f>SUM(I14:I34)</f>
        <v>0</v>
      </c>
      <c r="J35" s="105"/>
      <c r="K35" s="844">
        <f t="shared" si="13"/>
        <v>0</v>
      </c>
      <c r="L35" s="844">
        <f t="shared" si="14"/>
        <v>0</v>
      </c>
      <c r="M35" s="844">
        <f t="shared" si="15"/>
        <v>0</v>
      </c>
      <c r="N35" s="844"/>
      <c r="O35" s="844"/>
      <c r="P35" s="844"/>
      <c r="Q35" s="394">
        <f t="shared" si="16"/>
        <v>0</v>
      </c>
      <c r="R35" s="959">
        <f t="shared" si="17"/>
        <v>0</v>
      </c>
      <c r="S35" s="845">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2"/>
      <c r="BP35" s="842"/>
      <c r="BQ35" s="842"/>
      <c r="BR35" s="846">
        <f>SUM(BR14:BR34)</f>
        <v>0</v>
      </c>
      <c r="BS35" s="846">
        <f>SUM(BS14:BS34)</f>
        <v>0</v>
      </c>
      <c r="BT35" s="842"/>
      <c r="BU35" s="842"/>
      <c r="BV35" s="842"/>
      <c r="BW35" s="842"/>
      <c r="BX35" s="842"/>
      <c r="BY35" s="842"/>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2"/>
      <c r="CM35" s="842"/>
      <c r="CN35" s="842"/>
      <c r="CO35" s="846">
        <f>SUM(CO14:CO34)</f>
        <v>0</v>
      </c>
      <c r="CP35" s="846">
        <f>SUM(CP14:CP34)</f>
        <v>0</v>
      </c>
      <c r="CQ35" s="842"/>
      <c r="CR35" s="842"/>
      <c r="CS35" s="842"/>
      <c r="CT35" s="842"/>
      <c r="CU35" s="842"/>
      <c r="CV35" s="842"/>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2"/>
      <c r="DJ35" s="842"/>
      <c r="DK35" s="842"/>
      <c r="DL35" s="846">
        <f>SUM(DL14:DL34)</f>
        <v>0</v>
      </c>
      <c r="DM35" s="846">
        <f>SUM(DM14:DM34)</f>
        <v>0</v>
      </c>
      <c r="DN35" s="842"/>
      <c r="DO35" s="842"/>
      <c r="DP35" s="842"/>
      <c r="DQ35" s="842"/>
      <c r="DR35" s="842"/>
      <c r="DS35" s="842"/>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2"/>
      <c r="EG35" s="842"/>
      <c r="EH35" s="842"/>
      <c r="EI35" s="846">
        <f>SUM(EI14:EI34)</f>
        <v>0</v>
      </c>
      <c r="EJ35" s="846">
        <f>SUM(EJ14:EJ34)</f>
        <v>0</v>
      </c>
      <c r="EK35" s="842"/>
      <c r="EL35" s="842"/>
      <c r="EM35" s="842"/>
      <c r="EN35" s="842"/>
      <c r="EO35" s="842"/>
      <c r="EP35" s="842"/>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2"/>
      <c r="FD35" s="842"/>
      <c r="FE35" s="842"/>
      <c r="FF35" s="846">
        <f>SUM(FF14:FF34)</f>
        <v>0</v>
      </c>
      <c r="FG35" s="846">
        <f>SUM(FG14:FG34)</f>
        <v>0</v>
      </c>
      <c r="FH35" s="842"/>
      <c r="FI35" s="842"/>
      <c r="FJ35" s="842"/>
      <c r="FK35" s="842"/>
      <c r="FL35" s="842"/>
      <c r="FM35" s="842"/>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2"/>
      <c r="GA35" s="842"/>
      <c r="GB35" s="842"/>
      <c r="GC35" s="846">
        <f>SUM(GC14:GC34)</f>
        <v>0</v>
      </c>
      <c r="GD35" s="846">
        <f>SUM(GD14:GD34)</f>
        <v>0</v>
      </c>
      <c r="GE35" s="842"/>
      <c r="GF35" s="842"/>
      <c r="GG35" s="842"/>
      <c r="GH35" s="842"/>
      <c r="GI35" s="842"/>
      <c r="GJ35" s="842"/>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2"/>
      <c r="GX35" s="842"/>
      <c r="GY35" s="842"/>
      <c r="GZ35" s="846">
        <f>SUM(GZ14:GZ34)</f>
        <v>0</v>
      </c>
      <c r="HA35" s="846">
        <f>SUM(HA14:HA34)</f>
        <v>0</v>
      </c>
      <c r="HB35" s="842"/>
      <c r="HC35" s="842"/>
      <c r="HD35" s="842"/>
      <c r="HE35" s="842"/>
      <c r="HF35" s="842"/>
      <c r="HG35" s="842"/>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2"/>
      <c r="HU35" s="842"/>
      <c r="HV35" s="842"/>
      <c r="HW35" s="846">
        <f>SUM(HW14:HW34)</f>
        <v>0</v>
      </c>
      <c r="HX35" s="846">
        <f>SUM(HX14:HX34)</f>
        <v>0</v>
      </c>
      <c r="HY35" s="842"/>
      <c r="HZ35" s="842"/>
      <c r="IA35" s="842"/>
      <c r="IB35" s="842"/>
      <c r="IC35" s="842"/>
      <c r="ID35" s="842"/>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2"/>
      <c r="IR35" s="842"/>
      <c r="IS35" s="842"/>
      <c r="IT35" s="846">
        <f>SUM(IT14:IT34)</f>
        <v>0</v>
      </c>
      <c r="IU35" s="846">
        <f>SUM(IU14:IU34)</f>
        <v>0</v>
      </c>
      <c r="IV35" s="842"/>
      <c r="IW35" s="842"/>
      <c r="IX35" s="842"/>
      <c r="IY35" s="842"/>
      <c r="IZ35" s="842"/>
      <c r="JA35" s="842"/>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2"/>
      <c r="JO35" s="842"/>
      <c r="JP35" s="842"/>
      <c r="JQ35" s="846">
        <f>SUM(JQ14:JQ34)</f>
        <v>0</v>
      </c>
      <c r="JR35" s="846">
        <f>SUM(JR14:JR34)</f>
        <v>0</v>
      </c>
      <c r="JS35" s="842"/>
      <c r="JT35" s="842"/>
      <c r="JU35" s="842"/>
      <c r="JV35" s="842"/>
      <c r="JW35" s="842"/>
      <c r="JX35" s="842"/>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1"/>
      <c r="V37" s="1461"/>
      <c r="W37" s="1461"/>
      <c r="X37" s="1461"/>
      <c r="Y37" s="1461"/>
      <c r="Z37" s="365">
        <f>RANK(AB37,$AB$36:$AB$38)</f>
        <v>1</v>
      </c>
      <c r="AA37" s="359" t="s">
        <v>1331</v>
      </c>
      <c r="AB37" s="366">
        <f>COUNTIF($BF$51:$JE$51,AA37)</f>
        <v>0</v>
      </c>
      <c r="AC37" s="1461"/>
      <c r="AD37" s="1461"/>
      <c r="AE37" s="1461"/>
      <c r="AF37" s="1461"/>
      <c r="AG37" s="277">
        <v>1</v>
      </c>
      <c r="AH37" s="837" t="str">
        <f>IF($AH$38&gt;1,"MULTIPLE TYPES",VLOOKUP(AG37,$Z$38:$AA$65,2,FALSE))</f>
        <v>MULTIPLE TYPES</v>
      </c>
      <c r="AI37" s="278"/>
      <c r="AJ37" s="1461"/>
      <c r="AK37" s="1461"/>
      <c r="AL37" s="1461"/>
      <c r="AM37" s="1461"/>
      <c r="AN37" s="1461"/>
      <c r="AO37" s="1461"/>
      <c r="AP37" s="1461"/>
      <c r="AQ37" s="1461"/>
      <c r="AR37" s="1461"/>
      <c r="AS37" s="1461"/>
      <c r="AT37" s="1461"/>
    </row>
    <row r="38" spans="2:301" x14ac:dyDescent="0.25">
      <c r="Q38" s="1461"/>
      <c r="R38" s="360">
        <f>RANK(T38,$T$39:$T$43)</f>
        <v>1</v>
      </c>
      <c r="S38" s="358" t="s">
        <v>882</v>
      </c>
      <c r="T38" s="361">
        <f>COUNTIF($BG$47:$JF$47,S38)</f>
        <v>0</v>
      </c>
      <c r="U38" s="1461"/>
      <c r="V38" s="1461"/>
      <c r="W38" s="1461"/>
      <c r="X38" s="1461"/>
      <c r="Y38" s="1461"/>
      <c r="Z38" s="360">
        <f>RANK(AB38,$AB$38:$AB$38)</f>
        <v>1</v>
      </c>
      <c r="AA38" s="358" t="s">
        <v>882</v>
      </c>
      <c r="AB38" s="361">
        <f>COUNTIF($BE$53:$JF$53,AA38)</f>
        <v>0</v>
      </c>
      <c r="AC38" s="1461"/>
      <c r="AD38" s="1461"/>
      <c r="AE38" s="1461"/>
      <c r="AF38" s="1461"/>
      <c r="AG38" s="367" t="s">
        <v>810</v>
      </c>
      <c r="AH38" s="368">
        <f>COUNTIF($Z$38:$Z$65,1)</f>
        <v>2</v>
      </c>
      <c r="AI38" s="138"/>
      <c r="AJ38" s="1461"/>
      <c r="AK38" s="1461"/>
      <c r="AL38" s="1461"/>
      <c r="AM38" s="1461"/>
      <c r="AN38" s="1461"/>
      <c r="AO38" s="1461"/>
      <c r="AP38" s="1461"/>
      <c r="AQ38" s="1461"/>
      <c r="AR38" s="1461"/>
      <c r="AS38" s="1461"/>
      <c r="AT38" s="1461"/>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1"/>
      <c r="R39" s="360">
        <f t="shared" ref="R39:R47" si="70">RANK(T39,$T$39:$T$47)</f>
        <v>1</v>
      </c>
      <c r="S39" s="358" t="s">
        <v>1</v>
      </c>
      <c r="T39" s="361">
        <f>COUNTIF('Variable Costs (Back)'!$C$15:$C$24,S39)</f>
        <v>0</v>
      </c>
      <c r="U39" s="1461"/>
      <c r="V39" s="1461"/>
      <c r="W39" s="1461"/>
      <c r="X39" s="1461"/>
      <c r="Y39" s="1461"/>
      <c r="Z39" s="360">
        <f t="shared" ref="Z39:Z65" si="71">RANK(AB39,$AB$38:$AB$65)</f>
        <v>1</v>
      </c>
      <c r="AA39" s="358" t="str" cm="1">
        <f t="array" ref="AA39">IF(_xlfn.UNIQUE('Margin Guidence Table'!F2:F1000000)&lt;&gt;0,_xlfn._xlws.SORT(_xlfn.UNIQUE('Margin Guidence Table'!F2:F1000000)),"")</f>
        <v/>
      </c>
      <c r="AB39" s="361">
        <f>COUNTIF($BF$51:$JE$51,AA39)</f>
        <v>189</v>
      </c>
      <c r="AC39" s="1461"/>
      <c r="AD39" s="1461"/>
      <c r="AE39" s="1461"/>
      <c r="AF39" s="1461"/>
      <c r="AG39" s="367" t="s">
        <v>809</v>
      </c>
      <c r="AH39" s="368" t="str">
        <f>VLOOKUP(AG37,$Z$38:$AA$65,2,FALSE)</f>
        <v>Enter Customer(s)</v>
      </c>
      <c r="AI39" s="138"/>
      <c r="AJ39" s="1461"/>
      <c r="AK39" s="1461"/>
      <c r="AL39" s="1461"/>
      <c r="AM39" s="1461"/>
      <c r="AN39" s="1461"/>
      <c r="AO39" s="1461"/>
      <c r="AP39" s="1461"/>
      <c r="AQ39" s="1461"/>
      <c r="AR39" s="1461"/>
      <c r="AS39" s="1461"/>
      <c r="AT39" s="1461"/>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1"/>
      <c r="R40" s="360">
        <f t="shared" si="70"/>
        <v>1</v>
      </c>
      <c r="S40" s="358" t="s">
        <v>114</v>
      </c>
      <c r="T40" s="361">
        <f>COUNTIF('Variable Costs (Back)'!$C$15:$C$24,S40)</f>
        <v>0</v>
      </c>
      <c r="U40" s="1461"/>
      <c r="V40" s="1461"/>
      <c r="W40" s="1461"/>
      <c r="X40" s="1461"/>
      <c r="Y40" s="1461"/>
      <c r="Z40" s="360">
        <f t="shared" si="71"/>
        <v>2</v>
      </c>
      <c r="AA40" s="358"/>
      <c r="AB40" s="361">
        <f t="shared" ref="AB40:AB65" si="72">COUNTIF($BF$51:$JE$51,AA40)</f>
        <v>9</v>
      </c>
      <c r="AC40" s="1461"/>
      <c r="AD40" s="1461"/>
      <c r="AE40" s="1461"/>
      <c r="AF40" s="1461"/>
      <c r="AG40" s="369" t="s">
        <v>902</v>
      </c>
      <c r="AH40" s="370" t="str">
        <f>IF(COUNTIF($AB$39:$AB$65,"&gt;0")&gt;1,"MULTIPLE TYPES",$AH$37)</f>
        <v>MULTIPLE TYPES</v>
      </c>
      <c r="AI40" s="257"/>
      <c r="AJ40" s="1461"/>
      <c r="AK40" s="1461"/>
      <c r="AL40" s="1461"/>
      <c r="AM40" s="1461"/>
      <c r="AN40" s="1461"/>
      <c r="AO40" s="1461"/>
      <c r="AP40" s="1461"/>
      <c r="AQ40" s="1461"/>
      <c r="AR40" s="1461"/>
      <c r="AS40" s="1461"/>
      <c r="AT40" s="1461"/>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1"/>
      <c r="R41" s="360">
        <f t="shared" si="70"/>
        <v>1</v>
      </c>
      <c r="S41" s="358" t="s">
        <v>116</v>
      </c>
      <c r="T41" s="361">
        <f>COUNTIF('Variable Costs (Back)'!$C$15:$C$24,S41)</f>
        <v>0</v>
      </c>
      <c r="U41" s="1461"/>
      <c r="V41" s="1461"/>
      <c r="W41" s="1461"/>
      <c r="X41" s="1461"/>
      <c r="Y41" s="1461"/>
      <c r="Z41" s="360">
        <f t="shared" si="71"/>
        <v>2</v>
      </c>
      <c r="AA41" s="358"/>
      <c r="AB41" s="361">
        <f t="shared" si="72"/>
        <v>9</v>
      </c>
      <c r="AC41" s="1461"/>
      <c r="AD41" s="1461"/>
      <c r="AE41" s="1461"/>
      <c r="AF41" s="1461"/>
      <c r="AG41" s="1461"/>
      <c r="AH41" s="1461"/>
      <c r="AI41" s="1461"/>
      <c r="AJ41" s="1461"/>
      <c r="AK41" s="1461"/>
      <c r="AL41" s="1461"/>
      <c r="AM41" s="1461"/>
      <c r="AN41" s="1461"/>
      <c r="AO41" s="1461"/>
      <c r="AP41" s="1461"/>
      <c r="AQ41" s="1461"/>
      <c r="AR41" s="1461"/>
      <c r="AS41" s="1461"/>
      <c r="AT41" s="1461"/>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1"/>
      <c r="R42" s="360">
        <f t="shared" si="70"/>
        <v>1</v>
      </c>
      <c r="S42" s="358" t="s">
        <v>112</v>
      </c>
      <c r="T42" s="361">
        <f>COUNTIF('Variable Costs (Back)'!$C$15:$C$24,S42)</f>
        <v>0</v>
      </c>
      <c r="U42" s="1461"/>
      <c r="V42" s="1461"/>
      <c r="W42" s="1461"/>
      <c r="X42" s="1461"/>
      <c r="Y42" s="1461"/>
      <c r="Z42" s="360">
        <f t="shared" si="71"/>
        <v>2</v>
      </c>
      <c r="AA42" s="358"/>
      <c r="AB42" s="361">
        <f t="shared" si="72"/>
        <v>9</v>
      </c>
      <c r="AC42" s="1461"/>
      <c r="AD42" s="1461"/>
      <c r="AE42" s="1461"/>
      <c r="AF42" s="1461"/>
      <c r="AG42" s="1461"/>
      <c r="AH42" s="1461"/>
      <c r="AI42" s="1461"/>
      <c r="AJ42" s="1461"/>
      <c r="AK42" s="1461"/>
      <c r="AL42" s="1461"/>
      <c r="AM42" s="1461"/>
      <c r="AN42" s="1461"/>
      <c r="AO42" s="1461"/>
      <c r="AP42" s="1461"/>
      <c r="AQ42" s="1461"/>
      <c r="AR42" s="1461"/>
      <c r="AS42" s="1461"/>
      <c r="AT42" s="1461"/>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1"/>
      <c r="R43" s="360">
        <f t="shared" si="70"/>
        <v>1</v>
      </c>
      <c r="S43" s="358" t="s">
        <v>113</v>
      </c>
      <c r="T43" s="361">
        <f>COUNTIF('Variable Costs (Back)'!$C$15:$C$24,S43)</f>
        <v>0</v>
      </c>
      <c r="U43" s="1461"/>
      <c r="V43" s="1461"/>
      <c r="W43" s="1461"/>
      <c r="X43" s="1461"/>
      <c r="Y43" s="1461"/>
      <c r="Z43" s="360">
        <f t="shared" si="71"/>
        <v>2</v>
      </c>
      <c r="AA43" s="358"/>
      <c r="AB43" s="361">
        <f t="shared" si="72"/>
        <v>9</v>
      </c>
      <c r="AC43" s="1461"/>
      <c r="AD43" s="1461"/>
      <c r="AE43" s="1461"/>
      <c r="AF43" s="1461"/>
      <c r="AG43" s="1461"/>
      <c r="AH43" s="1461"/>
      <c r="AI43" s="1461"/>
      <c r="AJ43" s="1461"/>
      <c r="AK43" s="1461"/>
      <c r="AL43" s="1461"/>
      <c r="AM43" s="1461"/>
      <c r="AN43" s="1461"/>
      <c r="AO43" s="1461"/>
      <c r="AP43" s="1461"/>
      <c r="AQ43" s="1461"/>
      <c r="AR43" s="1461"/>
      <c r="AS43" s="1461"/>
      <c r="AT43" s="1461"/>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1"/>
      <c r="R44" s="360">
        <f t="shared" si="70"/>
        <v>1</v>
      </c>
      <c r="S44" s="358" t="s">
        <v>111</v>
      </c>
      <c r="T44" s="361">
        <f>COUNTIF('Variable Costs (Back)'!$C$15:$C$24,S44)</f>
        <v>0</v>
      </c>
      <c r="U44" s="1461"/>
      <c r="V44" s="1461"/>
      <c r="W44" s="1461"/>
      <c r="X44" s="1461"/>
      <c r="Y44" s="1461"/>
      <c r="Z44" s="360">
        <f t="shared" si="71"/>
        <v>2</v>
      </c>
      <c r="AA44" s="358"/>
      <c r="AB44" s="361">
        <f t="shared" si="72"/>
        <v>9</v>
      </c>
      <c r="AC44" s="1461"/>
      <c r="AD44" s="1461"/>
      <c r="AE44" s="1461"/>
      <c r="AF44" s="1461"/>
      <c r="AG44" s="1461"/>
      <c r="AH44" s="1461"/>
      <c r="AI44" s="1461"/>
      <c r="AJ44" s="1461"/>
      <c r="AK44" s="1461"/>
      <c r="AL44" s="1461"/>
      <c r="AM44" s="1461"/>
      <c r="AN44" s="1461"/>
      <c r="AO44" s="1461"/>
      <c r="AP44" s="1461"/>
      <c r="AQ44" s="1461"/>
      <c r="AR44" s="1461"/>
      <c r="AS44" s="1461"/>
      <c r="AT44" s="1461"/>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1"/>
      <c r="R45" s="360">
        <f t="shared" si="70"/>
        <v>1</v>
      </c>
      <c r="S45" s="358" t="s">
        <v>118</v>
      </c>
      <c r="T45" s="361">
        <f>COUNTIF('Variable Costs (Back)'!$C$15:$C$24,S45)</f>
        <v>0</v>
      </c>
      <c r="U45" s="1461"/>
      <c r="V45" s="1461"/>
      <c r="W45" s="1461"/>
      <c r="X45" s="1461"/>
      <c r="Y45" s="1461"/>
      <c r="Z45" s="360">
        <f t="shared" si="71"/>
        <v>2</v>
      </c>
      <c r="AA45" s="358"/>
      <c r="AB45" s="361">
        <f t="shared" si="72"/>
        <v>9</v>
      </c>
      <c r="AC45" s="1461"/>
      <c r="AD45" s="1461"/>
      <c r="AE45" s="1461"/>
      <c r="AF45" s="1461"/>
      <c r="AG45" s="1461"/>
      <c r="AH45" s="1461"/>
      <c r="AI45" s="1461"/>
      <c r="AJ45" s="1461"/>
      <c r="AK45" s="1461"/>
      <c r="AL45" s="1461"/>
      <c r="AM45" s="1461"/>
      <c r="AN45" s="1461"/>
      <c r="AO45" s="1461"/>
      <c r="AP45" s="1461"/>
      <c r="AQ45" s="1461"/>
      <c r="AR45" s="1461"/>
      <c r="AS45" s="1461"/>
      <c r="AT45" s="1461"/>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1"/>
      <c r="R46" s="360">
        <f t="shared" si="70"/>
        <v>1</v>
      </c>
      <c r="S46" s="358" t="s">
        <v>115</v>
      </c>
      <c r="T46" s="361">
        <f>COUNTIF('Variable Costs (Back)'!$C$15:$C$24,S46)</f>
        <v>0</v>
      </c>
      <c r="U46" s="1461"/>
      <c r="V46" s="1461"/>
      <c r="W46" s="1461"/>
      <c r="X46" s="1461"/>
      <c r="Y46" s="1461"/>
      <c r="Z46" s="360">
        <f t="shared" si="71"/>
        <v>2</v>
      </c>
      <c r="AA46" s="358"/>
      <c r="AB46" s="361">
        <f t="shared" si="72"/>
        <v>9</v>
      </c>
      <c r="AC46" s="1461"/>
      <c r="AD46" s="1461"/>
      <c r="AE46" s="1461"/>
      <c r="AF46" s="1461"/>
      <c r="AG46" s="1461"/>
      <c r="AH46" s="1461"/>
      <c r="AI46" s="1461"/>
      <c r="AJ46" s="1461"/>
      <c r="AK46" s="1461"/>
      <c r="AL46" s="1461"/>
      <c r="AM46" s="1461"/>
      <c r="AN46" s="1461"/>
      <c r="AO46" s="1461"/>
      <c r="AP46" s="1461"/>
      <c r="AQ46" s="1461"/>
      <c r="AR46" s="1461"/>
      <c r="AS46" s="1461"/>
      <c r="AT46" s="1461"/>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1"/>
      <c r="R47" s="360">
        <f t="shared" si="70"/>
        <v>1</v>
      </c>
      <c r="S47" s="358" t="s">
        <v>117</v>
      </c>
      <c r="T47" s="361">
        <f>COUNTIF('Variable Costs (Back)'!$C$15:$C$24,S47)</f>
        <v>0</v>
      </c>
      <c r="U47" s="1461"/>
      <c r="V47" s="1461"/>
      <c r="W47" s="1461"/>
      <c r="X47" s="1461"/>
      <c r="Y47" s="1461"/>
      <c r="Z47" s="360">
        <f t="shared" si="71"/>
        <v>2</v>
      </c>
      <c r="AA47" s="358"/>
      <c r="AB47" s="361">
        <f t="shared" si="72"/>
        <v>9</v>
      </c>
      <c r="AC47" s="1461"/>
      <c r="AD47" s="1461"/>
      <c r="AE47" s="1461"/>
      <c r="AF47" s="1461"/>
      <c r="AG47" s="1461"/>
      <c r="AH47" s="1461"/>
      <c r="AI47" s="1461"/>
      <c r="AJ47" s="1461"/>
      <c r="AK47" s="1461"/>
      <c r="AL47" s="1461"/>
      <c r="AM47" s="1461"/>
      <c r="AN47" s="1461"/>
      <c r="AO47" s="1461"/>
      <c r="AP47" s="1461"/>
      <c r="AQ47" s="1461"/>
      <c r="AR47" s="1461"/>
      <c r="AS47" s="1461"/>
      <c r="AT47" s="1461"/>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1"/>
      <c r="R48" s="137"/>
      <c r="S48" s="1461"/>
      <c r="T48" s="138"/>
      <c r="U48" s="1461"/>
      <c r="V48" s="1461"/>
      <c r="W48" s="1461"/>
      <c r="X48" s="1461"/>
      <c r="Y48" s="1461"/>
      <c r="Z48" s="360">
        <f t="shared" si="71"/>
        <v>2</v>
      </c>
      <c r="AA48" s="358"/>
      <c r="AB48" s="361">
        <f t="shared" si="72"/>
        <v>9</v>
      </c>
      <c r="AC48" s="1461"/>
      <c r="AD48" s="1461"/>
      <c r="AE48" s="1461"/>
      <c r="AF48" s="1461"/>
      <c r="AG48" s="1461"/>
      <c r="AH48" s="1461"/>
      <c r="AI48" s="1461"/>
      <c r="AJ48" s="1461"/>
      <c r="AK48" s="1461"/>
      <c r="AL48" s="1461"/>
      <c r="AM48" s="1461"/>
      <c r="AN48" s="1461"/>
      <c r="AO48" s="1461"/>
      <c r="AP48" s="1461"/>
      <c r="AQ48" s="1461"/>
      <c r="AR48" s="1461"/>
      <c r="AS48" s="1461"/>
      <c r="AT48" s="1461"/>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1"/>
      <c r="R49" s="362">
        <v>1</v>
      </c>
      <c r="S49" s="363" t="str">
        <f>IF(COUNTIF($T$38:$T$47,"&gt;0")&gt;1,"MULTIPLE PYRAMID SEGMENTS",VLOOKUP(R49,$R$38:$S$47,2,FALSE))</f>
        <v>Enter Customer(s)</v>
      </c>
      <c r="T49" s="364"/>
      <c r="U49" s="1461"/>
      <c r="V49" s="1461"/>
      <c r="W49" s="1461"/>
      <c r="X49" s="1461"/>
      <c r="Y49" s="1461"/>
      <c r="Z49" s="360">
        <f t="shared" si="71"/>
        <v>2</v>
      </c>
      <c r="AA49" s="358"/>
      <c r="AB49" s="361">
        <f t="shared" si="72"/>
        <v>9</v>
      </c>
      <c r="AC49" s="1461"/>
      <c r="AD49" s="1461"/>
      <c r="AE49" s="1461"/>
      <c r="AF49" s="1461"/>
      <c r="AG49" s="1461"/>
      <c r="AH49" s="1461"/>
      <c r="AI49" s="1461"/>
      <c r="AJ49" s="1461"/>
      <c r="AK49" s="1461"/>
      <c r="AL49" s="1461"/>
      <c r="AM49" s="1461"/>
      <c r="AN49" s="1461"/>
      <c r="AO49" s="1461"/>
      <c r="AP49" s="1461"/>
      <c r="AQ49" s="1461"/>
      <c r="AR49" s="1461"/>
      <c r="AS49" s="1461"/>
      <c r="AT49" s="1461"/>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1"/>
      <c r="R50" s="1461"/>
      <c r="S50" s="1461"/>
      <c r="T50" s="1461"/>
      <c r="U50" s="1461"/>
      <c r="V50" s="1461"/>
      <c r="W50" s="1461"/>
      <c r="X50" s="1461"/>
      <c r="Y50" s="1461"/>
      <c r="Z50" s="360">
        <f t="shared" si="71"/>
        <v>2</v>
      </c>
      <c r="AA50" s="358"/>
      <c r="AB50" s="361">
        <f t="shared" si="72"/>
        <v>9</v>
      </c>
      <c r="AC50" s="1461"/>
      <c r="AD50" s="1461"/>
      <c r="AE50" s="1461"/>
      <c r="AF50" s="1461"/>
      <c r="AG50" s="1461"/>
      <c r="AH50" s="1461"/>
      <c r="AI50" s="1461"/>
      <c r="AJ50" s="1461"/>
      <c r="AK50" s="1461"/>
      <c r="AL50" s="1461"/>
      <c r="AM50" s="1461"/>
      <c r="AN50" s="1461"/>
      <c r="AO50" s="1461"/>
      <c r="AP50" s="1461"/>
      <c r="AQ50" s="1461"/>
      <c r="AR50" s="1461"/>
      <c r="AS50" s="1461"/>
      <c r="AT50" s="1461"/>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1"/>
      <c r="R51" s="1461"/>
      <c r="S51" s="1461"/>
      <c r="T51" s="1461"/>
      <c r="U51" s="1461"/>
      <c r="V51" s="1461"/>
      <c r="W51" s="1461"/>
      <c r="X51" s="1461"/>
      <c r="Y51" s="1461"/>
      <c r="Z51" s="360">
        <f t="shared" si="71"/>
        <v>2</v>
      </c>
      <c r="AA51" s="358"/>
      <c r="AB51" s="361">
        <f t="shared" si="72"/>
        <v>9</v>
      </c>
      <c r="AC51" s="1461"/>
      <c r="AD51" s="1461"/>
      <c r="AE51" s="1461"/>
      <c r="AF51" s="1461"/>
      <c r="AG51" s="1461"/>
      <c r="AH51" s="1461"/>
      <c r="AI51" s="1461"/>
      <c r="AJ51" s="1461"/>
      <c r="AK51" s="1461"/>
      <c r="AL51" s="1461"/>
      <c r="AM51" s="1461"/>
      <c r="AN51" s="1461"/>
      <c r="AO51" s="1461"/>
      <c r="AP51" s="1461"/>
      <c r="AQ51" s="1461"/>
      <c r="AR51" s="1461"/>
      <c r="AS51" s="1461"/>
      <c r="AT51" s="1461"/>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1"/>
      <c r="R52" s="1461"/>
      <c r="S52" s="1461"/>
      <c r="T52" s="1461"/>
      <c r="U52" s="1461"/>
      <c r="V52" s="1461"/>
      <c r="W52" s="1461"/>
      <c r="X52" s="1461"/>
      <c r="Y52" s="1461"/>
      <c r="Z52" s="360">
        <f t="shared" si="71"/>
        <v>2</v>
      </c>
      <c r="AA52" s="358"/>
      <c r="AB52" s="361">
        <f t="shared" si="72"/>
        <v>9</v>
      </c>
      <c r="AC52" s="1461"/>
      <c r="AD52" s="1461"/>
      <c r="AE52" s="1461"/>
      <c r="AF52" s="1461"/>
      <c r="AG52" s="1461"/>
      <c r="AH52" s="1461"/>
      <c r="AI52" s="1461"/>
      <c r="AJ52" s="1461"/>
      <c r="AK52" s="1461"/>
      <c r="AL52" s="1461"/>
      <c r="AM52" s="1461"/>
      <c r="AN52" s="1461"/>
      <c r="AO52" s="1461"/>
      <c r="AP52" s="1461"/>
      <c r="AQ52" s="1461"/>
      <c r="AR52" s="1461"/>
      <c r="AS52" s="1461"/>
      <c r="AT52" s="1461"/>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1"/>
      <c r="R53" s="1461"/>
      <c r="S53" s="1461"/>
      <c r="T53" s="1461"/>
      <c r="U53" s="1461"/>
      <c r="V53" s="1461"/>
      <c r="W53" s="1461"/>
      <c r="X53" s="1461"/>
      <c r="Y53" s="1461"/>
      <c r="Z53" s="360">
        <f t="shared" si="71"/>
        <v>2</v>
      </c>
      <c r="AA53" s="358"/>
      <c r="AB53" s="361">
        <f t="shared" si="72"/>
        <v>9</v>
      </c>
      <c r="AC53" s="1461"/>
      <c r="AD53" s="1461"/>
      <c r="AE53" s="1461"/>
      <c r="AF53" s="1461"/>
      <c r="AG53" s="1461"/>
      <c r="AH53" s="1461"/>
      <c r="AI53" s="1461"/>
      <c r="AJ53" s="1461"/>
      <c r="AK53" s="1461"/>
      <c r="AL53" s="1461"/>
      <c r="AM53" s="1461"/>
      <c r="AN53" s="1461"/>
      <c r="AO53" s="1461"/>
      <c r="AP53" s="1461"/>
      <c r="AQ53" s="1461"/>
      <c r="AR53" s="1461"/>
      <c r="AS53" s="1461"/>
      <c r="AT53" s="1461"/>
      <c r="BF53" s="101" t="s">
        <v>1330</v>
      </c>
      <c r="BG53" s="83">
        <f>IFERROR(VLOOKUP(BG$1,'Existing Customers'!$A:$AD,30,FALSE),BG6)</f>
        <v>0</v>
      </c>
      <c r="BH53" s="836"/>
      <c r="BI53" s="836"/>
      <c r="BJ53" s="836"/>
      <c r="BK53" s="836"/>
      <c r="BL53" s="836"/>
      <c r="BZ53" s="836"/>
      <c r="CA53" s="836"/>
      <c r="CC53" s="101" t="s">
        <v>1330</v>
      </c>
      <c r="CD53" s="83">
        <f>IFERROR(VLOOKUP(CD$1,'Existing Customers'!$A:$AD,30,FALSE),CD6)</f>
        <v>0</v>
      </c>
      <c r="CE53" s="836"/>
      <c r="CF53" s="836"/>
      <c r="CG53" s="836"/>
      <c r="CH53" s="836"/>
      <c r="CI53" s="836"/>
      <c r="CW53" s="836"/>
      <c r="CX53" s="836"/>
      <c r="CZ53" s="101" t="s">
        <v>1330</v>
      </c>
      <c r="DA53" s="83">
        <f>IFERROR(VLOOKUP(DA$1,'Existing Customers'!$A:$AD,30,FALSE),DA6)</f>
        <v>0</v>
      </c>
      <c r="DB53" s="836"/>
      <c r="DC53" s="836"/>
      <c r="DD53" s="836"/>
      <c r="DE53" s="836"/>
      <c r="DF53" s="836"/>
      <c r="DT53" s="836"/>
      <c r="DU53" s="836"/>
      <c r="DW53" s="101" t="s">
        <v>1330</v>
      </c>
      <c r="DX53" s="83">
        <f>IFERROR(VLOOKUP(DX$1,'Existing Customers'!$A:$AD,30,FALSE),DX6)</f>
        <v>0</v>
      </c>
      <c r="DY53" s="836"/>
      <c r="DZ53" s="836"/>
      <c r="EA53" s="836"/>
      <c r="EB53" s="836"/>
      <c r="EC53" s="836"/>
      <c r="EQ53" s="836"/>
      <c r="ER53" s="836"/>
      <c r="ET53" s="101" t="s">
        <v>1330</v>
      </c>
      <c r="EU53" s="83">
        <f>IFERROR(VLOOKUP(EU$1,'Existing Customers'!$A:$AD,30,FALSE),EU6)</f>
        <v>0</v>
      </c>
      <c r="EV53" s="836"/>
      <c r="EW53" s="836"/>
      <c r="EX53" s="836"/>
      <c r="EY53" s="836"/>
      <c r="EZ53" s="836"/>
      <c r="FN53" s="836"/>
      <c r="FO53" s="836"/>
      <c r="FQ53" s="101" t="s">
        <v>1330</v>
      </c>
      <c r="FR53" s="83">
        <f>IFERROR(VLOOKUP(FR$1,'Existing Customers'!$A:$AD,30,FALSE),FR6)</f>
        <v>0</v>
      </c>
      <c r="FS53" s="836"/>
      <c r="FT53" s="836"/>
      <c r="FU53" s="836"/>
      <c r="FV53" s="836"/>
      <c r="FW53" s="836"/>
      <c r="GK53" s="836"/>
      <c r="GL53" s="836"/>
      <c r="GN53" s="101" t="s">
        <v>1330</v>
      </c>
      <c r="GO53" s="83">
        <f>IFERROR(VLOOKUP(GO$1,'Existing Customers'!$A:$AD,30,FALSE),GO6)</f>
        <v>0</v>
      </c>
      <c r="GP53" s="836"/>
      <c r="GQ53" s="836"/>
      <c r="GR53" s="836"/>
      <c r="GS53" s="836"/>
      <c r="GT53" s="836"/>
      <c r="HH53" s="836"/>
      <c r="HI53" s="836"/>
      <c r="HK53" s="101" t="s">
        <v>1330</v>
      </c>
      <c r="HL53" s="83">
        <f>IFERROR(VLOOKUP(HL$1,'Existing Customers'!$A:$AD,30,FALSE),HL6)</f>
        <v>0</v>
      </c>
      <c r="HM53" s="836"/>
      <c r="HN53" s="836"/>
      <c r="HO53" s="836"/>
      <c r="HP53" s="836"/>
      <c r="HQ53" s="836"/>
      <c r="IE53" s="836"/>
      <c r="IF53" s="836"/>
      <c r="IH53" s="101" t="s">
        <v>1330</v>
      </c>
      <c r="II53" s="83">
        <f>IFERROR(VLOOKUP(II$1,'Existing Customers'!$A:$AD,30,FALSE),II6)</f>
        <v>0</v>
      </c>
      <c r="IJ53" s="836"/>
      <c r="IK53" s="836"/>
      <c r="IL53" s="836"/>
      <c r="IM53" s="836"/>
      <c r="IN53" s="836"/>
      <c r="JB53" s="836"/>
      <c r="JC53" s="836"/>
      <c r="JE53" s="101" t="s">
        <v>1330</v>
      </c>
      <c r="JF53" s="83">
        <f>IFERROR(VLOOKUP(JF$1,'Existing Customers'!$A:$AD,30,FALSE),JF6)</f>
        <v>0</v>
      </c>
    </row>
    <row r="54" spans="17:266" x14ac:dyDescent="0.25">
      <c r="Q54" s="1461"/>
      <c r="R54" s="1461"/>
      <c r="S54" s="1461"/>
      <c r="T54" s="1461"/>
      <c r="U54" s="1461"/>
      <c r="V54" s="1461"/>
      <c r="W54" s="1461"/>
      <c r="X54" s="1461"/>
      <c r="Y54" s="1461"/>
      <c r="Z54" s="360">
        <f t="shared" si="71"/>
        <v>2</v>
      </c>
      <c r="AA54" s="358"/>
      <c r="AB54" s="361">
        <f t="shared" si="72"/>
        <v>9</v>
      </c>
      <c r="AC54" s="1461"/>
      <c r="AD54" s="1461"/>
      <c r="AE54" s="1461"/>
      <c r="AF54" s="1461"/>
      <c r="AG54" s="1461"/>
      <c r="AH54" s="1461"/>
      <c r="AI54" s="1461"/>
      <c r="AJ54" s="1461"/>
      <c r="AK54" s="1461"/>
      <c r="AL54" s="1461"/>
      <c r="AM54" s="1461"/>
      <c r="AN54" s="1461"/>
      <c r="AO54" s="1461"/>
      <c r="AP54" s="1461"/>
      <c r="AQ54" s="1461"/>
      <c r="AR54" s="1461"/>
      <c r="AS54" s="1461"/>
      <c r="AT54" s="1461"/>
    </row>
    <row r="55" spans="17:266" x14ac:dyDescent="0.25">
      <c r="Q55" s="1461"/>
      <c r="R55" s="1461"/>
      <c r="S55" s="1461"/>
      <c r="T55" s="1461"/>
      <c r="U55" s="1461"/>
      <c r="V55" s="1461"/>
      <c r="W55" s="1461"/>
      <c r="X55" s="1461"/>
      <c r="Y55" s="1461"/>
      <c r="Z55" s="360">
        <f t="shared" si="71"/>
        <v>2</v>
      </c>
      <c r="AA55" s="358"/>
      <c r="AB55" s="361">
        <f t="shared" si="72"/>
        <v>9</v>
      </c>
      <c r="AC55" s="1461"/>
      <c r="AD55" s="1461"/>
      <c r="AE55" s="1461"/>
      <c r="AF55" s="1461"/>
      <c r="AG55" s="1461"/>
      <c r="AH55" s="1461"/>
      <c r="AI55" s="1461"/>
      <c r="AJ55" s="1461"/>
      <c r="AK55" s="1461"/>
      <c r="AL55" s="1461"/>
      <c r="AM55" s="1461"/>
      <c r="AN55" s="1461"/>
      <c r="AO55" s="1461"/>
      <c r="AP55" s="1461"/>
      <c r="AQ55" s="1461"/>
      <c r="AR55" s="1461"/>
      <c r="AS55" s="1461"/>
      <c r="AT55" s="1461"/>
    </row>
    <row r="56" spans="17:266" x14ac:dyDescent="0.25">
      <c r="Q56" s="1461"/>
      <c r="R56" s="1461"/>
      <c r="S56" s="1461"/>
      <c r="T56" s="1461"/>
      <c r="U56" s="1461"/>
      <c r="V56" s="1461"/>
      <c r="W56" s="1461"/>
      <c r="X56" s="1461"/>
      <c r="Y56" s="1461"/>
      <c r="Z56" s="360">
        <f t="shared" si="71"/>
        <v>2</v>
      </c>
      <c r="AA56" s="358"/>
      <c r="AB56" s="361">
        <f t="shared" si="72"/>
        <v>9</v>
      </c>
      <c r="AC56" s="1461"/>
      <c r="AD56" s="1461"/>
      <c r="AE56" s="1461"/>
      <c r="AF56" s="1461"/>
      <c r="AG56" s="1461"/>
      <c r="AH56" s="1461"/>
      <c r="AI56" s="1461"/>
      <c r="AJ56" s="1461"/>
      <c r="AK56" s="1461"/>
      <c r="AL56" s="1461"/>
      <c r="AM56" s="1461"/>
      <c r="AN56" s="1461"/>
      <c r="AO56" s="1461"/>
      <c r="AP56" s="1461"/>
      <c r="AQ56" s="1461"/>
      <c r="AR56" s="1461"/>
      <c r="AS56" s="1461"/>
      <c r="AT56" s="1461"/>
    </row>
    <row r="57" spans="17:266" x14ac:dyDescent="0.25">
      <c r="Q57" s="1461"/>
      <c r="R57" s="1461"/>
      <c r="S57" s="1461"/>
      <c r="T57" s="1461"/>
      <c r="U57" s="1461"/>
      <c r="V57" s="1461"/>
      <c r="W57" s="1461"/>
      <c r="X57" s="1461"/>
      <c r="Y57" s="1461"/>
      <c r="Z57" s="360">
        <f t="shared" si="71"/>
        <v>2</v>
      </c>
      <c r="AA57" s="358"/>
      <c r="AB57" s="361">
        <f t="shared" si="72"/>
        <v>9</v>
      </c>
      <c r="AC57" s="1461"/>
      <c r="AD57" s="1461"/>
      <c r="AE57" s="1461"/>
      <c r="AF57" s="1461"/>
      <c r="AG57" s="1461"/>
      <c r="AH57" s="1461"/>
      <c r="AI57" s="1461"/>
      <c r="AJ57" s="1461"/>
      <c r="AK57" s="1461"/>
      <c r="AL57" s="1461"/>
      <c r="AM57" s="1461"/>
      <c r="AN57" s="1461"/>
      <c r="AO57" s="1461"/>
      <c r="AP57" s="1461"/>
      <c r="AQ57" s="1461"/>
      <c r="AR57" s="1461"/>
      <c r="AS57" s="1461"/>
      <c r="AT57" s="1461"/>
    </row>
    <row r="58" spans="17:266" x14ac:dyDescent="0.25">
      <c r="Q58" s="1461"/>
      <c r="R58" s="1461"/>
      <c r="S58" s="1461"/>
      <c r="T58" s="1461"/>
      <c r="U58" s="1461"/>
      <c r="V58" s="1461"/>
      <c r="W58" s="1461"/>
      <c r="X58" s="1461"/>
      <c r="Y58" s="1461"/>
      <c r="Z58" s="360">
        <f t="shared" si="71"/>
        <v>2</v>
      </c>
      <c r="AA58" s="358"/>
      <c r="AB58" s="361">
        <f t="shared" si="72"/>
        <v>9</v>
      </c>
      <c r="AC58" s="1461"/>
      <c r="AD58" s="1461"/>
      <c r="AE58" s="1461"/>
      <c r="AF58" s="1461"/>
      <c r="AG58" s="1461"/>
      <c r="AH58" s="1461"/>
      <c r="AI58" s="1461"/>
      <c r="AJ58" s="1461"/>
      <c r="AK58" s="1461"/>
      <c r="AL58" s="1461"/>
      <c r="AM58" s="1461"/>
      <c r="AN58" s="1461"/>
      <c r="AO58" s="1461"/>
      <c r="AP58" s="1461"/>
      <c r="AQ58" s="1461"/>
      <c r="AR58" s="1461"/>
      <c r="AS58" s="1461"/>
      <c r="AT58" s="1461"/>
    </row>
    <row r="59" spans="17:266" x14ac:dyDescent="0.25">
      <c r="Q59" s="1461"/>
      <c r="R59" s="1461"/>
      <c r="S59" s="1461"/>
      <c r="T59" s="1461"/>
      <c r="U59" s="1461"/>
      <c r="V59" s="1461"/>
      <c r="W59" s="1461"/>
      <c r="X59" s="1461"/>
      <c r="Y59" s="1461"/>
      <c r="Z59" s="360">
        <f t="shared" si="71"/>
        <v>2</v>
      </c>
      <c r="AA59" s="358"/>
      <c r="AB59" s="361">
        <f t="shared" si="72"/>
        <v>9</v>
      </c>
      <c r="AC59" s="1461"/>
      <c r="AD59" s="1461"/>
      <c r="AE59" s="1461"/>
      <c r="AF59" s="1461"/>
      <c r="AG59" s="1461"/>
      <c r="AH59" s="1461"/>
      <c r="AI59" s="1461"/>
      <c r="AJ59" s="1461"/>
      <c r="AK59" s="1461"/>
      <c r="AL59" s="1461"/>
      <c r="AM59" s="1461"/>
      <c r="AN59" s="1461"/>
      <c r="AO59" s="1461"/>
      <c r="AP59" s="1461"/>
      <c r="AQ59" s="1461"/>
      <c r="AR59" s="1461"/>
      <c r="AS59" s="1461"/>
      <c r="AT59" s="1461"/>
    </row>
    <row r="60" spans="17:266" x14ac:dyDescent="0.25">
      <c r="Q60" s="1461"/>
      <c r="R60" s="1461"/>
      <c r="S60" s="1461"/>
      <c r="T60" s="1461"/>
      <c r="U60" s="1461"/>
      <c r="V60" s="1461"/>
      <c r="W60" s="1461"/>
      <c r="X60" s="1461"/>
      <c r="Y60" s="1461"/>
      <c r="Z60" s="360">
        <f t="shared" si="71"/>
        <v>2</v>
      </c>
      <c r="AA60" s="358"/>
      <c r="AB60" s="361">
        <f t="shared" si="72"/>
        <v>9</v>
      </c>
      <c r="AC60" s="1461"/>
      <c r="AD60" s="1461"/>
      <c r="AE60" s="1461"/>
      <c r="AF60" s="1461"/>
      <c r="AG60" s="1461"/>
      <c r="AH60" s="1461"/>
      <c r="AI60" s="1461"/>
      <c r="AJ60" s="1461"/>
      <c r="AK60" s="1461"/>
      <c r="AL60" s="1461"/>
      <c r="AM60" s="1461"/>
      <c r="AN60" s="1461"/>
      <c r="AO60" s="1461"/>
      <c r="AP60" s="1461"/>
      <c r="AQ60" s="1461"/>
      <c r="AR60" s="1461"/>
      <c r="AS60" s="1461"/>
      <c r="AT60" s="1461"/>
    </row>
    <row r="61" spans="17:266" x14ac:dyDescent="0.25">
      <c r="Q61" s="1461"/>
      <c r="R61" s="1461"/>
      <c r="S61" s="1461"/>
      <c r="T61" s="1461"/>
      <c r="U61" s="1461"/>
      <c r="V61" s="1461"/>
      <c r="W61" s="1461"/>
      <c r="X61" s="1461"/>
      <c r="Y61" s="1461"/>
      <c r="Z61" s="360">
        <f t="shared" si="71"/>
        <v>2</v>
      </c>
      <c r="AA61" s="358"/>
      <c r="AB61" s="361">
        <f t="shared" si="72"/>
        <v>9</v>
      </c>
      <c r="AC61" s="1461"/>
      <c r="AD61" s="1461"/>
      <c r="AE61" s="1461"/>
      <c r="AF61" s="1461"/>
      <c r="AG61" s="1461"/>
      <c r="AH61" s="1461"/>
      <c r="AI61" s="1461"/>
      <c r="AJ61" s="1461"/>
      <c r="AK61" s="1461"/>
      <c r="AL61" s="1461"/>
      <c r="AM61" s="1461"/>
      <c r="AN61" s="1461"/>
      <c r="AO61" s="1461"/>
      <c r="AP61" s="1461"/>
      <c r="AQ61" s="1461"/>
      <c r="AR61" s="1461"/>
      <c r="AS61" s="1461"/>
      <c r="AT61" s="1461"/>
    </row>
    <row r="62" spans="17:266" x14ac:dyDescent="0.25">
      <c r="Q62" s="1461"/>
      <c r="R62" s="1461"/>
      <c r="S62" s="1461"/>
      <c r="T62" s="1461"/>
      <c r="U62" s="1461"/>
      <c r="V62" s="1461"/>
      <c r="W62" s="1461"/>
      <c r="X62" s="1461"/>
      <c r="Y62" s="1461"/>
      <c r="Z62" s="360">
        <f t="shared" si="71"/>
        <v>2</v>
      </c>
      <c r="AA62" s="358"/>
      <c r="AB62" s="361">
        <f t="shared" si="72"/>
        <v>9</v>
      </c>
      <c r="AC62" s="1461"/>
      <c r="AD62" s="1461"/>
      <c r="AE62" s="1461"/>
      <c r="AF62" s="1461"/>
      <c r="AG62" s="1461"/>
      <c r="AH62" s="1461"/>
      <c r="AI62" s="1461"/>
      <c r="AJ62" s="1461"/>
      <c r="AK62" s="1461"/>
      <c r="AL62" s="1461"/>
      <c r="AM62" s="1461"/>
      <c r="AN62" s="1461"/>
      <c r="AO62" s="1461"/>
      <c r="AP62" s="1461"/>
      <c r="AQ62" s="1461"/>
      <c r="AR62" s="1461"/>
      <c r="AS62" s="1461"/>
      <c r="AT62" s="1461"/>
    </row>
    <row r="63" spans="17:266" x14ac:dyDescent="0.25">
      <c r="Q63" s="1461"/>
      <c r="R63" s="1461"/>
      <c r="S63" s="1461"/>
      <c r="T63" s="1461"/>
      <c r="U63" s="1461"/>
      <c r="V63" s="1461"/>
      <c r="W63" s="1461"/>
      <c r="X63" s="1461"/>
      <c r="Y63" s="1461"/>
      <c r="Z63" s="360">
        <f t="shared" si="71"/>
        <v>2</v>
      </c>
      <c r="AA63" s="358"/>
      <c r="AB63" s="361">
        <f t="shared" si="72"/>
        <v>9</v>
      </c>
      <c r="AC63" s="1461"/>
      <c r="AD63" s="1461"/>
      <c r="AE63" s="1461"/>
      <c r="AF63" s="1461"/>
      <c r="AG63" s="1461"/>
      <c r="AH63" s="1461"/>
      <c r="AI63" s="1461"/>
      <c r="AJ63" s="1461"/>
      <c r="AK63" s="1461"/>
      <c r="AL63" s="1461"/>
      <c r="AM63" s="1461"/>
      <c r="AN63" s="1461"/>
      <c r="AO63" s="1461"/>
      <c r="AP63" s="1461"/>
      <c r="AQ63" s="1461"/>
      <c r="AR63" s="1461"/>
      <c r="AS63" s="1461"/>
      <c r="AT63" s="1461"/>
    </row>
    <row r="64" spans="17:266" x14ac:dyDescent="0.25">
      <c r="Q64" s="1461"/>
      <c r="R64" s="1461"/>
      <c r="S64" s="1461"/>
      <c r="T64" s="1461"/>
      <c r="U64" s="1461"/>
      <c r="V64" s="1461"/>
      <c r="W64" s="1461"/>
      <c r="X64" s="1461"/>
      <c r="Y64" s="1461"/>
      <c r="Z64" s="360">
        <f t="shared" si="71"/>
        <v>2</v>
      </c>
      <c r="AA64" s="358"/>
      <c r="AB64" s="361">
        <f t="shared" si="72"/>
        <v>9</v>
      </c>
      <c r="AC64" s="1461"/>
      <c r="AD64" s="1461"/>
      <c r="AE64" s="1461"/>
      <c r="AF64" s="1461"/>
      <c r="AG64" s="1461"/>
      <c r="AH64" s="1461"/>
      <c r="AI64" s="1461"/>
      <c r="AJ64" s="1461"/>
      <c r="AK64" s="1461"/>
      <c r="AL64" s="1461"/>
      <c r="AM64" s="1461"/>
      <c r="AN64" s="1461"/>
      <c r="AO64" s="1461"/>
      <c r="AP64" s="1461"/>
      <c r="AQ64" s="1461"/>
      <c r="AR64" s="1461"/>
      <c r="AS64" s="1461"/>
      <c r="AT64" s="1461"/>
    </row>
    <row r="65" spans="17:46" x14ac:dyDescent="0.25">
      <c r="Q65" s="1461"/>
      <c r="R65" s="1461"/>
      <c r="S65" s="1461"/>
      <c r="T65" s="1461"/>
      <c r="U65" s="1461"/>
      <c r="V65" s="1461"/>
      <c r="W65" s="1461"/>
      <c r="X65" s="1461"/>
      <c r="Y65" s="1461"/>
      <c r="Z65" s="360">
        <f t="shared" si="71"/>
        <v>2</v>
      </c>
      <c r="AA65" s="358"/>
      <c r="AB65" s="361">
        <f t="shared" si="72"/>
        <v>9</v>
      </c>
      <c r="AC65" s="1461"/>
      <c r="AD65" s="1461"/>
      <c r="AE65" s="1461"/>
      <c r="AF65" s="1461"/>
      <c r="AG65" s="1461"/>
      <c r="AH65" s="1461"/>
      <c r="AI65" s="1461"/>
      <c r="AJ65" s="1461"/>
      <c r="AK65" s="1461"/>
      <c r="AL65" s="1461"/>
      <c r="AM65" s="1461"/>
      <c r="AN65" s="1461"/>
      <c r="AO65" s="1461"/>
      <c r="AP65" s="1461"/>
      <c r="AQ65" s="1461"/>
      <c r="AR65" s="1461"/>
      <c r="AS65" s="1461"/>
      <c r="AT65" s="1461"/>
    </row>
    <row r="66" spans="17:46" x14ac:dyDescent="0.25">
      <c r="Q66" s="1461"/>
      <c r="R66" s="1461"/>
      <c r="S66" s="1461"/>
      <c r="T66" s="1461"/>
      <c r="U66" s="1461"/>
      <c r="V66" s="1461"/>
      <c r="W66" s="1461"/>
      <c r="X66" s="1461"/>
      <c r="Y66" s="1461"/>
      <c r="Z66" s="360"/>
      <c r="AA66" s="358"/>
      <c r="AB66" s="361"/>
      <c r="AC66" s="1461"/>
      <c r="AD66" s="1461"/>
      <c r="AE66" s="1461"/>
      <c r="AF66" s="1461"/>
      <c r="AG66" s="1461"/>
      <c r="AH66" s="1461"/>
      <c r="AI66" s="1461"/>
      <c r="AJ66" s="1461"/>
      <c r="AK66" s="1461"/>
      <c r="AL66" s="1461"/>
      <c r="AM66" s="1461"/>
      <c r="AN66" s="1461"/>
      <c r="AO66" s="1461"/>
      <c r="AP66" s="1461"/>
      <c r="AQ66" s="1461"/>
      <c r="AR66" s="1461"/>
      <c r="AS66" s="1461"/>
      <c r="AT66" s="1461"/>
    </row>
    <row r="67" spans="17:46" x14ac:dyDescent="0.25">
      <c r="Q67" s="1461"/>
      <c r="R67" s="1461"/>
      <c r="S67" s="1461"/>
      <c r="T67" s="1461"/>
      <c r="U67" s="1461"/>
      <c r="V67" s="1461"/>
      <c r="W67" s="1461"/>
      <c r="X67" s="1461"/>
      <c r="Y67" s="1461"/>
      <c r="Z67" s="1462"/>
      <c r="AA67" s="1463"/>
      <c r="AB67" s="1464"/>
      <c r="AC67" s="1461"/>
      <c r="AD67" s="1461"/>
      <c r="AE67" s="1461"/>
      <c r="AF67" s="1461"/>
      <c r="AG67" s="1461"/>
      <c r="AH67" s="1461"/>
      <c r="AI67" s="1461"/>
      <c r="AJ67" s="1461"/>
      <c r="AK67" s="1461"/>
      <c r="AL67" s="1461"/>
      <c r="AM67" s="1461"/>
      <c r="AN67" s="1461"/>
      <c r="AO67" s="1461"/>
      <c r="AP67" s="1461"/>
      <c r="AQ67" s="1461"/>
      <c r="AR67" s="1461"/>
      <c r="AS67" s="1461"/>
      <c r="AT67" s="1461"/>
    </row>
    <row r="68" spans="17:46" x14ac:dyDescent="0.25">
      <c r="Q68" s="1461"/>
      <c r="R68" s="1461"/>
      <c r="S68" s="1461"/>
      <c r="T68" s="1461"/>
      <c r="U68" s="1461"/>
      <c r="V68" s="1461"/>
      <c r="W68" s="1461"/>
      <c r="X68" s="1461"/>
      <c r="Y68" s="1461"/>
      <c r="Z68" s="1462"/>
      <c r="AA68" s="1463"/>
      <c r="AB68" s="1464"/>
      <c r="AC68" s="1461"/>
      <c r="AD68" s="1461"/>
      <c r="AE68" s="1461"/>
      <c r="AF68" s="1461"/>
      <c r="AG68" s="1461"/>
      <c r="AH68" s="1461"/>
      <c r="AI68" s="1461"/>
      <c r="AJ68" s="1461"/>
      <c r="AK68" s="1461"/>
      <c r="AL68" s="1461"/>
      <c r="AM68" s="1461"/>
      <c r="AN68" s="1461"/>
      <c r="AO68" s="1461"/>
      <c r="AP68" s="1461"/>
      <c r="AQ68" s="1461"/>
      <c r="AR68" s="1461"/>
      <c r="AS68" s="1461"/>
      <c r="AT68" s="1461"/>
    </row>
    <row r="69" spans="17:46" x14ac:dyDescent="0.25">
      <c r="Q69" s="1461"/>
      <c r="R69" s="1461"/>
      <c r="S69" s="1461"/>
      <c r="T69" s="1461"/>
      <c r="U69" s="1461"/>
      <c r="V69" s="1461"/>
      <c r="W69" s="1461"/>
      <c r="X69" s="1461"/>
      <c r="Y69" s="1461"/>
      <c r="Z69" s="1462"/>
      <c r="AA69" s="1463"/>
      <c r="AB69" s="1464"/>
      <c r="AC69" s="1461"/>
      <c r="AD69" s="1461"/>
      <c r="AE69" s="1461"/>
      <c r="AF69" s="1461"/>
      <c r="AG69" s="1461"/>
      <c r="AH69" s="1461"/>
      <c r="AI69" s="1461"/>
      <c r="AJ69" s="1461"/>
      <c r="AK69" s="1461"/>
      <c r="AL69" s="1461"/>
      <c r="AM69" s="1461"/>
      <c r="AN69" s="1461"/>
      <c r="AO69" s="1461"/>
      <c r="AP69" s="1461"/>
      <c r="AQ69" s="1461"/>
      <c r="AR69" s="1461"/>
      <c r="AS69" s="1461"/>
      <c r="AT69" s="1461"/>
    </row>
    <row r="70" spans="17:46" x14ac:dyDescent="0.25">
      <c r="Q70" s="1461"/>
      <c r="R70" s="1461"/>
      <c r="S70" s="1461"/>
      <c r="T70" s="1461"/>
      <c r="U70" s="1461"/>
      <c r="V70" s="1461"/>
      <c r="W70" s="1461"/>
      <c r="X70" s="1461"/>
      <c r="Y70" s="1461"/>
      <c r="Z70" s="1462"/>
      <c r="AA70" s="1463"/>
      <c r="AB70" s="1464"/>
      <c r="AC70" s="1461"/>
      <c r="AD70" s="1461"/>
      <c r="AE70" s="1461"/>
      <c r="AF70" s="1461"/>
      <c r="AG70" s="1461"/>
      <c r="AH70" s="1461"/>
      <c r="AI70" s="1461"/>
      <c r="AJ70" s="1461"/>
      <c r="AK70" s="1461"/>
      <c r="AL70" s="1461"/>
      <c r="AM70" s="1461"/>
      <c r="AN70" s="1461"/>
      <c r="AO70" s="1461"/>
      <c r="AP70" s="1461"/>
      <c r="AQ70" s="1461"/>
      <c r="AR70" s="1461"/>
      <c r="AS70" s="1461"/>
      <c r="AT70" s="1461"/>
    </row>
    <row r="71" spans="17:46" x14ac:dyDescent="0.25">
      <c r="Q71" s="1461"/>
      <c r="R71" s="1461"/>
      <c r="S71" s="1461"/>
      <c r="T71" s="1461"/>
      <c r="U71" s="1461"/>
      <c r="V71" s="1461"/>
      <c r="W71" s="1461"/>
      <c r="X71" s="1461"/>
      <c r="Y71" s="1461"/>
      <c r="Z71" s="1462"/>
      <c r="AA71" s="1463"/>
      <c r="AB71" s="1464"/>
      <c r="AC71" s="1461"/>
      <c r="AD71" s="1461"/>
      <c r="AE71" s="1461"/>
      <c r="AF71" s="1461"/>
      <c r="AG71" s="1461"/>
      <c r="AH71" s="1461"/>
      <c r="AI71" s="1461"/>
      <c r="AJ71" s="1461"/>
      <c r="AK71" s="1461"/>
      <c r="AL71" s="1461"/>
      <c r="AM71" s="1461"/>
      <c r="AN71" s="1461"/>
      <c r="AO71" s="1461"/>
      <c r="AP71" s="1461"/>
      <c r="AQ71" s="1461"/>
      <c r="AR71" s="1461"/>
      <c r="AS71" s="1461"/>
      <c r="AT71" s="1461"/>
    </row>
    <row r="72" spans="17:46" x14ac:dyDescent="0.25">
      <c r="Q72" s="1461"/>
      <c r="R72" s="1461"/>
      <c r="S72" s="1461"/>
      <c r="T72" s="1461"/>
      <c r="U72" s="1461"/>
      <c r="V72" s="1461"/>
      <c r="W72" s="1461"/>
      <c r="X72" s="1461"/>
      <c r="Y72" s="1461"/>
      <c r="Z72" s="1462"/>
      <c r="AA72" s="1463"/>
      <c r="AB72" s="1464"/>
      <c r="AC72" s="1461"/>
      <c r="AD72" s="1461"/>
      <c r="AE72" s="1461"/>
      <c r="AF72" s="1461"/>
      <c r="AG72" s="1461"/>
      <c r="AH72" s="1461"/>
      <c r="AI72" s="1461"/>
      <c r="AJ72" s="1461"/>
      <c r="AK72" s="1461"/>
      <c r="AL72" s="1461"/>
      <c r="AM72" s="1461"/>
      <c r="AN72" s="1461"/>
      <c r="AO72" s="1461"/>
      <c r="AP72" s="1461"/>
      <c r="AQ72" s="1461"/>
      <c r="AR72" s="1461"/>
      <c r="AS72" s="1461"/>
      <c r="AT72" s="1461"/>
    </row>
    <row r="73" spans="17:46" x14ac:dyDescent="0.25">
      <c r="Q73" s="1461"/>
      <c r="R73" s="1461"/>
      <c r="S73" s="1461"/>
      <c r="T73" s="1461"/>
      <c r="U73" s="1461"/>
      <c r="V73" s="1461"/>
      <c r="W73" s="1461"/>
      <c r="X73" s="1461"/>
      <c r="Y73" s="1461"/>
      <c r="Z73" s="1462"/>
      <c r="AA73" s="1463"/>
      <c r="AB73" s="1464"/>
      <c r="AC73" s="1461"/>
      <c r="AD73" s="1461"/>
      <c r="AE73" s="1461"/>
      <c r="AF73" s="1461"/>
      <c r="AG73" s="1461"/>
      <c r="AH73" s="1461"/>
      <c r="AI73" s="1461"/>
      <c r="AJ73" s="1461"/>
      <c r="AK73" s="1461"/>
      <c r="AL73" s="1461"/>
      <c r="AM73" s="1461"/>
      <c r="AN73" s="1461"/>
      <c r="AO73" s="1461"/>
      <c r="AP73" s="1461"/>
      <c r="AQ73" s="1461"/>
      <c r="AR73" s="1461"/>
      <c r="AS73" s="1461"/>
      <c r="AT73" s="1461"/>
    </row>
    <row r="74" spans="17:46" x14ac:dyDescent="0.25">
      <c r="Q74" s="1461"/>
      <c r="R74" s="1461"/>
      <c r="S74" s="1461"/>
      <c r="T74" s="1461"/>
      <c r="U74" s="1461"/>
      <c r="V74" s="1461"/>
      <c r="W74" s="1461"/>
      <c r="X74" s="1461"/>
      <c r="Y74" s="1461"/>
      <c r="Z74" s="1462"/>
      <c r="AA74" s="1463"/>
      <c r="AB74" s="1464"/>
      <c r="AC74" s="1461"/>
      <c r="AD74" s="1461"/>
      <c r="AE74" s="1461"/>
      <c r="AF74" s="1461"/>
      <c r="AG74" s="1461"/>
      <c r="AH74" s="1461"/>
      <c r="AI74" s="1461"/>
      <c r="AJ74" s="1461"/>
      <c r="AK74" s="1461"/>
      <c r="AL74" s="1461"/>
      <c r="AM74" s="1461"/>
      <c r="AN74" s="1461"/>
      <c r="AO74" s="1461"/>
      <c r="AP74" s="1461"/>
      <c r="AQ74" s="1461"/>
      <c r="AR74" s="1461"/>
      <c r="AS74" s="1461"/>
      <c r="AT74" s="1461"/>
    </row>
    <row r="75" spans="17:46" x14ac:dyDescent="0.25">
      <c r="Q75" s="1461"/>
      <c r="R75" s="1461"/>
      <c r="S75" s="1461"/>
      <c r="T75" s="1461"/>
      <c r="U75" s="1461"/>
      <c r="V75" s="1461"/>
      <c r="W75" s="1461"/>
      <c r="X75" s="1461"/>
      <c r="Y75" s="1461"/>
      <c r="Z75" s="1462"/>
      <c r="AA75" s="1463"/>
      <c r="AB75" s="1464"/>
      <c r="AC75" s="1461"/>
      <c r="AD75" s="1461"/>
      <c r="AE75" s="1461"/>
      <c r="AF75" s="1461"/>
      <c r="AG75" s="1461"/>
      <c r="AH75" s="1461"/>
      <c r="AI75" s="1461"/>
      <c r="AJ75" s="1461"/>
      <c r="AK75" s="1461"/>
      <c r="AL75" s="1461"/>
      <c r="AM75" s="1461"/>
      <c r="AN75" s="1461"/>
      <c r="AO75" s="1461"/>
      <c r="AP75" s="1461"/>
      <c r="AQ75" s="1461"/>
      <c r="AR75" s="1461"/>
      <c r="AS75" s="1461"/>
      <c r="AT75" s="1461"/>
    </row>
    <row r="76" spans="17:46" ht="15.75" thickBot="1" x14ac:dyDescent="0.3">
      <c r="Q76" s="1461"/>
      <c r="R76" s="1461"/>
      <c r="S76" s="1461"/>
      <c r="T76" s="1461"/>
      <c r="U76" s="1461"/>
      <c r="V76" s="1461"/>
      <c r="W76" s="1461"/>
      <c r="X76" s="1461"/>
      <c r="Y76" s="1461"/>
      <c r="Z76" s="32"/>
      <c r="AA76" s="1465"/>
      <c r="AB76" s="838"/>
      <c r="AC76" s="1461"/>
      <c r="AD76" s="1461"/>
      <c r="AE76" s="1461"/>
      <c r="AF76" s="1461"/>
      <c r="AG76" s="1461"/>
      <c r="AH76" s="1461"/>
      <c r="AI76" s="1461"/>
      <c r="AJ76" s="1461"/>
      <c r="AK76" s="1461"/>
      <c r="AL76" s="1461"/>
      <c r="AM76" s="1461"/>
      <c r="AN76" s="1461"/>
      <c r="AO76" s="1461"/>
      <c r="AP76" s="1461"/>
      <c r="AQ76" s="1461"/>
      <c r="AR76" s="1461"/>
      <c r="AS76" s="1461"/>
      <c r="AT76" s="1461"/>
    </row>
    <row r="77" spans="17:46" x14ac:dyDescent="0.25">
      <c r="Q77" s="1461"/>
      <c r="R77" s="1461"/>
      <c r="S77" s="1461"/>
      <c r="T77" s="1461"/>
      <c r="U77" s="1461"/>
      <c r="V77" s="1461"/>
      <c r="W77" s="1461"/>
      <c r="X77" s="1461"/>
      <c r="Y77" s="1461"/>
      <c r="Z77" s="1461"/>
      <c r="AA77" s="1461"/>
      <c r="AB77" s="1461"/>
      <c r="AC77" s="1461"/>
      <c r="AD77" s="1461"/>
      <c r="AE77" s="1461"/>
      <c r="AF77" s="1461"/>
      <c r="AG77" s="1461"/>
      <c r="AH77" s="1461"/>
      <c r="AI77" s="1461"/>
      <c r="AJ77" s="1461"/>
      <c r="AK77" s="1461"/>
      <c r="AL77" s="1461"/>
      <c r="AM77" s="1461"/>
      <c r="AN77" s="1461"/>
      <c r="AO77" s="1461"/>
      <c r="AP77" s="1461"/>
      <c r="AQ77" s="1461"/>
      <c r="AR77" s="1461"/>
      <c r="AS77" s="1461"/>
      <c r="AT77" s="1461"/>
    </row>
    <row r="78" spans="17:46" x14ac:dyDescent="0.25">
      <c r="Q78" s="1461"/>
      <c r="R78" s="1461"/>
      <c r="S78" s="1461"/>
      <c r="T78" s="1461"/>
      <c r="U78" s="1461"/>
      <c r="V78" s="1461"/>
      <c r="W78" s="1461"/>
      <c r="X78" s="1461"/>
      <c r="Y78" s="1461"/>
      <c r="Z78" s="1461"/>
      <c r="AA78" s="1461"/>
      <c r="AB78" s="1461"/>
      <c r="AC78" s="1461"/>
      <c r="AD78" s="1461"/>
      <c r="AE78" s="1461"/>
      <c r="AF78" s="1461"/>
      <c r="AG78" s="1461"/>
      <c r="AH78" s="1461"/>
      <c r="AI78" s="1461"/>
      <c r="AJ78" s="1461"/>
      <c r="AK78" s="1461"/>
      <c r="AL78" s="1461"/>
      <c r="AM78" s="1461"/>
      <c r="AN78" s="1461"/>
      <c r="AO78" s="1461"/>
      <c r="AP78" s="1461"/>
      <c r="AQ78" s="1461"/>
      <c r="AR78" s="1461"/>
      <c r="AS78" s="1461"/>
      <c r="AT78" s="1461"/>
    </row>
    <row r="79" spans="17:46" x14ac:dyDescent="0.25">
      <c r="Q79" s="1461"/>
      <c r="R79" s="1461"/>
      <c r="S79" s="1461"/>
      <c r="T79" s="1461"/>
      <c r="U79" s="1461"/>
      <c r="V79" s="1461"/>
      <c r="W79" s="1461"/>
      <c r="X79" s="1461"/>
      <c r="Y79" s="1461"/>
      <c r="Z79" s="1461"/>
      <c r="AA79" s="1461"/>
      <c r="AB79" s="1461"/>
      <c r="AC79" s="1461"/>
      <c r="AD79" s="1461"/>
      <c r="AE79" s="1461"/>
      <c r="AF79" s="1461"/>
      <c r="AG79" s="1461"/>
      <c r="AH79" s="1461"/>
      <c r="AI79" s="1461"/>
      <c r="AJ79" s="1461"/>
      <c r="AK79" s="1461"/>
      <c r="AL79" s="1461"/>
      <c r="AM79" s="1461"/>
      <c r="AN79" s="1461"/>
      <c r="AO79" s="1461"/>
      <c r="AP79" s="1461"/>
      <c r="AQ79" s="1461"/>
      <c r="AR79" s="1461"/>
      <c r="AS79" s="1461"/>
      <c r="AT79" s="1461"/>
    </row>
    <row r="80" spans="17:46" x14ac:dyDescent="0.25">
      <c r="Q80" s="1461"/>
      <c r="R80" s="1461"/>
      <c r="S80" s="1461"/>
      <c r="T80" s="1461"/>
      <c r="U80" s="1461"/>
      <c r="V80" s="1461"/>
      <c r="W80" s="1461"/>
      <c r="X80" s="1461"/>
      <c r="Y80" s="1461"/>
      <c r="Z80" s="1461"/>
      <c r="AA80" s="1461"/>
      <c r="AB80" s="1461"/>
      <c r="AC80" s="1461"/>
      <c r="AD80" s="1461"/>
      <c r="AE80" s="1461"/>
      <c r="AF80" s="1461"/>
      <c r="AG80" s="1461"/>
      <c r="AH80" s="1461"/>
      <c r="AI80" s="1461"/>
      <c r="AJ80" s="1461"/>
      <c r="AK80" s="1461"/>
      <c r="AL80" s="1461"/>
      <c r="AM80" s="1461"/>
      <c r="AN80" s="1461"/>
      <c r="AO80" s="1461"/>
      <c r="AP80" s="1461"/>
      <c r="AQ80" s="1461"/>
      <c r="AR80" s="1461"/>
      <c r="AS80" s="1461"/>
      <c r="AT80" s="1461"/>
    </row>
    <row r="81" spans="17:46" x14ac:dyDescent="0.25">
      <c r="Q81" s="1461"/>
      <c r="R81" s="1461"/>
      <c r="S81" s="1461"/>
      <c r="T81" s="1461"/>
      <c r="U81" s="1461"/>
      <c r="V81" s="1461"/>
      <c r="W81" s="1461"/>
      <c r="X81" s="1461"/>
      <c r="Y81" s="1461"/>
      <c r="Z81" s="1461"/>
      <c r="AA81" s="1461"/>
      <c r="AB81" s="1461"/>
      <c r="AC81" s="1461"/>
      <c r="AD81" s="1461"/>
      <c r="AE81" s="1461"/>
      <c r="AF81" s="1461"/>
      <c r="AG81" s="1461"/>
      <c r="AH81" s="1461"/>
      <c r="AI81" s="1461"/>
      <c r="AJ81" s="1461"/>
      <c r="AK81" s="1461"/>
      <c r="AL81" s="1461"/>
      <c r="AM81" s="1461"/>
      <c r="AN81" s="1461"/>
      <c r="AO81" s="1461"/>
      <c r="AP81" s="1461"/>
      <c r="AQ81" s="1461"/>
      <c r="AR81" s="1461"/>
      <c r="AS81" s="1461"/>
      <c r="AT81" s="1461"/>
    </row>
    <row r="82" spans="17:46" x14ac:dyDescent="0.25">
      <c r="Q82" s="1461"/>
      <c r="R82" s="1461"/>
      <c r="S82" s="1461"/>
      <c r="T82" s="1461"/>
      <c r="U82" s="1461"/>
      <c r="V82" s="1461"/>
      <c r="W82" s="1461"/>
      <c r="X82" s="1461"/>
      <c r="Y82" s="1461"/>
      <c r="Z82" s="1461"/>
      <c r="AA82" s="1461"/>
      <c r="AB82" s="1461"/>
      <c r="AC82" s="1461"/>
      <c r="AD82" s="1461"/>
      <c r="AE82" s="1461"/>
      <c r="AF82" s="1461"/>
      <c r="AG82" s="1461"/>
      <c r="AH82" s="1461"/>
      <c r="AI82" s="1461"/>
      <c r="AJ82" s="1461"/>
      <c r="AK82" s="1461"/>
      <c r="AL82" s="1461"/>
      <c r="AM82" s="1461"/>
      <c r="AN82" s="1461"/>
      <c r="AO82" s="1461"/>
      <c r="AP82" s="1461"/>
      <c r="AQ82" s="1461"/>
      <c r="AR82" s="1461"/>
      <c r="AS82" s="1461"/>
      <c r="AT82" s="1461"/>
    </row>
    <row r="83" spans="17:46" x14ac:dyDescent="0.25">
      <c r="W83" s="836"/>
      <c r="X83" s="836"/>
      <c r="Y83" s="836"/>
    </row>
    <row r="84" spans="17:46" x14ac:dyDescent="0.25">
      <c r="W84" s="836"/>
      <c r="X84" s="836"/>
      <c r="Y84" s="836"/>
    </row>
    <row r="85" spans="17:46" x14ac:dyDescent="0.25">
      <c r="W85" s="836"/>
      <c r="X85" s="836"/>
      <c r="Y85" s="836"/>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5" t="s">
        <v>916</v>
      </c>
      <c r="AX5" s="1716"/>
      <c r="AY5" s="426">
        <v>1757315</v>
      </c>
      <c r="AZ5" s="272" t="s">
        <v>214</v>
      </c>
      <c r="BA5" s="1" t="s">
        <v>214</v>
      </c>
      <c r="BB5" s="419">
        <v>3.2000000000000001E-2</v>
      </c>
      <c r="BC5" s="419">
        <v>6.9000000000000006E-2</v>
      </c>
      <c r="BD5" s="419">
        <v>8.2000000000000003E-2</v>
      </c>
      <c r="BE5" s="419">
        <v>9.6000000000000002E-2</v>
      </c>
      <c r="BF5" s="420">
        <v>0.13300000000000001</v>
      </c>
      <c r="BI5" s="1715" t="s">
        <v>917</v>
      </c>
      <c r="BJ5" s="1716"/>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18" t="s">
        <v>915</v>
      </c>
      <c r="AR10" s="1718"/>
      <c r="AW10" s="1717" t="s">
        <v>913</v>
      </c>
      <c r="AX10" s="1717"/>
      <c r="AY10" s="1717"/>
      <c r="AZ10" s="1717"/>
      <c r="BA10" s="1717"/>
      <c r="BD10" s="1717" t="s">
        <v>914</v>
      </c>
      <c r="BE10" s="1717"/>
      <c r="BF10" s="1717"/>
      <c r="BG10" s="1717"/>
      <c r="BH10" s="1717"/>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6"/>
      <c r="B1" s="1176"/>
      <c r="C1" s="1176"/>
      <c r="D1" s="1176"/>
      <c r="E1" s="1176"/>
      <c r="F1" s="1176"/>
      <c r="G1" s="1176"/>
      <c r="H1" s="1176"/>
      <c r="I1" s="1176"/>
      <c r="J1" s="1176"/>
      <c r="K1" s="1176"/>
      <c r="L1" s="1176"/>
      <c r="M1" s="1176"/>
      <c r="N1" s="1176"/>
      <c r="O1" s="1176"/>
      <c r="P1" s="1176"/>
      <c r="Q1" s="1176"/>
      <c r="R1" s="1176"/>
      <c r="S1" s="1176"/>
      <c r="T1" s="1176"/>
      <c r="U1" s="1176"/>
      <c r="V1" s="1176"/>
      <c r="W1" s="1176"/>
      <c r="X1" s="1176"/>
      <c r="Y1" s="1176"/>
      <c r="Z1" s="1176"/>
      <c r="AA1" s="1176"/>
      <c r="AB1" s="1176"/>
      <c r="AC1" s="1176"/>
      <c r="AD1" s="1176"/>
      <c r="AE1" s="1176"/>
      <c r="AF1" s="1176"/>
      <c r="AG1" s="1176"/>
      <c r="AH1" s="1176"/>
      <c r="AI1" s="1176"/>
      <c r="AJ1" s="1176"/>
      <c r="AK1" s="1176"/>
      <c r="AL1" s="1176"/>
      <c r="AM1" s="1176"/>
      <c r="AN1" s="1176"/>
      <c r="AO1" s="1176"/>
      <c r="AP1" s="1176"/>
      <c r="AQ1" s="1176"/>
      <c r="AR1" s="1176"/>
      <c r="AS1" s="1176"/>
      <c r="AT1" s="1176"/>
      <c r="AU1" s="1176"/>
      <c r="AV1" s="1176"/>
      <c r="AW1" s="1176"/>
      <c r="AX1" s="1176"/>
      <c r="AY1" s="1176"/>
      <c r="AZ1" s="1176"/>
      <c r="BA1" s="1176"/>
      <c r="BB1" s="1176"/>
      <c r="BC1" s="1176"/>
      <c r="BD1" s="1176"/>
      <c r="BE1" s="1176"/>
      <c r="BF1" s="1176"/>
      <c r="BG1" s="1176"/>
      <c r="BH1" s="1176"/>
      <c r="BI1" s="1176"/>
      <c r="BJ1" s="1176"/>
      <c r="BK1" s="1176"/>
      <c r="BL1" s="1176"/>
      <c r="BM1" s="1176"/>
      <c r="BN1" s="1176"/>
      <c r="BO1" s="1176"/>
      <c r="BP1" s="1176"/>
      <c r="BQ1" s="1176"/>
      <c r="BR1" s="1176"/>
      <c r="BS1" s="1176"/>
      <c r="BT1" s="1176"/>
      <c r="BU1" s="1176"/>
      <c r="BV1" s="1176"/>
      <c r="BW1" s="1176"/>
      <c r="BX1" s="1176"/>
      <c r="BY1" s="1176"/>
      <c r="BZ1" s="1176"/>
      <c r="CA1" s="1176"/>
      <c r="CB1" s="1176"/>
      <c r="CC1" s="1176"/>
      <c r="CD1" s="1176"/>
      <c r="CE1" s="1176"/>
      <c r="CF1" s="1176"/>
      <c r="CG1" s="1176"/>
      <c r="CH1" s="1176"/>
      <c r="CI1" s="1176"/>
      <c r="CJ1" s="1176"/>
      <c r="CK1" s="1176"/>
    </row>
    <row r="2" spans="1:89" ht="15.75" customHeight="1" thickBot="1" x14ac:dyDescent="0.3">
      <c r="A2" s="1176"/>
      <c r="B2" s="1729" t="s">
        <v>1818</v>
      </c>
      <c r="C2" s="1730"/>
      <c r="D2" s="1730"/>
      <c r="E2" s="1730"/>
      <c r="F2" s="1730"/>
      <c r="G2" s="1730"/>
      <c r="H2" s="1730"/>
      <c r="I2" s="1730"/>
      <c r="J2" s="1731"/>
      <c r="K2" s="1284"/>
      <c r="L2" s="1176"/>
      <c r="M2" s="1736" t="s">
        <v>1879</v>
      </c>
      <c r="N2" s="1737"/>
      <c r="O2" s="1738"/>
      <c r="P2" s="1739"/>
      <c r="Q2" s="1176"/>
      <c r="R2" s="1176"/>
      <c r="S2" s="1176"/>
      <c r="T2" s="1176"/>
      <c r="U2" s="1176"/>
      <c r="V2" s="1176"/>
      <c r="W2" s="1176"/>
      <c r="X2" s="1176"/>
      <c r="Y2" s="1176"/>
      <c r="Z2" s="1176"/>
      <c r="AA2" s="1176"/>
      <c r="AB2" s="1176"/>
      <c r="AC2" s="1176"/>
      <c r="AD2" s="1176"/>
      <c r="AE2" s="1176"/>
      <c r="AF2" s="1176"/>
      <c r="AG2" s="1176"/>
      <c r="AH2" s="1176"/>
      <c r="AI2" s="1176"/>
      <c r="AJ2" s="1176"/>
      <c r="AK2" s="1176"/>
      <c r="AL2" s="1176"/>
      <c r="AM2" s="1176"/>
      <c r="AN2" s="1176"/>
      <c r="AO2" s="1176"/>
      <c r="AP2" s="1176"/>
      <c r="AQ2" s="1176"/>
      <c r="AR2" s="1176"/>
      <c r="AS2" s="1176"/>
      <c r="AT2" s="1176"/>
      <c r="AU2" s="1176"/>
      <c r="AV2" s="1176"/>
      <c r="AW2" s="1176"/>
      <c r="AX2" s="1176"/>
      <c r="AY2" s="1176"/>
      <c r="AZ2" s="1176"/>
      <c r="BA2" s="1176"/>
      <c r="BB2" s="1176"/>
      <c r="BC2" s="1176"/>
      <c r="BD2" s="1176"/>
      <c r="BE2" s="1176"/>
      <c r="BF2" s="1176"/>
      <c r="BG2" s="1176"/>
      <c r="BH2" s="1176"/>
      <c r="BI2" s="1176"/>
      <c r="BJ2" s="1176"/>
      <c r="BK2" s="1176"/>
      <c r="BL2" s="1176"/>
      <c r="BM2" s="1176"/>
      <c r="BN2" s="1176"/>
      <c r="BO2" s="1176"/>
      <c r="BP2" s="1176"/>
      <c r="BQ2" s="1176"/>
      <c r="BR2" s="1176"/>
      <c r="BS2" s="1176"/>
      <c r="BT2" s="1176"/>
      <c r="BU2" s="1176"/>
      <c r="BV2" s="1176"/>
      <c r="BW2" s="1176"/>
      <c r="BX2" s="1176"/>
      <c r="BY2" s="1176"/>
      <c r="BZ2" s="1176"/>
      <c r="CA2" s="1176"/>
      <c r="CB2" s="1176"/>
      <c r="CC2" s="1176"/>
      <c r="CD2" s="1176"/>
      <c r="CE2" s="1176"/>
      <c r="CF2" s="1176"/>
      <c r="CG2" s="1176"/>
      <c r="CH2" s="1176"/>
      <c r="CI2" s="1176"/>
      <c r="CJ2" s="1176"/>
      <c r="CK2" s="1176"/>
    </row>
    <row r="3" spans="1:89" ht="33.75" customHeight="1" thickBot="1" x14ac:dyDescent="0.3">
      <c r="A3" s="1176"/>
      <c r="B3" s="1732" t="s">
        <v>1819</v>
      </c>
      <c r="C3" s="1285" t="s">
        <v>729</v>
      </c>
      <c r="D3" s="1286" t="s">
        <v>722</v>
      </c>
      <c r="E3" s="1286" t="s">
        <v>723</v>
      </c>
      <c r="F3" s="1285" t="s">
        <v>1820</v>
      </c>
      <c r="G3" s="1286" t="s">
        <v>1419</v>
      </c>
      <c r="H3" s="1285" t="s">
        <v>1821</v>
      </c>
      <c r="I3" s="1285" t="s">
        <v>1822</v>
      </c>
      <c r="J3" s="1285" t="s">
        <v>1823</v>
      </c>
      <c r="K3" s="1285" t="s">
        <v>1824</v>
      </c>
      <c r="L3" s="1176"/>
      <c r="M3" s="1300" t="s">
        <v>1880</v>
      </c>
      <c r="N3" s="1301" t="s">
        <v>524</v>
      </c>
      <c r="O3" s="1301" t="s">
        <v>1880</v>
      </c>
      <c r="P3" s="1302" t="s">
        <v>524</v>
      </c>
      <c r="Q3" s="1176"/>
      <c r="R3" s="1176"/>
      <c r="S3" s="1176"/>
      <c r="T3" s="1176"/>
      <c r="U3" s="1176"/>
      <c r="V3" s="1176"/>
      <c r="W3" s="1176"/>
      <c r="X3" s="1176"/>
      <c r="Y3" s="1176"/>
      <c r="Z3" s="1176"/>
      <c r="AA3" s="1176"/>
      <c r="AB3" s="1176"/>
      <c r="AC3" s="1176"/>
      <c r="AD3" s="1176"/>
      <c r="AE3" s="1176"/>
      <c r="AF3" s="1176"/>
      <c r="AG3" s="1176"/>
      <c r="AH3" s="1176"/>
      <c r="AI3" s="1176"/>
      <c r="AJ3" s="1176"/>
      <c r="AK3" s="1176"/>
      <c r="AL3" s="1176"/>
      <c r="AM3" s="1176"/>
      <c r="AN3" s="1176"/>
      <c r="AO3" s="1176"/>
      <c r="AP3" s="1176"/>
      <c r="AQ3" s="1176"/>
      <c r="AR3" s="1176"/>
      <c r="AS3" s="1176"/>
      <c r="AT3" s="1176"/>
      <c r="AU3" s="1176"/>
      <c r="AV3" s="1176"/>
      <c r="AW3" s="1176"/>
      <c r="AX3" s="1176"/>
      <c r="AY3" s="1176"/>
      <c r="AZ3" s="1176"/>
      <c r="BA3" s="1176"/>
      <c r="BB3" s="1176"/>
      <c r="BC3" s="1176"/>
      <c r="BD3" s="1176"/>
      <c r="BE3" s="1176"/>
      <c r="BF3" s="1176"/>
      <c r="BG3" s="1176"/>
      <c r="BH3" s="1176"/>
      <c r="BI3" s="1176"/>
      <c r="BJ3" s="1176"/>
      <c r="BK3" s="1176"/>
      <c r="BL3" s="1176"/>
      <c r="BM3" s="1176"/>
      <c r="BN3" s="1176"/>
      <c r="BO3" s="1176"/>
      <c r="BP3" s="1176"/>
      <c r="BQ3" s="1176"/>
      <c r="BR3" s="1176"/>
      <c r="BS3" s="1176"/>
      <c r="BT3" s="1176"/>
      <c r="BU3" s="1176"/>
      <c r="BV3" s="1176"/>
      <c r="BW3" s="1176"/>
      <c r="BX3" s="1176"/>
      <c r="BY3" s="1176"/>
      <c r="BZ3" s="1176"/>
      <c r="CA3" s="1176"/>
      <c r="CB3" s="1176"/>
      <c r="CC3" s="1176"/>
      <c r="CD3" s="1176"/>
      <c r="CE3" s="1176"/>
      <c r="CF3" s="1176"/>
      <c r="CG3" s="1176"/>
      <c r="CH3" s="1176"/>
      <c r="CI3" s="1176"/>
      <c r="CJ3" s="1176"/>
      <c r="CK3" s="1176"/>
    </row>
    <row r="4" spans="1:89" ht="27.75" customHeight="1" thickBot="1" x14ac:dyDescent="0.3">
      <c r="A4" s="1176"/>
      <c r="B4" s="1733"/>
      <c r="C4" s="1288" t="str">
        <f>IF(ISBLANK('Required Info to Submit'!F8),"",'Required Info to Submit'!F8)</f>
        <v/>
      </c>
      <c r="D4" s="1392" t="str">
        <f>IF(ISBLANK('Required Info to Submit'!F14),"",'Required Info to Submit'!F14)</f>
        <v/>
      </c>
      <c r="E4" s="1392" t="str">
        <f>'Required Info to Submit'!F17</f>
        <v/>
      </c>
      <c r="F4" s="1288" t="s">
        <v>1825</v>
      </c>
      <c r="G4" s="1288" t="str">
        <f>IF(Welcome!D8="","",Welcome!D8)</f>
        <v>Please Select</v>
      </c>
      <c r="H4" s="1287" t="str">
        <f>IF('Agreement Worksheet'!F5="No","Select Non-Std","")</f>
        <v/>
      </c>
      <c r="I4" s="1287" t="str">
        <f>IF('Required Info to Submit'!F19="MDA","Select Local MDA","")</f>
        <v/>
      </c>
      <c r="J4" s="1287" t="str">
        <f>IF(Incentives!E6="Yes","Select Auto Approval",Incentives!E6)</f>
        <v>No</v>
      </c>
      <c r="K4" s="1288" t="str" cm="1">
        <f t="array" aca="1" ref="K4" ca="1">IF(OR(INDIRECT("'Incentives Worksheet'!T"&amp;'Configurable Tab'!I29-1)="Yes",INDIRECT("'Incentives Worksheet'!T"&amp;'Configurable Tab'!I30-1)="Yes"),"Please Provide CASIS Master and Tracking program in notes section for clawback"," ")</f>
        <v xml:space="preserve"> </v>
      </c>
      <c r="L4" s="1176"/>
      <c r="M4" s="1303" t="s">
        <v>855</v>
      </c>
      <c r="N4" s="1304" t="str" cm="1">
        <f t="array" aca="1" ref="N4" ca="1">IF(OR(INDIRECT("'Incentives'!E"&amp;'Configurable Tab'!C3+1)="Yes",INDIRECT("'Incentives'!E"&amp;'Configurable Tab'!C4+1)="Yes",INDIRECT("'Incentives'!E"&amp;'Configurable Tab'!C5+1)="Yes"),"Yes","")</f>
        <v/>
      </c>
      <c r="O4" s="1305" t="s">
        <v>1881</v>
      </c>
      <c r="P4" s="1306" t="str" cm="1">
        <f t="array" aca="1" ref="P4" ca="1">IF(INDIRECT("'Incentives'!E"&amp;'Configurable Tab'!C18+1)="Yes","Yes","")</f>
        <v/>
      </c>
      <c r="Q4" s="1176"/>
      <c r="R4" s="1176"/>
      <c r="S4" s="1176"/>
      <c r="T4" s="1176"/>
      <c r="U4" s="1176"/>
      <c r="V4" s="1176"/>
      <c r="W4" s="1176"/>
      <c r="X4" s="1176"/>
      <c r="Y4" s="1176"/>
      <c r="Z4" s="1176"/>
      <c r="AA4" s="1176"/>
      <c r="AB4" s="1176"/>
      <c r="AC4" s="1176"/>
      <c r="AD4" s="1176"/>
      <c r="AE4" s="1176"/>
      <c r="AF4" s="1176"/>
      <c r="AG4" s="1176"/>
      <c r="AH4" s="1176"/>
      <c r="AI4" s="1176"/>
      <c r="AJ4" s="1176"/>
      <c r="AK4" s="1176"/>
      <c r="AL4" s="1176"/>
      <c r="AM4" s="1176"/>
      <c r="AN4" s="1176"/>
      <c r="AO4" s="1176"/>
      <c r="AP4" s="1176"/>
      <c r="AQ4" s="1176"/>
      <c r="AR4" s="1176"/>
      <c r="AS4" s="1176"/>
      <c r="AT4" s="1176"/>
      <c r="AU4" s="1176"/>
      <c r="AV4" s="1176"/>
      <c r="AW4" s="1176"/>
      <c r="AX4" s="1176"/>
      <c r="AY4" s="1176"/>
      <c r="AZ4" s="1176"/>
      <c r="BA4" s="1176"/>
      <c r="BB4" s="1176"/>
      <c r="BC4" s="1176"/>
      <c r="BD4" s="1176"/>
      <c r="BE4" s="1176"/>
      <c r="BF4" s="1176"/>
      <c r="BG4" s="1176"/>
      <c r="BH4" s="1176"/>
      <c r="BI4" s="1176"/>
      <c r="BJ4" s="1176"/>
      <c r="BK4" s="1176"/>
      <c r="BL4" s="1176"/>
      <c r="BM4" s="1176"/>
      <c r="BN4" s="1176"/>
      <c r="BO4" s="1176"/>
      <c r="BP4" s="1176"/>
      <c r="BQ4" s="1176"/>
      <c r="BR4" s="1176"/>
      <c r="BS4" s="1176"/>
      <c r="BT4" s="1176"/>
      <c r="BU4" s="1176"/>
      <c r="BV4" s="1176"/>
      <c r="BW4" s="1176"/>
      <c r="BX4" s="1176"/>
      <c r="BY4" s="1176"/>
      <c r="BZ4" s="1176"/>
      <c r="CA4" s="1176"/>
      <c r="CB4" s="1176"/>
      <c r="CC4" s="1176"/>
      <c r="CD4" s="1176"/>
      <c r="CE4" s="1176"/>
      <c r="CF4" s="1176"/>
      <c r="CG4" s="1176"/>
      <c r="CH4" s="1176"/>
      <c r="CI4" s="1176"/>
      <c r="CJ4" s="1176"/>
      <c r="CK4" s="1176"/>
    </row>
    <row r="5" spans="1:89" ht="31.5" customHeight="1" thickBot="1" x14ac:dyDescent="0.3">
      <c r="A5" s="1176"/>
      <c r="B5" s="1734" t="s">
        <v>1826</v>
      </c>
      <c r="C5" s="1285" t="s">
        <v>1827</v>
      </c>
      <c r="D5" s="1289" t="s">
        <v>1828</v>
      </c>
      <c r="E5" s="1289" t="s">
        <v>1829</v>
      </c>
      <c r="F5" s="1290" t="s">
        <v>730</v>
      </c>
      <c r="G5" s="1289" t="s">
        <v>1830</v>
      </c>
      <c r="H5" s="1289" t="s">
        <v>1831</v>
      </c>
      <c r="I5" s="1283"/>
      <c r="J5" s="1283"/>
      <c r="K5" s="1291"/>
      <c r="L5" s="1176"/>
      <c r="M5" s="1307" t="s">
        <v>475</v>
      </c>
      <c r="N5" s="1308" t="str" cm="1">
        <f t="array" aca="1" ref="N5" ca="1">IF(OR(INDIRECT("'Incentives'!E"&amp;'Configurable Tab'!C6+1)="Yes",INDIRECT("'Incentives'!E"&amp;'Configurable Tab'!C7+1)="Yes"),"Yes","")</f>
        <v/>
      </c>
      <c r="O5" s="1309" t="s">
        <v>1492</v>
      </c>
      <c r="P5" s="1310" t="str" cm="1">
        <f t="array" aca="1" ref="P5" ca="1">IF(INDIRECT("'Incentives'!E"&amp;'Configurable Tab'!C19+1)="Yes","Yes","")</f>
        <v/>
      </c>
      <c r="Q5" s="1176"/>
      <c r="R5" s="1176"/>
      <c r="S5" s="1176"/>
      <c r="T5" s="1176"/>
      <c r="U5" s="1176"/>
      <c r="V5" s="1176"/>
      <c r="W5" s="1176"/>
      <c r="X5" s="1176"/>
      <c r="Y5" s="1176"/>
      <c r="Z5" s="1176"/>
      <c r="AA5" s="1176"/>
      <c r="AB5" s="1176"/>
      <c r="AC5" s="1176"/>
      <c r="AD5" s="1176"/>
      <c r="AE5" s="1176"/>
      <c r="AF5" s="1176"/>
      <c r="AG5" s="1176"/>
      <c r="AH5" s="1176"/>
      <c r="AI5" s="1176"/>
      <c r="AJ5" s="1176"/>
      <c r="AK5" s="1176"/>
      <c r="AL5" s="1176"/>
      <c r="AM5" s="1176"/>
      <c r="AN5" s="1176"/>
      <c r="AO5" s="1176"/>
      <c r="AP5" s="1176"/>
      <c r="AQ5" s="1176"/>
      <c r="AR5" s="1176"/>
      <c r="AS5" s="1176"/>
      <c r="AT5" s="1176"/>
      <c r="AU5" s="1176"/>
      <c r="AV5" s="1176"/>
      <c r="AW5" s="1176"/>
      <c r="AX5" s="1176"/>
      <c r="AY5" s="1176"/>
      <c r="AZ5" s="1176"/>
      <c r="BA5" s="1176"/>
      <c r="BB5" s="1176"/>
      <c r="BC5" s="1176"/>
      <c r="BD5" s="1176"/>
      <c r="BE5" s="1176"/>
      <c r="BF5" s="1176"/>
      <c r="BG5" s="1176"/>
      <c r="BH5" s="1176"/>
      <c r="BI5" s="1176"/>
      <c r="BJ5" s="1176"/>
      <c r="BK5" s="1176"/>
      <c r="BL5" s="1176"/>
      <c r="BM5" s="1176"/>
      <c r="BN5" s="1176"/>
      <c r="BO5" s="1176"/>
      <c r="BP5" s="1176"/>
      <c r="BQ5" s="1176"/>
      <c r="BR5" s="1176"/>
      <c r="BS5" s="1176"/>
      <c r="BT5" s="1176"/>
      <c r="BU5" s="1176"/>
      <c r="BV5" s="1176"/>
      <c r="BW5" s="1176"/>
      <c r="BX5" s="1176"/>
      <c r="BY5" s="1176"/>
      <c r="BZ5" s="1176"/>
      <c r="CA5" s="1176"/>
      <c r="CB5" s="1176"/>
      <c r="CC5" s="1176"/>
      <c r="CD5" s="1176"/>
      <c r="CE5" s="1176"/>
      <c r="CF5" s="1176"/>
      <c r="CG5" s="1176"/>
      <c r="CH5" s="1176"/>
      <c r="CI5" s="1176"/>
      <c r="CJ5" s="1176"/>
      <c r="CK5" s="1176"/>
    </row>
    <row r="6" spans="1:89" ht="27" customHeight="1" thickBot="1" x14ac:dyDescent="0.3">
      <c r="A6" s="1176"/>
      <c r="B6" s="1735"/>
      <c r="C6" s="1287" t="str">
        <f>'Required Info to Submit'!E23</f>
        <v/>
      </c>
      <c r="D6" s="1287" t="str">
        <f>IFERROR(VLOOKUP('Existing Customers'!AB2,'Market Geography'!A:F,5,0),"")</f>
        <v/>
      </c>
      <c r="E6" s="1288" t="str">
        <f>IF(ISBLANK('Required Info to Submit'!F6),"",'Required Info to Submit'!F6)</f>
        <v/>
      </c>
      <c r="F6" s="1348" t="str">
        <f>IF('Tracking &amp; Profitability'!E23=0,"",'Tracking &amp; Profitability'!E23*-1)</f>
        <v/>
      </c>
      <c r="G6" s="1287" t="str">
        <f>IF(ISBLANK('Required Info to Submit'!F10),"",'Required Info to Submit'!F10)</f>
        <v/>
      </c>
      <c r="H6" s="1287"/>
      <c r="I6" s="1283"/>
      <c r="J6" s="1283"/>
      <c r="K6" s="1291"/>
      <c r="L6" s="1176"/>
      <c r="M6" s="1307" t="s">
        <v>526</v>
      </c>
      <c r="N6" s="1308" t="str" cm="1">
        <f t="array" aca="1" ref="N6" ca="1">IF(OR(INDIRECT("'Incentives'!E"&amp;'Configurable Tab'!C8+1)="Yes",INDIRECT("'Incentives'!E"&amp;'Configurable Tab'!C9+1)="Yes"),"Yes","")</f>
        <v/>
      </c>
      <c r="O6" s="1309" t="s">
        <v>1105</v>
      </c>
      <c r="P6" s="1310" t="str" cm="1">
        <f t="array" aca="1" ref="P6" ca="1">IF(OR(INDIRECT("'Incentives'!E"&amp;'Configurable Tab'!C20+1)="Yes",INDIRECT("'Incentives'!E"&amp;'Configurable Tab'!C21+1)="Yes"),"Yes","")</f>
        <v/>
      </c>
      <c r="Q6" s="1176"/>
      <c r="R6" s="1176"/>
      <c r="S6" s="1176"/>
      <c r="T6" s="1176"/>
      <c r="U6" s="1176"/>
      <c r="V6" s="1176"/>
      <c r="W6" s="1176"/>
      <c r="X6" s="1176"/>
      <c r="Y6" s="1176"/>
      <c r="Z6" s="1176"/>
      <c r="AA6" s="1176"/>
      <c r="AB6" s="1176"/>
      <c r="AC6" s="1176"/>
      <c r="AD6" s="1176"/>
      <c r="AE6" s="1176"/>
      <c r="AF6" s="1176"/>
      <c r="AG6" s="1176"/>
      <c r="AH6" s="1176"/>
      <c r="AI6" s="1176"/>
      <c r="AJ6" s="1176"/>
      <c r="AK6" s="1176"/>
      <c r="AL6" s="1176"/>
      <c r="AM6" s="1176"/>
      <c r="AN6" s="1176"/>
      <c r="AO6" s="1176"/>
      <c r="AP6" s="1176"/>
      <c r="AQ6" s="1176"/>
      <c r="AR6" s="1176"/>
      <c r="AS6" s="1176"/>
      <c r="AT6" s="1176"/>
      <c r="AU6" s="1176"/>
      <c r="AV6" s="1176"/>
      <c r="AW6" s="1176"/>
      <c r="AX6" s="1176"/>
      <c r="AY6" s="1176"/>
      <c r="AZ6" s="1176"/>
      <c r="BA6" s="1176"/>
      <c r="BB6" s="1176"/>
      <c r="BC6" s="1176"/>
      <c r="BD6" s="1176"/>
      <c r="BE6" s="1176"/>
      <c r="BF6" s="1176"/>
      <c r="BG6" s="1176"/>
      <c r="BH6" s="1176"/>
      <c r="BI6" s="1176"/>
      <c r="BJ6" s="1176"/>
      <c r="BK6" s="1176"/>
      <c r="BL6" s="1176"/>
      <c r="BM6" s="1176"/>
      <c r="BN6" s="1176"/>
      <c r="BO6" s="1176"/>
      <c r="BP6" s="1176"/>
      <c r="BQ6" s="1176"/>
      <c r="BR6" s="1176"/>
      <c r="BS6" s="1176"/>
      <c r="BT6" s="1176"/>
      <c r="BU6" s="1176"/>
      <c r="BV6" s="1176"/>
      <c r="BW6" s="1176"/>
      <c r="BX6" s="1176"/>
      <c r="BY6" s="1176"/>
      <c r="BZ6" s="1176"/>
      <c r="CA6" s="1176"/>
      <c r="CB6" s="1176"/>
      <c r="CC6" s="1176"/>
      <c r="CD6" s="1176"/>
      <c r="CE6" s="1176"/>
      <c r="CF6" s="1176"/>
      <c r="CG6" s="1176"/>
      <c r="CH6" s="1176"/>
      <c r="CI6" s="1176"/>
      <c r="CJ6" s="1176"/>
      <c r="CK6" s="1176"/>
    </row>
    <row r="7" spans="1:89" ht="42" customHeight="1" thickBot="1" x14ac:dyDescent="0.3">
      <c r="A7" s="1176"/>
      <c r="B7" s="1734" t="s">
        <v>1434</v>
      </c>
      <c r="C7" s="1286" t="s">
        <v>1466</v>
      </c>
      <c r="D7" s="1286" t="s">
        <v>973</v>
      </c>
      <c r="E7" s="1286" t="s">
        <v>1469</v>
      </c>
      <c r="F7" s="1286" t="s">
        <v>1472</v>
      </c>
      <c r="G7" s="1286" t="s">
        <v>1195</v>
      </c>
      <c r="H7" s="1286" t="s">
        <v>1420</v>
      </c>
      <c r="I7" s="1286" t="s">
        <v>1832</v>
      </c>
      <c r="J7" s="1292" t="s">
        <v>1471</v>
      </c>
      <c r="K7" s="1291"/>
      <c r="L7" s="1176"/>
      <c r="M7" s="1307" t="s">
        <v>1882</v>
      </c>
      <c r="N7" s="130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9" t="s">
        <v>1502</v>
      </c>
      <c r="P7" s="1310" t="str" cm="1">
        <f t="array" aca="1" ref="P7" ca="1">IF(INDIRECT("'Incentives'!E"&amp;'Configurable Tab'!C22+1)="Yes","Yes","")</f>
        <v/>
      </c>
      <c r="Q7" s="1176"/>
      <c r="R7" s="1176"/>
      <c r="S7" s="1176"/>
      <c r="T7" s="1176"/>
      <c r="U7" s="1176"/>
      <c r="V7" s="1176"/>
      <c r="W7" s="1176"/>
      <c r="X7" s="1176"/>
      <c r="Y7" s="1176"/>
      <c r="Z7" s="1176"/>
      <c r="AA7" s="1176"/>
      <c r="AB7" s="1176"/>
      <c r="AC7" s="1176"/>
      <c r="AD7" s="1176"/>
      <c r="AE7" s="1176"/>
      <c r="AF7" s="1176"/>
      <c r="AG7" s="1176"/>
      <c r="AH7" s="1176"/>
      <c r="AI7" s="1176"/>
      <c r="AJ7" s="1176"/>
      <c r="AK7" s="1176"/>
      <c r="AL7" s="1176"/>
      <c r="AM7" s="1176"/>
      <c r="AN7" s="1176"/>
      <c r="AO7" s="1176"/>
      <c r="AP7" s="1176"/>
      <c r="AQ7" s="1176"/>
      <c r="AR7" s="1176"/>
      <c r="AS7" s="1176"/>
      <c r="AT7" s="1176"/>
      <c r="AU7" s="1176"/>
      <c r="AV7" s="1176"/>
      <c r="AW7" s="1176"/>
      <c r="AX7" s="1176"/>
      <c r="AY7" s="1176"/>
      <c r="AZ7" s="1176"/>
      <c r="BA7" s="1176"/>
      <c r="BB7" s="1176"/>
      <c r="BC7" s="1176"/>
      <c r="BD7" s="1176"/>
      <c r="BE7" s="1176"/>
      <c r="BF7" s="1176"/>
      <c r="BG7" s="1176"/>
      <c r="BH7" s="1176"/>
      <c r="BI7" s="1176"/>
      <c r="BJ7" s="1176"/>
      <c r="BK7" s="1176"/>
      <c r="BL7" s="1176"/>
      <c r="BM7" s="1176"/>
      <c r="BN7" s="1176"/>
      <c r="BO7" s="1176"/>
      <c r="BP7" s="1176"/>
      <c r="BQ7" s="1176"/>
      <c r="BR7" s="1176"/>
      <c r="BS7" s="1176"/>
      <c r="BT7" s="1176"/>
      <c r="BU7" s="1176"/>
      <c r="BV7" s="1176"/>
      <c r="BW7" s="1176"/>
      <c r="BX7" s="1176"/>
      <c r="BY7" s="1176"/>
      <c r="BZ7" s="1176"/>
      <c r="CA7" s="1176"/>
      <c r="CB7" s="1176"/>
      <c r="CC7" s="1176"/>
      <c r="CD7" s="1176"/>
      <c r="CE7" s="1176"/>
      <c r="CF7" s="1176"/>
      <c r="CG7" s="1176"/>
      <c r="CH7" s="1176"/>
      <c r="CI7" s="1176"/>
      <c r="CJ7" s="1176"/>
      <c r="CK7" s="1176"/>
    </row>
    <row r="8" spans="1:89" ht="90" customHeight="1" thickBot="1" x14ac:dyDescent="0.3">
      <c r="A8" s="1176"/>
      <c r="B8" s="1735"/>
      <c r="C8" s="1288" t="str">
        <f>IF(ISBLANK('Required Info to Submit'!F6),"",'Required Info to Submit'!F6)</f>
        <v/>
      </c>
      <c r="D8" s="1288" t="str">
        <f>IF(ISBLANK('Required Info to Submit'!F8),"",'Required Info to Submit'!F8)</f>
        <v/>
      </c>
      <c r="E8" s="1288" t="str">
        <f>IF(ISBLANK('Required Info to Submit'!F9),"",'Required Info to Submit'!F9)</f>
        <v/>
      </c>
      <c r="F8" s="1288" t="str">
        <f>IF(ISBLANK('Required Info to Submit'!F12),"",'Required Info to Submit'!F12)</f>
        <v/>
      </c>
      <c r="G8" s="1349" t="str">
        <f>'Agreement Worksheet'!H18</f>
        <v/>
      </c>
      <c r="H8" s="1287" t="str">
        <f>IF(Welcome!D12="Select Term","",Welcome!D12)</f>
        <v/>
      </c>
      <c r="I8" s="1287" t="str">
        <f>Incentives!E4</f>
        <v>Yes</v>
      </c>
      <c r="J8" s="1287" t="str">
        <f>IF(ISBLANK('Required Info to Submit'!F11),"",'Required Info to Submit'!F11)</f>
        <v/>
      </c>
      <c r="K8" s="1293"/>
      <c r="L8" s="1176"/>
      <c r="M8" s="1307" t="s">
        <v>718</v>
      </c>
      <c r="N8" s="1308" t="str" cm="1">
        <f t="array" aca="1" ref="N8" ca="1">IF(INDIRECT("'Incentives'!E"&amp;'Configurable Tab'!C15+1)="Yes","Yes","")</f>
        <v/>
      </c>
      <c r="O8" s="1309" t="s">
        <v>1883</v>
      </c>
      <c r="P8" s="1310"/>
      <c r="Q8" s="1176"/>
      <c r="R8" s="1176"/>
      <c r="S8" s="1176"/>
      <c r="T8" s="1176"/>
      <c r="U8" s="1176"/>
      <c r="V8" s="1176"/>
      <c r="W8" s="1176"/>
      <c r="X8" s="1176"/>
      <c r="Y8" s="1176"/>
      <c r="Z8" s="1176"/>
      <c r="AA8" s="1176"/>
      <c r="AB8" s="1176"/>
      <c r="AC8" s="1176"/>
      <c r="AD8" s="1176"/>
      <c r="AE8" s="1176"/>
      <c r="AF8" s="1176"/>
      <c r="AG8" s="1176"/>
      <c r="AH8" s="1176"/>
      <c r="AI8" s="1176"/>
      <c r="AJ8" s="1176"/>
      <c r="AK8" s="1176"/>
      <c r="AL8" s="1176"/>
      <c r="AM8" s="1176"/>
      <c r="AN8" s="1176"/>
      <c r="AO8" s="1176"/>
      <c r="AP8" s="1176"/>
      <c r="AQ8" s="1176"/>
      <c r="AR8" s="1176"/>
      <c r="AS8" s="1176"/>
      <c r="AT8" s="1176"/>
      <c r="AU8" s="1176"/>
      <c r="AV8" s="1176"/>
      <c r="AW8" s="1176"/>
      <c r="AX8" s="1176"/>
      <c r="AY8" s="1176"/>
      <c r="AZ8" s="1176"/>
      <c r="BA8" s="1176"/>
      <c r="BB8" s="1176"/>
      <c r="BC8" s="1176"/>
      <c r="BD8" s="1176"/>
      <c r="BE8" s="1176"/>
      <c r="BF8" s="1176"/>
      <c r="BG8" s="1176"/>
      <c r="BH8" s="1176"/>
      <c r="BI8" s="1176"/>
      <c r="BJ8" s="1176"/>
      <c r="BK8" s="1176"/>
      <c r="BL8" s="1176"/>
      <c r="BM8" s="1176"/>
      <c r="BN8" s="1176"/>
      <c r="BO8" s="1176"/>
      <c r="BP8" s="1176"/>
      <c r="BQ8" s="1176"/>
      <c r="BR8" s="1176"/>
      <c r="BS8" s="1176"/>
      <c r="BT8" s="1176"/>
      <c r="BU8" s="1176"/>
      <c r="BV8" s="1176"/>
      <c r="BW8" s="1176"/>
      <c r="BX8" s="1176"/>
      <c r="BY8" s="1176"/>
      <c r="BZ8" s="1176"/>
      <c r="CA8" s="1176"/>
      <c r="CB8" s="1176"/>
      <c r="CC8" s="1176"/>
      <c r="CD8" s="1176"/>
      <c r="CE8" s="1176"/>
      <c r="CF8" s="1176"/>
      <c r="CG8" s="1176"/>
      <c r="CH8" s="1176"/>
      <c r="CI8" s="1176"/>
      <c r="CJ8" s="1176"/>
      <c r="CK8" s="1176"/>
    </row>
    <row r="9" spans="1:89" ht="15.75" thickBot="1" x14ac:dyDescent="0.3">
      <c r="A9" s="1176"/>
      <c r="B9" s="1176"/>
      <c r="C9" s="1176"/>
      <c r="D9" s="1176"/>
      <c r="E9" s="1176"/>
      <c r="F9" s="1176"/>
      <c r="G9" s="1176"/>
      <c r="H9" s="1176"/>
      <c r="I9" s="1176"/>
      <c r="J9" s="1176"/>
      <c r="K9" s="1176"/>
      <c r="L9" s="1176"/>
      <c r="M9" s="1311" t="s">
        <v>1101</v>
      </c>
      <c r="N9" s="1312" t="str" cm="1">
        <f t="array" aca="1" ref="N9" ca="1">IF(OR(INDIRECT("'Incentives'!E"&amp;'Configurable Tab'!C16+1)="Yes",INDIRECT("'Incentives'!E"&amp;'Configurable Tab'!C17+1)="Yes"),"Yes","")</f>
        <v/>
      </c>
      <c r="O9" s="1740"/>
      <c r="P9" s="1741"/>
      <c r="Q9" s="1176"/>
      <c r="R9" s="1176"/>
      <c r="S9" s="1176"/>
      <c r="T9" s="1176"/>
      <c r="U9" s="1176"/>
      <c r="V9" s="1176"/>
      <c r="W9" s="1176"/>
      <c r="X9" s="1176"/>
      <c r="Y9" s="1176"/>
      <c r="Z9" s="1176"/>
      <c r="AA9" s="1176"/>
      <c r="AB9" s="1176"/>
      <c r="AC9" s="1176"/>
      <c r="AD9" s="1176"/>
      <c r="AE9" s="1176"/>
      <c r="AF9" s="1176"/>
      <c r="AG9" s="1176"/>
      <c r="AH9" s="1176"/>
      <c r="AI9" s="1176"/>
      <c r="AJ9" s="1176"/>
      <c r="AK9" s="1176"/>
      <c r="AL9" s="1176"/>
      <c r="AM9" s="1176"/>
      <c r="AN9" s="1176"/>
      <c r="AO9" s="1176"/>
      <c r="AP9" s="1176"/>
      <c r="AQ9" s="1176"/>
      <c r="AR9" s="1176"/>
      <c r="AS9" s="1176"/>
      <c r="AT9" s="1176"/>
      <c r="AU9" s="1176"/>
      <c r="AV9" s="1176"/>
      <c r="AW9" s="1176"/>
      <c r="AX9" s="1176"/>
      <c r="AY9" s="1176"/>
      <c r="AZ9" s="1176"/>
      <c r="BA9" s="1176"/>
      <c r="BB9" s="1176"/>
      <c r="BC9" s="1176"/>
      <c r="BD9" s="1176"/>
      <c r="BE9" s="1176"/>
      <c r="BF9" s="1176"/>
      <c r="BG9" s="1176"/>
      <c r="BH9" s="1176"/>
      <c r="BI9" s="1176"/>
      <c r="BJ9" s="1176"/>
      <c r="BK9" s="1176"/>
      <c r="BL9" s="1176"/>
      <c r="BM9" s="1176"/>
      <c r="BN9" s="1176"/>
      <c r="BO9" s="1176"/>
      <c r="BP9" s="1176"/>
      <c r="BQ9" s="1176"/>
      <c r="BR9" s="1176"/>
      <c r="BS9" s="1176"/>
      <c r="BT9" s="1176"/>
      <c r="BU9" s="1176"/>
      <c r="BV9" s="1176"/>
      <c r="BW9" s="1176"/>
      <c r="BX9" s="1176"/>
      <c r="BY9" s="1176"/>
      <c r="BZ9" s="1176"/>
      <c r="CA9" s="1176"/>
      <c r="CB9" s="1176"/>
      <c r="CC9" s="1176"/>
      <c r="CD9" s="1176"/>
      <c r="CE9" s="1176"/>
      <c r="CF9" s="1176"/>
      <c r="CG9" s="1176"/>
      <c r="CH9" s="1176"/>
      <c r="CI9" s="1176"/>
      <c r="CJ9" s="1176"/>
      <c r="CK9" s="1176"/>
    </row>
    <row r="10" spans="1:89" s="1296" customFormat="1" x14ac:dyDescent="0.25"/>
    <row r="11" spans="1:89" ht="15.75" thickBot="1" x14ac:dyDescent="0.3">
      <c r="A11" s="1176"/>
      <c r="B11" s="1176"/>
      <c r="C11" s="1176"/>
      <c r="D11" s="1176"/>
      <c r="E11" s="1176"/>
      <c r="F11" s="1176"/>
      <c r="G11" s="1176"/>
      <c r="H11" s="1176"/>
      <c r="I11" s="1176"/>
      <c r="J11" s="1176"/>
      <c r="K11" s="1176"/>
      <c r="L11" s="1176"/>
      <c r="M11" s="1176"/>
      <c r="N11" s="1176"/>
      <c r="O11" s="1176"/>
      <c r="P11" s="1176"/>
      <c r="Q11" s="1176"/>
      <c r="R11" s="1176"/>
      <c r="S11" s="1176"/>
      <c r="T11" s="1176"/>
      <c r="U11" s="1176"/>
      <c r="V11" s="1176"/>
      <c r="W11" s="1176"/>
      <c r="X11" s="1176"/>
      <c r="Y11" s="1176"/>
      <c r="Z11" s="1176"/>
      <c r="AA11" s="1176"/>
      <c r="AB11" s="1176"/>
      <c r="AC11" s="1176"/>
      <c r="AD11" s="1176"/>
      <c r="AE11" s="1176"/>
      <c r="AF11" s="1176"/>
      <c r="AG11" s="1176"/>
      <c r="AH11" s="1176"/>
      <c r="AI11" s="1176"/>
      <c r="AJ11" s="1176"/>
      <c r="AK11" s="1176"/>
      <c r="AL11" s="1176"/>
      <c r="AM11" s="1176"/>
      <c r="AN11" s="1176"/>
      <c r="AO11" s="1176"/>
      <c r="AP11" s="1176"/>
      <c r="AQ11" s="1176"/>
      <c r="AR11" s="1176"/>
      <c r="AS11" s="1176"/>
      <c r="AT11" s="1176"/>
      <c r="AU11" s="1176"/>
      <c r="AV11" s="1176"/>
      <c r="AW11" s="1176"/>
      <c r="AX11" s="1176"/>
      <c r="AY11" s="1176"/>
      <c r="AZ11" s="1176"/>
      <c r="BA11" s="1176"/>
      <c r="BB11" s="1176"/>
      <c r="BC11" s="1176"/>
      <c r="BD11" s="1176"/>
      <c r="BE11" s="1176"/>
      <c r="BF11" s="1176"/>
      <c r="BG11" s="1176"/>
      <c r="BH11" s="1176"/>
      <c r="BI11" s="1176"/>
      <c r="BJ11" s="1176"/>
      <c r="BK11" s="1176"/>
      <c r="BL11" s="1176"/>
      <c r="BM11" s="1176"/>
      <c r="BN11" s="1176"/>
      <c r="BO11" s="1176"/>
      <c r="BP11" s="1176"/>
      <c r="BQ11" s="1176"/>
      <c r="BR11" s="1176"/>
      <c r="BS11" s="1176"/>
      <c r="BT11" s="1176"/>
      <c r="BU11" s="1176"/>
      <c r="BV11" s="1176"/>
      <c r="BW11" s="1176"/>
      <c r="BX11" s="1176"/>
      <c r="BY11" s="1176"/>
      <c r="BZ11" s="1176"/>
      <c r="CA11" s="1176"/>
      <c r="CB11" s="1176"/>
      <c r="CC11" s="1176"/>
      <c r="CD11" s="1176"/>
      <c r="CE11" s="1176"/>
      <c r="CF11" s="1176"/>
      <c r="CG11" s="1176"/>
      <c r="CH11" s="1176"/>
      <c r="CI11" s="1176"/>
      <c r="CJ11" s="1176"/>
      <c r="CK11" s="1176"/>
    </row>
    <row r="12" spans="1:89" ht="35.25" customHeight="1" thickBot="1" x14ac:dyDescent="0.3">
      <c r="A12" s="1296"/>
      <c r="B12" s="1182"/>
      <c r="C12" s="1177" t="s">
        <v>1400</v>
      </c>
      <c r="D12" s="1177" t="s">
        <v>1510</v>
      </c>
      <c r="E12" s="1177" t="s">
        <v>767</v>
      </c>
      <c r="F12" s="1177" t="s">
        <v>1515</v>
      </c>
      <c r="G12" s="1177" t="s">
        <v>1833</v>
      </c>
      <c r="H12" s="1178" t="s">
        <v>1834</v>
      </c>
      <c r="I12" s="1178" t="s">
        <v>1835</v>
      </c>
      <c r="J12" s="1177" t="s">
        <v>1836</v>
      </c>
      <c r="K12" s="1178" t="s">
        <v>1414</v>
      </c>
      <c r="L12" s="1178" t="s">
        <v>1398</v>
      </c>
      <c r="M12" s="1177" t="s">
        <v>1399</v>
      </c>
      <c r="N12" s="1177" t="s">
        <v>722</v>
      </c>
      <c r="O12" s="1177" t="s">
        <v>723</v>
      </c>
      <c r="P12" s="1178" t="s">
        <v>1514</v>
      </c>
      <c r="Q12" s="1183"/>
      <c r="R12" s="1183"/>
      <c r="S12" s="1296"/>
      <c r="T12" s="1182"/>
      <c r="U12" s="1177" t="s">
        <v>1400</v>
      </c>
      <c r="V12" s="1177" t="s">
        <v>1510</v>
      </c>
      <c r="W12" s="1177" t="s">
        <v>767</v>
      </c>
      <c r="X12" s="1177" t="s">
        <v>1515</v>
      </c>
      <c r="Y12" s="1177" t="s">
        <v>1833</v>
      </c>
      <c r="Z12" s="1178" t="s">
        <v>1834</v>
      </c>
      <c r="AA12" s="1178" t="s">
        <v>1835</v>
      </c>
      <c r="AB12" s="1177" t="s">
        <v>1836</v>
      </c>
      <c r="AC12" s="1178" t="s">
        <v>1414</v>
      </c>
      <c r="AD12" s="1178" t="s">
        <v>1398</v>
      </c>
      <c r="AE12" s="1177" t="s">
        <v>1399</v>
      </c>
      <c r="AF12" s="1177" t="s">
        <v>722</v>
      </c>
      <c r="AG12" s="1177" t="s">
        <v>723</v>
      </c>
      <c r="AH12" s="1178" t="s">
        <v>1514</v>
      </c>
      <c r="AI12" s="1296"/>
      <c r="AJ12" s="1296"/>
      <c r="AK12" s="1296"/>
      <c r="AL12" s="1296"/>
      <c r="AM12" s="1296"/>
      <c r="AN12" s="1296"/>
      <c r="AO12" s="1296"/>
      <c r="AP12" s="1296"/>
      <c r="AQ12" s="1296"/>
      <c r="AR12" s="1296"/>
      <c r="AS12" s="1296"/>
      <c r="AT12" s="1296"/>
      <c r="AU12" s="1296"/>
      <c r="AV12" s="1296"/>
      <c r="AW12" s="1296"/>
      <c r="AX12" s="1296"/>
      <c r="AY12" s="1296"/>
      <c r="AZ12" s="1296"/>
      <c r="BA12" s="1296"/>
      <c r="BB12" s="1296"/>
      <c r="BC12" s="1296"/>
      <c r="BD12" s="1296"/>
      <c r="BE12" s="1296"/>
      <c r="BF12" s="1296"/>
      <c r="BG12" s="1296"/>
      <c r="BH12" s="1296"/>
      <c r="BI12" s="1296"/>
      <c r="BJ12" s="1296"/>
      <c r="BK12" s="1296"/>
      <c r="BL12" s="1296"/>
      <c r="BM12" s="1296"/>
      <c r="BN12" s="1296"/>
      <c r="BO12" s="1296"/>
      <c r="BP12" s="1296"/>
      <c r="BQ12" s="1296"/>
      <c r="BR12" s="1296"/>
      <c r="BS12" s="1296"/>
      <c r="BT12" s="1296"/>
      <c r="BU12" s="1296"/>
      <c r="BV12" s="1296"/>
      <c r="BW12" s="1296"/>
      <c r="BX12" s="1296"/>
      <c r="BY12" s="1296"/>
      <c r="BZ12" s="1296"/>
      <c r="CA12" s="1296"/>
      <c r="CB12" s="1296"/>
      <c r="CC12" s="1296"/>
      <c r="CD12" s="1296"/>
      <c r="CE12" s="1296"/>
      <c r="CF12" s="1296"/>
      <c r="CG12" s="1296"/>
      <c r="CH12" s="1296"/>
      <c r="CI12" s="1296"/>
      <c r="CJ12" s="1296"/>
      <c r="CK12" s="1296"/>
    </row>
    <row r="13" spans="1:89" ht="65.25" customHeight="1" thickBot="1" x14ac:dyDescent="0.3">
      <c r="A13" s="1296"/>
      <c r="B13" s="1184" t="s">
        <v>1837</v>
      </c>
      <c r="C13" s="1185" t="s">
        <v>1504</v>
      </c>
      <c r="D13" s="1186">
        <v>1201</v>
      </c>
      <c r="E13" s="1181" t="s">
        <v>1906</v>
      </c>
      <c r="F13" s="1181" t="s">
        <v>1516</v>
      </c>
      <c r="G13" s="1187" t="str" cm="1">
        <f t="array" aca="1" ref="G13" ca="1">INDIRECT("'Incentives Worksheet'!P"&amp;'Configurable Tab'!H3+3)</f>
        <v>Same as Payout Cycle</v>
      </c>
      <c r="H13" s="1179" t="str" cm="1">
        <f t="array" aca="1" ref="H13" ca="1">IF(ISBLANK(INDIRECT("'Incentives Worksheet'!H"&amp;'Configurable Tab'!H3+3)),"",INDIRECT("'Incentives Worksheet'!H"&amp;'Configurable Tab'!H3+3))</f>
        <v/>
      </c>
      <c r="I13" s="1187" t="str" cm="1">
        <f t="array" aca="1" ref="I13" ca="1">IF(INDIRECT("'Incentives Worksheet'!R"&amp;'Configurable Tab'!H3+3)="USF Calendar","Fiscal",INDIRECT("'Incentives Worksheet'!R"&amp;'Configurable Tab'!H3+3))</f>
        <v>Fiscal</v>
      </c>
      <c r="J13" s="1179" t="str" cm="1">
        <f t="array" aca="1" ref="J13" ca="1">IF(INDIRECT("'Incentives Worksheet'!T"&amp;'Configurable Tab'!H3+3)="Yes","Post to GL","")</f>
        <v/>
      </c>
      <c r="K13" s="1179" t="str" cm="1">
        <f t="array" aca="1" ref="K13" ca="1">IF(ISBLANK(INDIRECT("'Incentives Worksheet'!L"&amp;'Configurable Tab'!H3+3)),"",INDIRECT("'Incentives Worksheet'!L"&amp;'Configurable Tab'!H3+3))</f>
        <v/>
      </c>
      <c r="L13" s="1179" t="str" cm="1">
        <f t="array" aca="1" ref="L13" ca="1">IF(ISBLANK(INDIRECT("'Incentives Worksheet'!J"&amp;'Configurable Tab'!H3+3)),"",INDIRECT("'Incentives Worksheet'!J"&amp;'Configurable Tab'!H3+3))</f>
        <v/>
      </c>
      <c r="M13" s="1179" t="str" cm="1">
        <f t="array" aca="1" ref="M13" ca="1">IF(ISBLANK(INDIRECT("'Incentives Worksheet'!N"&amp;'Configurable Tab'!H3+3)),"",INDIRECT("'Incentives Worksheet'!N"&amp;'Configurable Tab'!H3+3))</f>
        <v/>
      </c>
      <c r="N13" s="1180" t="str" cm="1">
        <f t="array" aca="1" ref="N13" ca="1">INDIRECT("'Incentives Worksheet'!D"&amp;'Configurable Tab'!H3+6)</f>
        <v/>
      </c>
      <c r="O13" s="1180" t="str" cm="1">
        <f t="array" aca="1" ref="O13" ca="1">INDIRECT("'Incentives Worksheet'!D"&amp;'Configurable Tab'!H3+8)</f>
        <v/>
      </c>
      <c r="P13" s="1179" t="str" cm="1">
        <f t="array" aca="1" ref="P13" ca="1">IF(INDIRECT("'Incentives Worksheet'!D"&amp;'Configurable Tab'!H3+10)="No","Update tracking dates",INDIRECT("'Incentives Worksheet'!D"&amp;'Configurable Tab'!H3+10))</f>
        <v>Yes</v>
      </c>
      <c r="Q13" s="1188"/>
      <c r="R13" s="1188"/>
      <c r="S13" s="1296"/>
      <c r="T13" s="1184" t="s">
        <v>1837</v>
      </c>
      <c r="U13" s="1185" t="s">
        <v>1504</v>
      </c>
      <c r="V13" s="1186">
        <v>1202</v>
      </c>
      <c r="W13" s="1181" t="s">
        <v>1906</v>
      </c>
      <c r="X13" s="1181" t="s">
        <v>1516</v>
      </c>
      <c r="Y13" s="1179" t="str" cm="1">
        <f t="array" aca="1" ref="Y13" ca="1">INDIRECT("'Incentives Worksheet'!P"&amp;'Configurable Tab'!H4+3)</f>
        <v>Same as Payout Cycle</v>
      </c>
      <c r="Z13" s="1179" t="str" cm="1">
        <f t="array" aca="1" ref="Z13" ca="1">IF(ISBLANK(INDIRECT("'Incentives Worksheet'!H"&amp;'Configurable Tab'!H4+3)),"",INDIRECT("'Incentives Worksheet'!H"&amp;'Configurable Tab'!H4+3))</f>
        <v/>
      </c>
      <c r="AA13" s="1179" t="str" cm="1">
        <f t="array" aca="1" ref="AA13" ca="1">IF(INDIRECT("'Incentives Worksheet'!R"&amp;'Configurable Tab'!H4+3)="USF Calendar","Fiscal",INDIRECT("'Incentives Worksheet'!R"&amp;'Configurable Tab'!H4+3))</f>
        <v>Fiscal</v>
      </c>
      <c r="AB13" s="1179" t="str" cm="1">
        <f t="array" aca="1" ref="AB13" ca="1">IF(INDIRECT("'Incentives Worksheet'!T"&amp;'Configurable Tab'!H4+3)="Yes","Post to GL","")</f>
        <v/>
      </c>
      <c r="AC13" s="1179" t="str" cm="1">
        <f t="array" aca="1" ref="AC13" ca="1">IF(ISBLANK(INDIRECT("'Incentives Worksheet'!L"&amp;'Configurable Tab'!H4+3)),"",INDIRECT("'Incentives Worksheet'!L"&amp;'Configurable Tab'!H4+3))</f>
        <v/>
      </c>
      <c r="AD13" s="1179" t="str" cm="1">
        <f t="array" aca="1" ref="AD13" ca="1">IF(ISBLANK(INDIRECT("'Incentives Worksheet'!J"&amp;'Configurable Tab'!H3+3)),"",INDIRECT("'Incentives Worksheet'!J"&amp;'Configurable Tab'!H3+3))</f>
        <v/>
      </c>
      <c r="AE13" s="1179" t="str" cm="1">
        <f t="array" aca="1" ref="AE13" ca="1">IF(ISBLANK(INDIRECT("'Incentives Worksheet'!N"&amp;'Configurable Tab'!H4+3)),"",INDIRECT("'Incentives Worksheet'!N"&amp;'Configurable Tab'!H4+3))</f>
        <v/>
      </c>
      <c r="AF13" s="1180" t="str" cm="1">
        <f t="array" aca="1" ref="AF13" ca="1">INDIRECT("'Incentives Worksheet'!D"&amp;'Configurable Tab'!H4+6)</f>
        <v/>
      </c>
      <c r="AG13" s="1180" t="str" cm="1">
        <f t="array" aca="1" ref="AG13" ca="1">INDIRECT("'Incentives Worksheet'!D"&amp;'Configurable Tab'!H4+8)</f>
        <v/>
      </c>
      <c r="AH13" s="1179" t="str" cm="1">
        <f t="array" aca="1" ref="AH13" ca="1">IF(INDIRECT("'Incentives Worksheet'!D"&amp;'Configurable Tab'!H4+10)="No","Update tracking dates",INDIRECT("'Incentives Worksheet'!D"&amp;'Configurable Tab'!H4+10))</f>
        <v>Yes</v>
      </c>
      <c r="AI13" s="1296"/>
      <c r="AJ13" s="1296"/>
      <c r="AK13" s="1296"/>
      <c r="AL13" s="1296"/>
      <c r="AM13" s="1296"/>
      <c r="AN13" s="1296"/>
      <c r="AO13" s="1296"/>
      <c r="AP13" s="1296"/>
      <c r="AQ13" s="1296"/>
      <c r="AR13" s="1296"/>
      <c r="AS13" s="1296"/>
      <c r="AT13" s="1296"/>
      <c r="AU13" s="1296"/>
      <c r="AV13" s="1296"/>
      <c r="AW13" s="1296"/>
      <c r="AX13" s="1296"/>
      <c r="AY13" s="1296"/>
      <c r="AZ13" s="1296"/>
      <c r="BA13" s="1296"/>
      <c r="BB13" s="1296"/>
      <c r="BC13" s="1296"/>
      <c r="BD13" s="1296"/>
      <c r="BE13" s="1296"/>
      <c r="BF13" s="1296"/>
      <c r="BG13" s="1296"/>
      <c r="BH13" s="1296"/>
      <c r="BI13" s="1296"/>
      <c r="BJ13" s="1296"/>
      <c r="BK13" s="1296"/>
      <c r="BL13" s="1296"/>
      <c r="BM13" s="1296"/>
      <c r="BN13" s="1296"/>
      <c r="BO13" s="1296"/>
      <c r="BP13" s="1296"/>
      <c r="BQ13" s="1296"/>
      <c r="BR13" s="1296"/>
      <c r="BS13" s="1296"/>
      <c r="BT13" s="1296"/>
      <c r="BU13" s="1296"/>
      <c r="BV13" s="1296"/>
      <c r="BW13" s="1296"/>
      <c r="BX13" s="1296"/>
      <c r="BY13" s="1296"/>
      <c r="BZ13" s="1296"/>
      <c r="CA13" s="1296"/>
      <c r="CB13" s="1296"/>
      <c r="CC13" s="1296"/>
      <c r="CD13" s="1296"/>
      <c r="CE13" s="1296"/>
      <c r="CF13" s="1296"/>
      <c r="CG13" s="1296"/>
      <c r="CH13" s="1296"/>
      <c r="CI13" s="1296"/>
      <c r="CJ13" s="1296"/>
      <c r="CK13" s="1296"/>
    </row>
    <row r="14" spans="1:89" ht="30.75" customHeight="1" thickBot="1" x14ac:dyDescent="0.3">
      <c r="A14" s="1296"/>
      <c r="B14" s="1727" t="s">
        <v>1838</v>
      </c>
      <c r="C14" s="1177" t="s">
        <v>1839</v>
      </c>
      <c r="D14" s="1178" t="s">
        <v>1840</v>
      </c>
      <c r="E14" s="1188"/>
      <c r="F14" s="1188"/>
      <c r="G14" s="1188"/>
      <c r="H14" s="1188"/>
      <c r="I14" s="1188"/>
      <c r="J14" s="1188"/>
      <c r="K14" s="1188"/>
      <c r="L14" s="1188"/>
      <c r="M14" s="1188"/>
      <c r="N14" s="1188"/>
      <c r="O14" s="1188"/>
      <c r="P14" s="1189"/>
      <c r="Q14" s="1188"/>
      <c r="R14" s="1188"/>
      <c r="S14" s="1188"/>
      <c r="T14" s="1727" t="s">
        <v>1838</v>
      </c>
      <c r="U14" s="1177" t="s">
        <v>1839</v>
      </c>
      <c r="V14" s="1178" t="s">
        <v>1840</v>
      </c>
      <c r="W14" s="1188"/>
      <c r="X14" s="1188"/>
      <c r="Y14" s="1188"/>
      <c r="Z14" s="1188"/>
      <c r="AA14" s="1188"/>
      <c r="AB14" s="1188"/>
      <c r="AC14" s="1188"/>
      <c r="AD14" s="1188"/>
      <c r="AE14" s="1188"/>
      <c r="AF14" s="1188"/>
      <c r="AG14" s="1188"/>
      <c r="AH14" s="1189"/>
      <c r="AI14" s="1296"/>
      <c r="AJ14" s="1296"/>
      <c r="AK14" s="1296"/>
      <c r="AL14" s="1296"/>
      <c r="AM14" s="1296"/>
      <c r="AN14" s="1296"/>
      <c r="AO14" s="1296"/>
      <c r="AP14" s="1296"/>
      <c r="AQ14" s="1296"/>
      <c r="AR14" s="1296"/>
      <c r="AS14" s="1296"/>
      <c r="AT14" s="1296"/>
      <c r="AU14" s="1296"/>
      <c r="AV14" s="1296"/>
      <c r="AW14" s="1296"/>
      <c r="AX14" s="1296"/>
      <c r="AY14" s="1296"/>
      <c r="AZ14" s="1296"/>
      <c r="BA14" s="1296"/>
      <c r="BB14" s="1296"/>
      <c r="BC14" s="1296"/>
      <c r="BD14" s="1296"/>
      <c r="BE14" s="1296"/>
      <c r="BF14" s="1296"/>
      <c r="BG14" s="1296"/>
      <c r="BH14" s="1296"/>
      <c r="BI14" s="1296"/>
      <c r="BJ14" s="1296"/>
      <c r="BK14" s="1296"/>
      <c r="BL14" s="1296"/>
      <c r="BM14" s="1296"/>
      <c r="BN14" s="1296"/>
      <c r="BO14" s="1296"/>
      <c r="BP14" s="1296"/>
      <c r="BQ14" s="1296"/>
      <c r="BR14" s="1296"/>
      <c r="BS14" s="1296"/>
      <c r="BT14" s="1296"/>
      <c r="BU14" s="1296"/>
      <c r="BV14" s="1296"/>
      <c r="BW14" s="1296"/>
      <c r="BX14" s="1296"/>
      <c r="BY14" s="1296"/>
      <c r="BZ14" s="1296"/>
      <c r="CA14" s="1296"/>
      <c r="CB14" s="1296"/>
      <c r="CC14" s="1296"/>
      <c r="CD14" s="1296"/>
      <c r="CE14" s="1296"/>
      <c r="CF14" s="1296"/>
      <c r="CG14" s="1296"/>
      <c r="CH14" s="1296"/>
      <c r="CI14" s="1296"/>
      <c r="CJ14" s="1296"/>
      <c r="CK14" s="1296"/>
    </row>
    <row r="15" spans="1:89" ht="15.75" thickBot="1" x14ac:dyDescent="0.3">
      <c r="A15" s="1296"/>
      <c r="B15" s="1728"/>
      <c r="C15" s="1190" t="s">
        <v>1841</v>
      </c>
      <c r="D15" s="1190" t="str" cm="1">
        <f t="array" aca="1" ref="D15" ca="1">IF(ISBLANK(INDIRECT("'Incentives Worksheet'!L"&amp;'Configurable Tab'!H3+6)),"",INDIRECT("'Incentives Worksheet'!L"&amp;'Configurable Tab'!H3+6))</f>
        <v/>
      </c>
      <c r="E15" s="1188"/>
      <c r="F15" s="1188"/>
      <c r="G15" s="1188"/>
      <c r="H15" s="1188"/>
      <c r="I15" s="1188"/>
      <c r="J15" s="1188"/>
      <c r="K15" s="1188"/>
      <c r="L15" s="1188"/>
      <c r="M15" s="1188"/>
      <c r="N15" s="1188"/>
      <c r="O15" s="1188"/>
      <c r="P15" s="1189"/>
      <c r="Q15" s="1188"/>
      <c r="R15" s="1188"/>
      <c r="S15" s="1188"/>
      <c r="T15" s="1728"/>
      <c r="U15" s="1190" t="s">
        <v>1841</v>
      </c>
      <c r="V15" s="1190" t="str" cm="1">
        <f t="array" aca="1" ref="V15" ca="1">IF(ISBLANK(INDIRECT("'Incentives Worksheet'!L"&amp;'Configurable Tab'!H4+6)),"",INDIRECT("'Incentives Worksheet'!L"&amp;'Configurable Tab'!H4+6))</f>
        <v/>
      </c>
      <c r="W15" s="1188"/>
      <c r="X15" s="1188"/>
      <c r="Y15" s="1188"/>
      <c r="Z15" s="1188"/>
      <c r="AA15" s="1188"/>
      <c r="AB15" s="1188"/>
      <c r="AC15" s="1188"/>
      <c r="AD15" s="1188"/>
      <c r="AE15" s="1188"/>
      <c r="AF15" s="1188"/>
      <c r="AG15" s="1188"/>
      <c r="AH15" s="1189"/>
      <c r="AI15" s="1296"/>
      <c r="AJ15" s="1296"/>
      <c r="AK15" s="1296"/>
      <c r="AL15" s="1296"/>
      <c r="AM15" s="1296"/>
      <c r="AN15" s="1296"/>
      <c r="AO15" s="1296"/>
      <c r="AP15" s="1296"/>
      <c r="AQ15" s="1296"/>
      <c r="AR15" s="1296"/>
      <c r="AS15" s="1296"/>
      <c r="AT15" s="1296"/>
      <c r="AU15" s="1296"/>
      <c r="AV15" s="1296"/>
      <c r="AW15" s="1296"/>
      <c r="AX15" s="1296"/>
      <c r="AY15" s="1296"/>
      <c r="AZ15" s="1296"/>
      <c r="BA15" s="1296"/>
      <c r="BB15" s="1296"/>
      <c r="BC15" s="1296"/>
      <c r="BD15" s="1296"/>
      <c r="BE15" s="1296"/>
      <c r="BF15" s="1296"/>
      <c r="BG15" s="1296"/>
      <c r="BH15" s="1296"/>
      <c r="BI15" s="1296"/>
      <c r="BJ15" s="1296"/>
      <c r="BK15" s="1296"/>
      <c r="BL15" s="1296"/>
      <c r="BM15" s="1296"/>
      <c r="BN15" s="1296"/>
      <c r="BO15" s="1296"/>
      <c r="BP15" s="1296"/>
      <c r="BQ15" s="1296"/>
      <c r="BR15" s="1296"/>
      <c r="BS15" s="1296"/>
      <c r="BT15" s="1296"/>
      <c r="BU15" s="1296"/>
      <c r="BV15" s="1296"/>
      <c r="BW15" s="1296"/>
      <c r="BX15" s="1296"/>
      <c r="BY15" s="1296"/>
      <c r="BZ15" s="1296"/>
      <c r="CA15" s="1296"/>
      <c r="CB15" s="1296"/>
      <c r="CC15" s="1296"/>
      <c r="CD15" s="1296"/>
      <c r="CE15" s="1296"/>
      <c r="CF15" s="1296"/>
      <c r="CG15" s="1296"/>
      <c r="CH15" s="1296"/>
      <c r="CI15" s="1296"/>
      <c r="CJ15" s="1296"/>
      <c r="CK15" s="1296"/>
    </row>
    <row r="16" spans="1:89" ht="15.75" customHeight="1" thickBot="1" x14ac:dyDescent="0.3">
      <c r="A16" s="1296"/>
      <c r="B16" s="1723" t="s">
        <v>1842</v>
      </c>
      <c r="C16" s="1191" t="s">
        <v>1843</v>
      </c>
      <c r="D16" s="1192" t="s">
        <v>131</v>
      </c>
      <c r="E16" s="1192" t="s">
        <v>1844</v>
      </c>
      <c r="F16" s="1296"/>
      <c r="G16" s="1296"/>
      <c r="H16" s="1296"/>
      <c r="I16" s="1296"/>
      <c r="J16" s="1296"/>
      <c r="K16" s="1296"/>
      <c r="L16" s="1296"/>
      <c r="M16" s="1296"/>
      <c r="N16" s="1296"/>
      <c r="O16" s="1296"/>
      <c r="P16" s="138"/>
      <c r="Q16" s="1296"/>
      <c r="R16" s="1296"/>
      <c r="S16" s="1296"/>
      <c r="T16" s="1723" t="s">
        <v>1842</v>
      </c>
      <c r="U16" s="1191" t="s">
        <v>1843</v>
      </c>
      <c r="V16" s="1192" t="s">
        <v>131</v>
      </c>
      <c r="W16" s="1192" t="s">
        <v>1844</v>
      </c>
      <c r="X16" s="1296"/>
      <c r="Y16" s="1296"/>
      <c r="Z16" s="1296"/>
      <c r="AA16" s="1296"/>
      <c r="AB16" s="1296"/>
      <c r="AC16" s="1296"/>
      <c r="AD16" s="1296"/>
      <c r="AE16" s="1296"/>
      <c r="AF16" s="1296"/>
      <c r="AG16" s="1296"/>
      <c r="AH16" s="138"/>
      <c r="AI16" s="1296"/>
      <c r="AJ16" s="1296"/>
      <c r="AK16" s="1296"/>
      <c r="AL16" s="1296"/>
      <c r="AM16" s="1296"/>
      <c r="AN16" s="1296"/>
      <c r="AO16" s="1296"/>
      <c r="AP16" s="1296"/>
      <c r="AQ16" s="1296"/>
      <c r="AR16" s="1296"/>
      <c r="AS16" s="1296"/>
      <c r="AT16" s="1296"/>
      <c r="AU16" s="1296"/>
      <c r="AV16" s="1296"/>
      <c r="AW16" s="1296"/>
      <c r="AX16" s="1296"/>
      <c r="AY16" s="1296"/>
      <c r="AZ16" s="1296"/>
      <c r="BA16" s="1296"/>
      <c r="BB16" s="1296"/>
      <c r="BC16" s="1296"/>
      <c r="BD16" s="1296"/>
      <c r="BE16" s="1296"/>
      <c r="BF16" s="1296"/>
      <c r="BG16" s="1296"/>
      <c r="BH16" s="1296"/>
      <c r="BI16" s="1296"/>
      <c r="BJ16" s="1296"/>
      <c r="BK16" s="1296"/>
      <c r="BL16" s="1296"/>
      <c r="BM16" s="1296"/>
      <c r="BN16" s="1296"/>
      <c r="BO16" s="1296"/>
      <c r="BP16" s="1296"/>
      <c r="BQ16" s="1296"/>
      <c r="BR16" s="1296"/>
      <c r="BS16" s="1296"/>
      <c r="BT16" s="1296"/>
      <c r="BU16" s="1296"/>
      <c r="BV16" s="1296"/>
      <c r="BW16" s="1296"/>
      <c r="BX16" s="1296"/>
      <c r="BY16" s="1296"/>
      <c r="BZ16" s="1296"/>
      <c r="CA16" s="1296"/>
      <c r="CB16" s="1296"/>
      <c r="CC16" s="1296"/>
      <c r="CD16" s="1296"/>
      <c r="CE16" s="1296"/>
      <c r="CF16" s="1296"/>
      <c r="CG16" s="1296"/>
      <c r="CH16" s="1296"/>
      <c r="CI16" s="1296"/>
      <c r="CJ16" s="1296"/>
      <c r="CK16" s="1296"/>
    </row>
    <row r="17" spans="1:89" x14ac:dyDescent="0.25">
      <c r="A17" s="1296"/>
      <c r="B17" s="1721"/>
      <c r="C17" s="1193" t="s">
        <v>1845</v>
      </c>
      <c r="D17" s="1193" t="s">
        <v>1846</v>
      </c>
      <c r="E17" s="1194"/>
      <c r="F17" s="1296"/>
      <c r="G17" s="1296"/>
      <c r="H17" s="1296"/>
      <c r="I17" s="1296"/>
      <c r="J17" s="1296"/>
      <c r="K17" s="1296"/>
      <c r="L17" s="1296"/>
      <c r="M17" s="1296"/>
      <c r="N17" s="1296"/>
      <c r="O17" s="1296"/>
      <c r="P17" s="138"/>
      <c r="Q17" s="1296"/>
      <c r="R17" s="1296"/>
      <c r="S17" s="1296"/>
      <c r="T17" s="1721"/>
      <c r="U17" s="1193" t="s">
        <v>1845</v>
      </c>
      <c r="V17" s="1193" t="s">
        <v>1846</v>
      </c>
      <c r="W17" s="1194"/>
      <c r="X17" s="1296"/>
      <c r="Y17" s="1296"/>
      <c r="Z17" s="1296"/>
      <c r="AA17" s="1296"/>
      <c r="AB17" s="1296"/>
      <c r="AC17" s="1296"/>
      <c r="AD17" s="1296"/>
      <c r="AE17" s="1296"/>
      <c r="AF17" s="1296"/>
      <c r="AG17" s="1296"/>
      <c r="AH17" s="138"/>
      <c r="AI17" s="1296"/>
      <c r="AJ17" s="1296"/>
      <c r="AK17" s="1296"/>
      <c r="AL17" s="1296"/>
      <c r="AM17" s="1296"/>
      <c r="AN17" s="1296"/>
      <c r="AO17" s="1296"/>
      <c r="AP17" s="1296"/>
      <c r="AQ17" s="1296"/>
      <c r="AR17" s="1296"/>
      <c r="AS17" s="1296"/>
      <c r="AT17" s="1296"/>
      <c r="AU17" s="1296"/>
      <c r="AV17" s="1296"/>
      <c r="AW17" s="1296"/>
      <c r="AX17" s="1296"/>
      <c r="AY17" s="1296"/>
      <c r="AZ17" s="1296"/>
      <c r="BA17" s="1296"/>
      <c r="BB17" s="1296"/>
      <c r="BC17" s="1296"/>
      <c r="BD17" s="1296"/>
      <c r="BE17" s="1296"/>
      <c r="BF17" s="1296"/>
      <c r="BG17" s="1296"/>
      <c r="BH17" s="1296"/>
      <c r="BI17" s="1296"/>
      <c r="BJ17" s="1296"/>
      <c r="BK17" s="1296"/>
      <c r="BL17" s="1296"/>
      <c r="BM17" s="1296"/>
      <c r="BN17" s="1296"/>
      <c r="BO17" s="1296"/>
      <c r="BP17" s="1296"/>
      <c r="BQ17" s="1296"/>
      <c r="BR17" s="1296"/>
      <c r="BS17" s="1296"/>
      <c r="BT17" s="1296"/>
      <c r="BU17" s="1296"/>
      <c r="BV17" s="1296"/>
      <c r="BW17" s="1296"/>
      <c r="BX17" s="1296"/>
      <c r="BY17" s="1296"/>
      <c r="BZ17" s="1296"/>
      <c r="CA17" s="1296"/>
      <c r="CB17" s="1296"/>
      <c r="CC17" s="1296"/>
      <c r="CD17" s="1296"/>
      <c r="CE17" s="1296"/>
      <c r="CF17" s="1296"/>
      <c r="CG17" s="1296"/>
      <c r="CH17" s="1296"/>
      <c r="CI17" s="1296"/>
      <c r="CJ17" s="1296"/>
      <c r="CK17" s="1296"/>
    </row>
    <row r="18" spans="1:89" x14ac:dyDescent="0.25">
      <c r="A18" s="1296"/>
      <c r="B18" s="1721"/>
      <c r="C18" s="1195" t="s">
        <v>1845</v>
      </c>
      <c r="D18" s="1195" t="s">
        <v>1847</v>
      </c>
      <c r="E18" s="1196" t="s">
        <v>1848</v>
      </c>
      <c r="F18" s="1296"/>
      <c r="G18" s="1296"/>
      <c r="H18" s="1296"/>
      <c r="I18" s="1296"/>
      <c r="J18" s="1296"/>
      <c r="K18" s="1296"/>
      <c r="L18" s="1296"/>
      <c r="M18" s="1296"/>
      <c r="N18" s="1296"/>
      <c r="O18" s="1296"/>
      <c r="P18" s="138"/>
      <c r="Q18" s="1296"/>
      <c r="R18" s="1296"/>
      <c r="S18" s="1296"/>
      <c r="T18" s="1721"/>
      <c r="U18" s="1195" t="s">
        <v>1845</v>
      </c>
      <c r="V18" s="1195" t="s">
        <v>1847</v>
      </c>
      <c r="W18" s="1196" t="s">
        <v>1848</v>
      </c>
      <c r="X18" s="1296"/>
      <c r="Y18" s="1296"/>
      <c r="Z18" s="1296"/>
      <c r="AA18" s="1296"/>
      <c r="AB18" s="1296"/>
      <c r="AC18" s="1296"/>
      <c r="AD18" s="1296"/>
      <c r="AE18" s="1296"/>
      <c r="AF18" s="1296"/>
      <c r="AG18" s="1296"/>
      <c r="AH18" s="138"/>
      <c r="AI18" s="1296"/>
      <c r="AJ18" s="1296"/>
      <c r="AK18" s="1296"/>
      <c r="AL18" s="1296"/>
      <c r="AM18" s="1296"/>
      <c r="AN18" s="1296"/>
      <c r="AO18" s="1296"/>
      <c r="AP18" s="1296"/>
      <c r="AQ18" s="1296"/>
      <c r="AR18" s="1296"/>
      <c r="AS18" s="1296"/>
      <c r="AT18" s="1296"/>
      <c r="AU18" s="1296"/>
      <c r="AV18" s="1296"/>
      <c r="AW18" s="1296"/>
      <c r="AX18" s="1296"/>
      <c r="AY18" s="1296"/>
      <c r="AZ18" s="1296"/>
      <c r="BA18" s="1296"/>
      <c r="BB18" s="1296"/>
      <c r="BC18" s="1296"/>
      <c r="BD18" s="1296"/>
      <c r="BE18" s="1296"/>
      <c r="BF18" s="1296"/>
      <c r="BG18" s="1296"/>
      <c r="BH18" s="1296"/>
      <c r="BI18" s="1296"/>
      <c r="BJ18" s="1296"/>
      <c r="BK18" s="1296"/>
      <c r="BL18" s="1296"/>
      <c r="BM18" s="1296"/>
      <c r="BN18" s="1296"/>
      <c r="BO18" s="1296"/>
      <c r="BP18" s="1296"/>
      <c r="BQ18" s="1296"/>
      <c r="BR18" s="1296"/>
      <c r="BS18" s="1296"/>
      <c r="BT18" s="1296"/>
      <c r="BU18" s="1296"/>
      <c r="BV18" s="1296"/>
      <c r="BW18" s="1296"/>
      <c r="BX18" s="1296"/>
      <c r="BY18" s="1296"/>
      <c r="BZ18" s="1296"/>
      <c r="CA18" s="1296"/>
      <c r="CB18" s="1296"/>
      <c r="CC18" s="1296"/>
      <c r="CD18" s="1296"/>
      <c r="CE18" s="1296"/>
      <c r="CF18" s="1296"/>
      <c r="CG18" s="1296"/>
      <c r="CH18" s="1296"/>
      <c r="CI18" s="1296"/>
      <c r="CJ18" s="1296"/>
      <c r="CK18" s="1296"/>
    </row>
    <row r="19" spans="1:89" x14ac:dyDescent="0.25">
      <c r="A19" s="1296"/>
      <c r="B19" s="1721"/>
      <c r="C19" s="1195" t="s">
        <v>1845</v>
      </c>
      <c r="D19" s="1195" t="s">
        <v>1849</v>
      </c>
      <c r="E19" s="1196" t="s">
        <v>1718</v>
      </c>
      <c r="F19" s="1296"/>
      <c r="G19" s="1296"/>
      <c r="H19" s="1296"/>
      <c r="I19" s="1296"/>
      <c r="J19" s="1296"/>
      <c r="K19" s="1296"/>
      <c r="L19" s="1296"/>
      <c r="M19" s="1296"/>
      <c r="N19" s="1296"/>
      <c r="O19" s="1296"/>
      <c r="P19" s="138"/>
      <c r="Q19" s="1296"/>
      <c r="R19" s="1296"/>
      <c r="S19" s="1296"/>
      <c r="T19" s="1721"/>
      <c r="U19" s="1195" t="s">
        <v>1845</v>
      </c>
      <c r="V19" s="1195" t="s">
        <v>1849</v>
      </c>
      <c r="W19" s="1196" t="s">
        <v>1718</v>
      </c>
      <c r="X19" s="1296"/>
      <c r="Y19" s="1296"/>
      <c r="Z19" s="1296"/>
      <c r="AA19" s="1296"/>
      <c r="AB19" s="1296"/>
      <c r="AC19" s="1296"/>
      <c r="AD19" s="1296"/>
      <c r="AE19" s="1296"/>
      <c r="AF19" s="1296"/>
      <c r="AG19" s="1296"/>
      <c r="AH19" s="138"/>
      <c r="AI19" s="1296"/>
      <c r="AJ19" s="1296"/>
      <c r="AK19" s="1296"/>
      <c r="AL19" s="1296"/>
      <c r="AM19" s="1296"/>
      <c r="AN19" s="1296"/>
      <c r="AO19" s="1296"/>
      <c r="AP19" s="1296"/>
      <c r="AQ19" s="1296"/>
      <c r="AR19" s="1296"/>
      <c r="AS19" s="1296"/>
      <c r="AT19" s="1296"/>
      <c r="AU19" s="1296"/>
      <c r="AV19" s="1296"/>
      <c r="AW19" s="1296"/>
      <c r="AX19" s="1296"/>
      <c r="AY19" s="1296"/>
      <c r="AZ19" s="1296"/>
      <c r="BA19" s="1296"/>
      <c r="BB19" s="1296"/>
      <c r="BC19" s="1296"/>
      <c r="BD19" s="1296"/>
      <c r="BE19" s="1296"/>
      <c r="BF19" s="1296"/>
      <c r="BG19" s="1296"/>
      <c r="BH19" s="1296"/>
      <c r="BI19" s="1296"/>
      <c r="BJ19" s="1296"/>
      <c r="BK19" s="1296"/>
      <c r="BL19" s="1296"/>
      <c r="BM19" s="1296"/>
      <c r="BN19" s="1296"/>
      <c r="BO19" s="1296"/>
      <c r="BP19" s="1296"/>
      <c r="BQ19" s="1296"/>
      <c r="BR19" s="1296"/>
      <c r="BS19" s="1296"/>
      <c r="BT19" s="1296"/>
      <c r="BU19" s="1296"/>
      <c r="BV19" s="1296"/>
      <c r="BW19" s="1296"/>
      <c r="BX19" s="1296"/>
      <c r="BY19" s="1296"/>
      <c r="BZ19" s="1296"/>
      <c r="CA19" s="1296"/>
      <c r="CB19" s="1296"/>
      <c r="CC19" s="1296"/>
      <c r="CD19" s="1296"/>
      <c r="CE19" s="1296"/>
      <c r="CF19" s="1296"/>
      <c r="CG19" s="1296"/>
      <c r="CH19" s="1296"/>
      <c r="CI19" s="1296"/>
      <c r="CJ19" s="1296"/>
      <c r="CK19" s="1296"/>
    </row>
    <row r="20" spans="1:89" ht="15.75" thickBot="1" x14ac:dyDescent="0.3">
      <c r="A20" s="1296"/>
      <c r="B20" s="1722"/>
      <c r="C20" s="1197" t="s">
        <v>1845</v>
      </c>
      <c r="D20" s="1197" t="s">
        <v>1850</v>
      </c>
      <c r="E20" s="1198" t="s">
        <v>1851</v>
      </c>
      <c r="F20" s="1296"/>
      <c r="G20" s="1296"/>
      <c r="H20" s="1296"/>
      <c r="I20" s="1296"/>
      <c r="J20" s="1296"/>
      <c r="K20" s="1296"/>
      <c r="L20" s="1296"/>
      <c r="M20" s="1296"/>
      <c r="N20" s="1296"/>
      <c r="O20" s="1296"/>
      <c r="P20" s="138"/>
      <c r="Q20" s="1296"/>
      <c r="R20" s="1296"/>
      <c r="S20" s="1296"/>
      <c r="T20" s="1722"/>
      <c r="U20" s="1197" t="s">
        <v>1845</v>
      </c>
      <c r="V20" s="1197" t="s">
        <v>1850</v>
      </c>
      <c r="W20" s="1198" t="s">
        <v>1851</v>
      </c>
      <c r="X20" s="1296"/>
      <c r="Y20" s="1296"/>
      <c r="Z20" s="1296"/>
      <c r="AA20" s="1296"/>
      <c r="AB20" s="1296"/>
      <c r="AC20" s="1296"/>
      <c r="AD20" s="1296"/>
      <c r="AE20" s="1296"/>
      <c r="AF20" s="1296"/>
      <c r="AG20" s="1296"/>
      <c r="AH20" s="138"/>
      <c r="AI20" s="1296"/>
      <c r="AJ20" s="1296"/>
      <c r="AK20" s="1296"/>
      <c r="AL20" s="1296"/>
      <c r="AM20" s="1296"/>
      <c r="AN20" s="1296"/>
      <c r="AO20" s="1296"/>
      <c r="AP20" s="1296"/>
      <c r="AQ20" s="1296"/>
      <c r="AR20" s="1296"/>
      <c r="AS20" s="1296"/>
      <c r="AT20" s="1296"/>
      <c r="AU20" s="1296"/>
      <c r="AV20" s="1296"/>
      <c r="AW20" s="1296"/>
      <c r="AX20" s="1296"/>
      <c r="AY20" s="1296"/>
      <c r="AZ20" s="1296"/>
      <c r="BA20" s="1296"/>
      <c r="BB20" s="1296"/>
      <c r="BC20" s="1296"/>
      <c r="BD20" s="1296"/>
      <c r="BE20" s="1296"/>
      <c r="BF20" s="1296"/>
      <c r="BG20" s="1296"/>
      <c r="BH20" s="1296"/>
      <c r="BI20" s="1296"/>
      <c r="BJ20" s="1296"/>
      <c r="BK20" s="1296"/>
      <c r="BL20" s="1296"/>
      <c r="BM20" s="1296"/>
      <c r="BN20" s="1296"/>
      <c r="BO20" s="1296"/>
      <c r="BP20" s="1296"/>
      <c r="BQ20" s="1296"/>
      <c r="BR20" s="1296"/>
      <c r="BS20" s="1296"/>
      <c r="BT20" s="1296"/>
      <c r="BU20" s="1296"/>
      <c r="BV20" s="1296"/>
      <c r="BW20" s="1296"/>
      <c r="BX20" s="1296"/>
      <c r="BY20" s="1296"/>
      <c r="BZ20" s="1296"/>
      <c r="CA20" s="1296"/>
      <c r="CB20" s="1296"/>
      <c r="CC20" s="1296"/>
      <c r="CD20" s="1296"/>
      <c r="CE20" s="1296"/>
      <c r="CF20" s="1296"/>
      <c r="CG20" s="1296"/>
      <c r="CH20" s="1296"/>
      <c r="CI20" s="1296"/>
      <c r="CJ20" s="1296"/>
      <c r="CK20" s="1296"/>
    </row>
    <row r="21" spans="1:89" ht="15.75" customHeight="1" thickBot="1" x14ac:dyDescent="0.3">
      <c r="A21" s="1296"/>
      <c r="B21" s="1719" t="s">
        <v>1852</v>
      </c>
      <c r="C21" s="1258" t="s">
        <v>1853</v>
      </c>
      <c r="D21" s="1200" t="s">
        <v>1843</v>
      </c>
      <c r="E21" s="1200" t="s">
        <v>131</v>
      </c>
      <c r="F21" s="1200" t="s">
        <v>1844</v>
      </c>
      <c r="G21" s="1200" t="s">
        <v>1854</v>
      </c>
      <c r="H21" s="1201" t="s">
        <v>1855</v>
      </c>
      <c r="I21" s="1202" t="s">
        <v>767</v>
      </c>
      <c r="J21" s="1202" t="s">
        <v>768</v>
      </c>
      <c r="K21" s="1202" t="s">
        <v>769</v>
      </c>
      <c r="L21" s="1202" t="s">
        <v>770</v>
      </c>
      <c r="M21" s="1202" t="s">
        <v>204</v>
      </c>
      <c r="N21" s="1296"/>
      <c r="O21" s="1296"/>
      <c r="P21" s="138"/>
      <c r="Q21" s="1296"/>
      <c r="R21" s="1296"/>
      <c r="S21" s="1296"/>
      <c r="T21" s="1719" t="s">
        <v>1852</v>
      </c>
      <c r="U21" s="1258" t="s">
        <v>1853</v>
      </c>
      <c r="V21" s="1200" t="s">
        <v>1843</v>
      </c>
      <c r="W21" s="1200" t="s">
        <v>131</v>
      </c>
      <c r="X21" s="1200" t="s">
        <v>1844</v>
      </c>
      <c r="Y21" s="1200" t="s">
        <v>1854</v>
      </c>
      <c r="Z21" s="1201" t="s">
        <v>1855</v>
      </c>
      <c r="AA21" s="1202" t="s">
        <v>767</v>
      </c>
      <c r="AB21" s="1202" t="s">
        <v>768</v>
      </c>
      <c r="AC21" s="1202" t="s">
        <v>769</v>
      </c>
      <c r="AD21" s="1202" t="s">
        <v>770</v>
      </c>
      <c r="AE21" s="1202" t="s">
        <v>204</v>
      </c>
      <c r="AF21" s="1296"/>
      <c r="AG21" s="1296"/>
      <c r="AH21" s="138"/>
      <c r="AI21" s="1296"/>
      <c r="AJ21" s="1296"/>
      <c r="AK21" s="1296"/>
      <c r="AL21" s="1296"/>
      <c r="AM21" s="1296"/>
      <c r="AN21" s="1296"/>
      <c r="AO21" s="1296"/>
      <c r="AP21" s="1296"/>
      <c r="AQ21" s="1296"/>
      <c r="AR21" s="1296"/>
      <c r="AS21" s="1296"/>
      <c r="AT21" s="1296"/>
      <c r="AU21" s="1296"/>
      <c r="AV21" s="1296"/>
      <c r="AW21" s="1296"/>
      <c r="AX21" s="1296"/>
      <c r="AY21" s="1296"/>
      <c r="AZ21" s="1296"/>
      <c r="BA21" s="1296"/>
      <c r="BB21" s="1296"/>
      <c r="BC21" s="1296"/>
      <c r="BD21" s="1296"/>
      <c r="BE21" s="1296"/>
      <c r="BF21" s="1296"/>
      <c r="BG21" s="1296"/>
      <c r="BH21" s="1296"/>
      <c r="BI21" s="1296"/>
      <c r="BJ21" s="1296"/>
      <c r="BK21" s="1296"/>
      <c r="BL21" s="1296"/>
      <c r="BM21" s="1296"/>
      <c r="BN21" s="1296"/>
      <c r="BO21" s="1296"/>
      <c r="BP21" s="1296"/>
      <c r="BQ21" s="1296"/>
      <c r="BR21" s="1296"/>
      <c r="BS21" s="1296"/>
      <c r="BT21" s="1296"/>
      <c r="BU21" s="1296"/>
      <c r="BV21" s="1296"/>
      <c r="BW21" s="1296"/>
      <c r="BX21" s="1296"/>
      <c r="BY21" s="1296"/>
      <c r="BZ21" s="1296"/>
      <c r="CA21" s="1296"/>
      <c r="CB21" s="1296"/>
      <c r="CC21" s="1296"/>
      <c r="CD21" s="1296"/>
      <c r="CE21" s="1296"/>
      <c r="CF21" s="1296"/>
      <c r="CG21" s="1296"/>
      <c r="CH21" s="1296"/>
      <c r="CI21" s="1296"/>
      <c r="CJ21" s="1296"/>
      <c r="CK21" s="1296"/>
    </row>
    <row r="22" spans="1:89" x14ac:dyDescent="0.25">
      <c r="A22" s="1296"/>
      <c r="B22" s="1721"/>
      <c r="C22" s="1199">
        <v>1</v>
      </c>
      <c r="D22" s="1196" t="s">
        <v>1856</v>
      </c>
      <c r="E22" s="1196" t="s">
        <v>1444</v>
      </c>
      <c r="F22" s="1196" t="str">
        <f>'Required Info to Submit'!E23</f>
        <v/>
      </c>
      <c r="G22" s="1393" t="str">
        <f>IF(F22="","",'Required Info to Submit'!K23)</f>
        <v/>
      </c>
      <c r="H22" s="1394" t="str">
        <f>IF(F22="","",'Required Info to Submit'!L23)</f>
        <v/>
      </c>
      <c r="I22" s="1196" t="str">
        <f>'Required Info to Submit'!F23</f>
        <v/>
      </c>
      <c r="J22" s="1196" t="str">
        <f>'Required Info to Submit'!G23</f>
        <v/>
      </c>
      <c r="K22" s="1196" t="str">
        <f>'Required Info to Submit'!H23</f>
        <v/>
      </c>
      <c r="L22" s="1196" t="str">
        <f>'Required Info to Submit'!I23</f>
        <v/>
      </c>
      <c r="M22" s="1196" t="str">
        <f>'Required Info to Submit'!J23</f>
        <v/>
      </c>
      <c r="N22" s="1296"/>
      <c r="O22" s="1296"/>
      <c r="P22" s="138"/>
      <c r="Q22" s="1296"/>
      <c r="R22" s="1296"/>
      <c r="S22" s="1296"/>
      <c r="T22" s="1721"/>
      <c r="U22" s="1203">
        <v>1</v>
      </c>
      <c r="V22" s="1204" t="s">
        <v>1856</v>
      </c>
      <c r="W22" s="1204" t="s">
        <v>1444</v>
      </c>
      <c r="X22" s="1204" t="str">
        <f>'Required Info to Submit'!E23</f>
        <v/>
      </c>
      <c r="Y22" s="1400" t="str">
        <f>IF(X22="","",'Required Info to Submit'!K23)</f>
        <v/>
      </c>
      <c r="Z22" s="1401" t="str">
        <f>IF(X22="","",'Required Info to Submit'!L23)</f>
        <v/>
      </c>
      <c r="AA22" s="1204" t="str">
        <f>'Required Info to Submit'!F23</f>
        <v/>
      </c>
      <c r="AB22" s="1204" t="str">
        <f>'Required Info to Submit'!G23</f>
        <v/>
      </c>
      <c r="AC22" s="1204" t="str">
        <f>'Required Info to Submit'!H23</f>
        <v/>
      </c>
      <c r="AD22" s="1204" t="str">
        <f>'Required Info to Submit'!I23</f>
        <v/>
      </c>
      <c r="AE22" s="1204" t="str">
        <f>'Required Info to Submit'!J23</f>
        <v/>
      </c>
      <c r="AF22" s="1296"/>
      <c r="AG22" s="1296"/>
      <c r="AH22" s="138"/>
      <c r="AI22" s="1296"/>
      <c r="AJ22" s="1296"/>
      <c r="AK22" s="1296"/>
      <c r="AL22" s="1296"/>
      <c r="AM22" s="1296"/>
      <c r="AN22" s="1296"/>
      <c r="AO22" s="1296"/>
      <c r="AP22" s="1296"/>
      <c r="AQ22" s="1296"/>
      <c r="AR22" s="1296"/>
      <c r="AS22" s="1296"/>
      <c r="AT22" s="1296"/>
      <c r="AU22" s="1296"/>
      <c r="AV22" s="1296"/>
      <c r="AW22" s="1296"/>
      <c r="AX22" s="1296"/>
      <c r="AY22" s="1296"/>
      <c r="AZ22" s="1296"/>
      <c r="BA22" s="1296"/>
      <c r="BB22" s="1296"/>
      <c r="BC22" s="1296"/>
      <c r="BD22" s="1296"/>
      <c r="BE22" s="1296"/>
      <c r="BF22" s="1296"/>
      <c r="BG22" s="1296"/>
      <c r="BH22" s="1296"/>
      <c r="BI22" s="1296"/>
      <c r="BJ22" s="1296"/>
      <c r="BK22" s="1296"/>
      <c r="BL22" s="1296"/>
      <c r="BM22" s="1296"/>
      <c r="BN22" s="1296"/>
      <c r="BO22" s="1296"/>
      <c r="BP22" s="1296"/>
      <c r="BQ22" s="1296"/>
      <c r="BR22" s="1296"/>
      <c r="BS22" s="1296"/>
      <c r="BT22" s="1296"/>
      <c r="BU22" s="1296"/>
      <c r="BV22" s="1296"/>
      <c r="BW22" s="1296"/>
      <c r="BX22" s="1296"/>
      <c r="BY22" s="1296"/>
      <c r="BZ22" s="1296"/>
      <c r="CA22" s="1296"/>
      <c r="CB22" s="1296"/>
      <c r="CC22" s="1296"/>
      <c r="CD22" s="1296"/>
      <c r="CE22" s="1296"/>
      <c r="CF22" s="1296"/>
      <c r="CG22" s="1296"/>
      <c r="CH22" s="1296"/>
      <c r="CI22" s="1296"/>
      <c r="CJ22" s="1296"/>
      <c r="CK22" s="1296"/>
    </row>
    <row r="23" spans="1:89" x14ac:dyDescent="0.25">
      <c r="A23" s="1296"/>
      <c r="B23" s="1721"/>
      <c r="C23" s="1205">
        <v>2</v>
      </c>
      <c r="D23" s="1196" t="s">
        <v>1856</v>
      </c>
      <c r="E23" s="1196" t="s">
        <v>1444</v>
      </c>
      <c r="F23" s="1196" t="str">
        <f>'Required Info to Submit'!E24</f>
        <v/>
      </c>
      <c r="G23" s="1393" t="str">
        <f>IF(F23="","",'Required Info to Submit'!K24)</f>
        <v/>
      </c>
      <c r="H23" s="1394" t="str">
        <f>IF(F23="","",'Required Info to Submit'!L24)</f>
        <v/>
      </c>
      <c r="I23" s="1196" t="str">
        <f>'Required Info to Submit'!F24</f>
        <v/>
      </c>
      <c r="J23" s="1196" t="str">
        <f>'Required Info to Submit'!G24</f>
        <v/>
      </c>
      <c r="K23" s="1196" t="str">
        <f>'Required Info to Submit'!H24</f>
        <v/>
      </c>
      <c r="L23" s="1196" t="str">
        <f>'Required Info to Submit'!I24</f>
        <v/>
      </c>
      <c r="M23" s="1196" t="str">
        <f>'Required Info to Submit'!J24</f>
        <v/>
      </c>
      <c r="N23" s="1296"/>
      <c r="O23" s="1296"/>
      <c r="P23" s="138"/>
      <c r="Q23" s="1296"/>
      <c r="R23" s="1296"/>
      <c r="S23" s="1296"/>
      <c r="T23" s="1721"/>
      <c r="U23" s="1206">
        <v>2</v>
      </c>
      <c r="V23" s="1204" t="s">
        <v>1856</v>
      </c>
      <c r="W23" s="1204" t="s">
        <v>1444</v>
      </c>
      <c r="X23" s="1204" t="str">
        <f>'Required Info to Submit'!E24</f>
        <v/>
      </c>
      <c r="Y23" s="1400" t="str">
        <f>IF(X23="","",'Required Info to Submit'!K24)</f>
        <v/>
      </c>
      <c r="Z23" s="1401" t="str">
        <f>IF(X23="","",'Required Info to Submit'!L24)</f>
        <v/>
      </c>
      <c r="AA23" s="1204" t="str">
        <f>'Required Info to Submit'!F24</f>
        <v/>
      </c>
      <c r="AB23" s="1204" t="str">
        <f>'Required Info to Submit'!G24</f>
        <v/>
      </c>
      <c r="AC23" s="1204" t="str">
        <f>'Required Info to Submit'!H24</f>
        <v/>
      </c>
      <c r="AD23" s="1204" t="str">
        <f>'Required Info to Submit'!I24</f>
        <v/>
      </c>
      <c r="AE23" s="1204" t="str">
        <f>'Required Info to Submit'!J24</f>
        <v/>
      </c>
      <c r="AF23" s="1296"/>
      <c r="AG23" s="1296"/>
      <c r="AH23" s="138"/>
      <c r="AI23" s="1296"/>
      <c r="AJ23" s="1296"/>
      <c r="AK23" s="1296"/>
      <c r="AL23" s="1296"/>
      <c r="AM23" s="1296"/>
      <c r="AN23" s="1296"/>
      <c r="AO23" s="1296"/>
      <c r="AP23" s="1296"/>
      <c r="AQ23" s="1296"/>
      <c r="AR23" s="1296"/>
      <c r="AS23" s="1296"/>
      <c r="AT23" s="1296"/>
      <c r="AU23" s="1296"/>
      <c r="AV23" s="1296"/>
      <c r="AW23" s="1296"/>
      <c r="AX23" s="1296"/>
      <c r="AY23" s="1296"/>
      <c r="AZ23" s="1296"/>
      <c r="BA23" s="1296"/>
      <c r="BB23" s="1296"/>
      <c r="BC23" s="1296"/>
      <c r="BD23" s="1296"/>
      <c r="BE23" s="1296"/>
      <c r="BF23" s="1296"/>
      <c r="BG23" s="1296"/>
      <c r="BH23" s="1296"/>
      <c r="BI23" s="1296"/>
      <c r="BJ23" s="1296"/>
      <c r="BK23" s="1296"/>
      <c r="BL23" s="1296"/>
      <c r="BM23" s="1296"/>
      <c r="BN23" s="1296"/>
      <c r="BO23" s="1296"/>
      <c r="BP23" s="1296"/>
      <c r="BQ23" s="1296"/>
      <c r="BR23" s="1296"/>
      <c r="BS23" s="1296"/>
      <c r="BT23" s="1296"/>
      <c r="BU23" s="1296"/>
      <c r="BV23" s="1296"/>
      <c r="BW23" s="1296"/>
      <c r="BX23" s="1296"/>
      <c r="BY23" s="1296"/>
      <c r="BZ23" s="1296"/>
      <c r="CA23" s="1296"/>
      <c r="CB23" s="1296"/>
      <c r="CC23" s="1296"/>
      <c r="CD23" s="1296"/>
      <c r="CE23" s="1296"/>
      <c r="CF23" s="1296"/>
      <c r="CG23" s="1296"/>
      <c r="CH23" s="1296"/>
      <c r="CI23" s="1296"/>
      <c r="CJ23" s="1296"/>
      <c r="CK23" s="1296"/>
    </row>
    <row r="24" spans="1:89" x14ac:dyDescent="0.25">
      <c r="A24" s="1296"/>
      <c r="B24" s="1721"/>
      <c r="C24" s="1205">
        <v>3</v>
      </c>
      <c r="D24" s="1196" t="s">
        <v>1856</v>
      </c>
      <c r="E24" s="1196" t="s">
        <v>1444</v>
      </c>
      <c r="F24" s="1196" t="str">
        <f>'Required Info to Submit'!E25</f>
        <v/>
      </c>
      <c r="G24" s="1393" t="str">
        <f>IF(F24="","",'Required Info to Submit'!K25)</f>
        <v/>
      </c>
      <c r="H24" s="1394" t="str">
        <f>IF(F24="","",'Required Info to Submit'!L25)</f>
        <v/>
      </c>
      <c r="I24" s="1196" t="str">
        <f>'Required Info to Submit'!F25</f>
        <v/>
      </c>
      <c r="J24" s="1196" t="str">
        <f>'Required Info to Submit'!G25</f>
        <v/>
      </c>
      <c r="K24" s="1196" t="str">
        <f>'Required Info to Submit'!H25</f>
        <v/>
      </c>
      <c r="L24" s="1196" t="str">
        <f>'Required Info to Submit'!I25</f>
        <v/>
      </c>
      <c r="M24" s="1196" t="str">
        <f>'Required Info to Submit'!J25</f>
        <v/>
      </c>
      <c r="N24" s="1296"/>
      <c r="O24" s="1296"/>
      <c r="P24" s="138"/>
      <c r="Q24" s="1296"/>
      <c r="R24" s="1296"/>
      <c r="S24" s="1296"/>
      <c r="T24" s="1721"/>
      <c r="U24" s="1206">
        <v>3</v>
      </c>
      <c r="V24" s="1204" t="s">
        <v>1856</v>
      </c>
      <c r="W24" s="1204" t="s">
        <v>1444</v>
      </c>
      <c r="X24" s="1204" t="str">
        <f>'Required Info to Submit'!E25</f>
        <v/>
      </c>
      <c r="Y24" s="1400" t="str">
        <f>IF(X24="","",'Required Info to Submit'!K25)</f>
        <v/>
      </c>
      <c r="Z24" s="1401" t="str">
        <f>IF(X24="","",'Required Info to Submit'!L25)</f>
        <v/>
      </c>
      <c r="AA24" s="1204" t="str">
        <f>'Required Info to Submit'!F25</f>
        <v/>
      </c>
      <c r="AB24" s="1204" t="str">
        <f>'Required Info to Submit'!G25</f>
        <v/>
      </c>
      <c r="AC24" s="1204" t="str">
        <f>'Required Info to Submit'!H25</f>
        <v/>
      </c>
      <c r="AD24" s="1204" t="str">
        <f>'Required Info to Submit'!I25</f>
        <v/>
      </c>
      <c r="AE24" s="1204" t="str">
        <f>'Required Info to Submit'!J25</f>
        <v/>
      </c>
      <c r="AF24" s="1296"/>
      <c r="AG24" s="1296"/>
      <c r="AH24" s="138"/>
      <c r="AI24" s="1296"/>
      <c r="AJ24" s="1296"/>
      <c r="AK24" s="1296"/>
      <c r="AL24" s="1296"/>
      <c r="AM24" s="1296"/>
      <c r="AN24" s="1296"/>
      <c r="AO24" s="1296"/>
      <c r="AP24" s="1296"/>
      <c r="AQ24" s="1296"/>
      <c r="AR24" s="1296"/>
      <c r="AS24" s="1296"/>
      <c r="AT24" s="1296"/>
      <c r="AU24" s="1296"/>
      <c r="AV24" s="1296"/>
      <c r="AW24" s="1296"/>
      <c r="AX24" s="1296"/>
      <c r="AY24" s="1296"/>
      <c r="AZ24" s="1296"/>
      <c r="BA24" s="1296"/>
      <c r="BB24" s="1296"/>
      <c r="BC24" s="1296"/>
      <c r="BD24" s="1296"/>
      <c r="BE24" s="1296"/>
      <c r="BF24" s="1296"/>
      <c r="BG24" s="1296"/>
      <c r="BH24" s="1296"/>
      <c r="BI24" s="1296"/>
      <c r="BJ24" s="1296"/>
      <c r="BK24" s="1296"/>
      <c r="BL24" s="1296"/>
      <c r="BM24" s="1296"/>
      <c r="BN24" s="1296"/>
      <c r="BO24" s="1296"/>
      <c r="BP24" s="1296"/>
      <c r="BQ24" s="1296"/>
      <c r="BR24" s="1296"/>
      <c r="BS24" s="1296"/>
      <c r="BT24" s="1296"/>
      <c r="BU24" s="1296"/>
      <c r="BV24" s="1296"/>
      <c r="BW24" s="1296"/>
      <c r="BX24" s="1296"/>
      <c r="BY24" s="1296"/>
      <c r="BZ24" s="1296"/>
      <c r="CA24" s="1296"/>
      <c r="CB24" s="1296"/>
      <c r="CC24" s="1296"/>
      <c r="CD24" s="1296"/>
      <c r="CE24" s="1296"/>
      <c r="CF24" s="1296"/>
      <c r="CG24" s="1296"/>
      <c r="CH24" s="1296"/>
      <c r="CI24" s="1296"/>
      <c r="CJ24" s="1296"/>
      <c r="CK24" s="1296"/>
    </row>
    <row r="25" spans="1:89" x14ac:dyDescent="0.25">
      <c r="A25" s="1296"/>
      <c r="B25" s="1721"/>
      <c r="C25" s="1205">
        <v>4</v>
      </c>
      <c r="D25" s="1196" t="s">
        <v>1856</v>
      </c>
      <c r="E25" s="1196" t="s">
        <v>1444</v>
      </c>
      <c r="F25" s="1196" t="str">
        <f>'Required Info to Submit'!E26</f>
        <v/>
      </c>
      <c r="G25" s="1393" t="str">
        <f>IF(F25="","",'Required Info to Submit'!K26)</f>
        <v/>
      </c>
      <c r="H25" s="1394" t="str">
        <f>IF(F25="","",'Required Info to Submit'!L26)</f>
        <v/>
      </c>
      <c r="I25" s="1196" t="str">
        <f>'Required Info to Submit'!F26</f>
        <v/>
      </c>
      <c r="J25" s="1196" t="str">
        <f>'Required Info to Submit'!G26</f>
        <v/>
      </c>
      <c r="K25" s="1196" t="str">
        <f>'Required Info to Submit'!H26</f>
        <v/>
      </c>
      <c r="L25" s="1196" t="str">
        <f>'Required Info to Submit'!I26</f>
        <v/>
      </c>
      <c r="M25" s="1196" t="str">
        <f>'Required Info to Submit'!J26</f>
        <v/>
      </c>
      <c r="N25" s="1296"/>
      <c r="O25" s="1296"/>
      <c r="P25" s="138"/>
      <c r="Q25" s="1296"/>
      <c r="R25" s="1296"/>
      <c r="S25" s="1296"/>
      <c r="T25" s="1721"/>
      <c r="U25" s="1206">
        <v>4</v>
      </c>
      <c r="V25" s="1204" t="s">
        <v>1856</v>
      </c>
      <c r="W25" s="1204" t="s">
        <v>1444</v>
      </c>
      <c r="X25" s="1204" t="str">
        <f>'Required Info to Submit'!E26</f>
        <v/>
      </c>
      <c r="Y25" s="1400" t="str">
        <f>IF(X25="","",'Required Info to Submit'!K26)</f>
        <v/>
      </c>
      <c r="Z25" s="1401" t="str">
        <f>IF(X25="","",'Required Info to Submit'!L26)</f>
        <v/>
      </c>
      <c r="AA25" s="1204" t="str">
        <f>'Required Info to Submit'!F26</f>
        <v/>
      </c>
      <c r="AB25" s="1204" t="str">
        <f>'Required Info to Submit'!G26</f>
        <v/>
      </c>
      <c r="AC25" s="1204" t="str">
        <f>'Required Info to Submit'!H26</f>
        <v/>
      </c>
      <c r="AD25" s="1204" t="str">
        <f>'Required Info to Submit'!I26</f>
        <v/>
      </c>
      <c r="AE25" s="1204" t="str">
        <f>'Required Info to Submit'!J26</f>
        <v/>
      </c>
      <c r="AF25" s="1296"/>
      <c r="AG25" s="1296"/>
      <c r="AH25" s="138"/>
      <c r="AI25" s="1296"/>
      <c r="AJ25" s="1296"/>
      <c r="AK25" s="1296"/>
      <c r="AL25" s="1296"/>
      <c r="AM25" s="1296"/>
      <c r="AN25" s="1296"/>
      <c r="AO25" s="1296"/>
      <c r="AP25" s="1296"/>
      <c r="AQ25" s="1296"/>
      <c r="AR25" s="1296"/>
      <c r="AS25" s="1296"/>
      <c r="AT25" s="1296"/>
      <c r="AU25" s="1296"/>
      <c r="AV25" s="1296"/>
      <c r="AW25" s="1296"/>
      <c r="AX25" s="1296"/>
      <c r="AY25" s="1296"/>
      <c r="AZ25" s="1296"/>
      <c r="BA25" s="1296"/>
      <c r="BB25" s="1296"/>
      <c r="BC25" s="1296"/>
      <c r="BD25" s="1296"/>
      <c r="BE25" s="1296"/>
      <c r="BF25" s="1296"/>
      <c r="BG25" s="1296"/>
      <c r="BH25" s="1296"/>
      <c r="BI25" s="1296"/>
      <c r="BJ25" s="1296"/>
      <c r="BK25" s="1296"/>
      <c r="BL25" s="1296"/>
      <c r="BM25" s="1296"/>
      <c r="BN25" s="1296"/>
      <c r="BO25" s="1296"/>
      <c r="BP25" s="1296"/>
      <c r="BQ25" s="1296"/>
      <c r="BR25" s="1296"/>
      <c r="BS25" s="1296"/>
      <c r="BT25" s="1296"/>
      <c r="BU25" s="1296"/>
      <c r="BV25" s="1296"/>
      <c r="BW25" s="1296"/>
      <c r="BX25" s="1296"/>
      <c r="BY25" s="1296"/>
      <c r="BZ25" s="1296"/>
      <c r="CA25" s="1296"/>
      <c r="CB25" s="1296"/>
      <c r="CC25" s="1296"/>
      <c r="CD25" s="1296"/>
      <c r="CE25" s="1296"/>
      <c r="CF25" s="1296"/>
      <c r="CG25" s="1296"/>
      <c r="CH25" s="1296"/>
      <c r="CI25" s="1296"/>
      <c r="CJ25" s="1296"/>
      <c r="CK25" s="1296"/>
    </row>
    <row r="26" spans="1:89" x14ac:dyDescent="0.25">
      <c r="A26" s="1296"/>
      <c r="B26" s="1721"/>
      <c r="C26" s="1205">
        <v>5</v>
      </c>
      <c r="D26" s="1196" t="s">
        <v>1856</v>
      </c>
      <c r="E26" s="1196" t="s">
        <v>1444</v>
      </c>
      <c r="F26" s="1196" t="str">
        <f>'Required Info to Submit'!E27</f>
        <v/>
      </c>
      <c r="G26" s="1393" t="str">
        <f>IF(F26="","",'Required Info to Submit'!K27)</f>
        <v/>
      </c>
      <c r="H26" s="1394" t="str">
        <f>IF(F26="","",'Required Info to Submit'!L27)</f>
        <v/>
      </c>
      <c r="I26" s="1196" t="str">
        <f>'Required Info to Submit'!F27</f>
        <v/>
      </c>
      <c r="J26" s="1196" t="str">
        <f>'Required Info to Submit'!G27</f>
        <v/>
      </c>
      <c r="K26" s="1196" t="str">
        <f>'Required Info to Submit'!H27</f>
        <v/>
      </c>
      <c r="L26" s="1196" t="str">
        <f>'Required Info to Submit'!I27</f>
        <v/>
      </c>
      <c r="M26" s="1196" t="str">
        <f>'Required Info to Submit'!J27</f>
        <v/>
      </c>
      <c r="N26" s="1296"/>
      <c r="O26" s="1296"/>
      <c r="P26" s="138"/>
      <c r="Q26" s="1296"/>
      <c r="R26" s="1296"/>
      <c r="S26" s="1296"/>
      <c r="T26" s="1721"/>
      <c r="U26" s="1206">
        <v>5</v>
      </c>
      <c r="V26" s="1204" t="s">
        <v>1856</v>
      </c>
      <c r="W26" s="1204" t="s">
        <v>1444</v>
      </c>
      <c r="X26" s="1204" t="str">
        <f>'Required Info to Submit'!E27</f>
        <v/>
      </c>
      <c r="Y26" s="1400" t="str">
        <f>IF(X26="","",'Required Info to Submit'!K27)</f>
        <v/>
      </c>
      <c r="Z26" s="1401" t="str">
        <f>IF(X26="","",'Required Info to Submit'!L27)</f>
        <v/>
      </c>
      <c r="AA26" s="1204" t="str">
        <f>'Required Info to Submit'!F27</f>
        <v/>
      </c>
      <c r="AB26" s="1204" t="str">
        <f>'Required Info to Submit'!G27</f>
        <v/>
      </c>
      <c r="AC26" s="1204" t="str">
        <f>'Required Info to Submit'!H27</f>
        <v/>
      </c>
      <c r="AD26" s="1204" t="str">
        <f>'Required Info to Submit'!I27</f>
        <v/>
      </c>
      <c r="AE26" s="1204" t="str">
        <f>'Required Info to Submit'!J27</f>
        <v/>
      </c>
      <c r="AF26" s="1296"/>
      <c r="AG26" s="1296"/>
      <c r="AH26" s="138"/>
      <c r="AI26" s="1296"/>
      <c r="AJ26" s="1296"/>
      <c r="AK26" s="1296"/>
      <c r="AL26" s="1296"/>
      <c r="AM26" s="1296"/>
      <c r="AN26" s="1296"/>
      <c r="AO26" s="1296"/>
      <c r="AP26" s="1296"/>
      <c r="AQ26" s="1296"/>
      <c r="AR26" s="1296"/>
      <c r="AS26" s="1296"/>
      <c r="AT26" s="1296"/>
      <c r="AU26" s="1296"/>
      <c r="AV26" s="1296"/>
      <c r="AW26" s="1296"/>
      <c r="AX26" s="1296"/>
      <c r="AY26" s="1296"/>
      <c r="AZ26" s="1296"/>
      <c r="BA26" s="1296"/>
      <c r="BB26" s="1296"/>
      <c r="BC26" s="1296"/>
      <c r="BD26" s="1296"/>
      <c r="BE26" s="1296"/>
      <c r="BF26" s="1296"/>
      <c r="BG26" s="1296"/>
      <c r="BH26" s="1296"/>
      <c r="BI26" s="1296"/>
      <c r="BJ26" s="1296"/>
      <c r="BK26" s="1296"/>
      <c r="BL26" s="1296"/>
      <c r="BM26" s="1296"/>
      <c r="BN26" s="1296"/>
      <c r="BO26" s="1296"/>
      <c r="BP26" s="1296"/>
      <c r="BQ26" s="1296"/>
      <c r="BR26" s="1296"/>
      <c r="BS26" s="1296"/>
      <c r="BT26" s="1296"/>
      <c r="BU26" s="1296"/>
      <c r="BV26" s="1296"/>
      <c r="BW26" s="1296"/>
      <c r="BX26" s="1296"/>
      <c r="BY26" s="1296"/>
      <c r="BZ26" s="1296"/>
      <c r="CA26" s="1296"/>
      <c r="CB26" s="1296"/>
      <c r="CC26" s="1296"/>
      <c r="CD26" s="1296"/>
      <c r="CE26" s="1296"/>
      <c r="CF26" s="1296"/>
      <c r="CG26" s="1296"/>
      <c r="CH26" s="1296"/>
      <c r="CI26" s="1296"/>
      <c r="CJ26" s="1296"/>
      <c r="CK26" s="1296"/>
    </row>
    <row r="27" spans="1:89" x14ac:dyDescent="0.25">
      <c r="A27" s="1296"/>
      <c r="B27" s="1721"/>
      <c r="C27" s="1205">
        <v>6</v>
      </c>
      <c r="D27" s="1196" t="s">
        <v>1856</v>
      </c>
      <c r="E27" s="1196" t="s">
        <v>1444</v>
      </c>
      <c r="F27" s="1196" t="str">
        <f>'Required Info to Submit'!E28</f>
        <v/>
      </c>
      <c r="G27" s="1393" t="str">
        <f>IF(F27="","",'Required Info to Submit'!K28)</f>
        <v/>
      </c>
      <c r="H27" s="1394" t="str">
        <f>IF(F27="","",'Required Info to Submit'!L28)</f>
        <v/>
      </c>
      <c r="I27" s="1196" t="str">
        <f>'Required Info to Submit'!F28</f>
        <v/>
      </c>
      <c r="J27" s="1196" t="str">
        <f>'Required Info to Submit'!G28</f>
        <v/>
      </c>
      <c r="K27" s="1196" t="str">
        <f>'Required Info to Submit'!H28</f>
        <v/>
      </c>
      <c r="L27" s="1196" t="str">
        <f>'Required Info to Submit'!I28</f>
        <v/>
      </c>
      <c r="M27" s="1196" t="str">
        <f>'Required Info to Submit'!J28</f>
        <v/>
      </c>
      <c r="N27" s="1296"/>
      <c r="O27" s="1296"/>
      <c r="P27" s="138"/>
      <c r="Q27" s="1296"/>
      <c r="R27" s="1296"/>
      <c r="S27" s="1296"/>
      <c r="T27" s="1721"/>
      <c r="U27" s="1206">
        <v>6</v>
      </c>
      <c r="V27" s="1204" t="s">
        <v>1856</v>
      </c>
      <c r="W27" s="1204" t="s">
        <v>1444</v>
      </c>
      <c r="X27" s="1204" t="str">
        <f>'Required Info to Submit'!E28</f>
        <v/>
      </c>
      <c r="Y27" s="1400" t="str">
        <f>IF(X27="","",'Required Info to Submit'!K28)</f>
        <v/>
      </c>
      <c r="Z27" s="1401" t="str">
        <f>IF(X27="","",'Required Info to Submit'!L28)</f>
        <v/>
      </c>
      <c r="AA27" s="1204" t="str">
        <f>'Required Info to Submit'!F28</f>
        <v/>
      </c>
      <c r="AB27" s="1204" t="str">
        <f>'Required Info to Submit'!G28</f>
        <v/>
      </c>
      <c r="AC27" s="1204" t="str">
        <f>'Required Info to Submit'!H28</f>
        <v/>
      </c>
      <c r="AD27" s="1204" t="str">
        <f>'Required Info to Submit'!I28</f>
        <v/>
      </c>
      <c r="AE27" s="1204" t="str">
        <f>'Required Info to Submit'!J28</f>
        <v/>
      </c>
      <c r="AF27" s="1296"/>
      <c r="AG27" s="1296"/>
      <c r="AH27" s="138"/>
      <c r="AI27" s="1296"/>
      <c r="AJ27" s="1296"/>
      <c r="AK27" s="1296"/>
      <c r="AL27" s="1296"/>
      <c r="AM27" s="1296"/>
      <c r="AN27" s="1296"/>
      <c r="AO27" s="1296"/>
      <c r="AP27" s="1296"/>
      <c r="AQ27" s="1296"/>
      <c r="AR27" s="1296"/>
      <c r="AS27" s="1296"/>
      <c r="AT27" s="1296"/>
      <c r="AU27" s="1296"/>
      <c r="AV27" s="1296"/>
      <c r="AW27" s="1296"/>
      <c r="AX27" s="1296"/>
      <c r="AY27" s="1296"/>
      <c r="AZ27" s="1296"/>
      <c r="BA27" s="1296"/>
      <c r="BB27" s="1296"/>
      <c r="BC27" s="1296"/>
      <c r="BD27" s="1296"/>
      <c r="BE27" s="1296"/>
      <c r="BF27" s="1296"/>
      <c r="BG27" s="1296"/>
      <c r="BH27" s="1296"/>
      <c r="BI27" s="1296"/>
      <c r="BJ27" s="1296"/>
      <c r="BK27" s="1296"/>
      <c r="BL27" s="1296"/>
      <c r="BM27" s="1296"/>
      <c r="BN27" s="1296"/>
      <c r="BO27" s="1296"/>
      <c r="BP27" s="1296"/>
      <c r="BQ27" s="1296"/>
      <c r="BR27" s="1296"/>
      <c r="BS27" s="1296"/>
      <c r="BT27" s="1296"/>
      <c r="BU27" s="1296"/>
      <c r="BV27" s="1296"/>
      <c r="BW27" s="1296"/>
      <c r="BX27" s="1296"/>
      <c r="BY27" s="1296"/>
      <c r="BZ27" s="1296"/>
      <c r="CA27" s="1296"/>
      <c r="CB27" s="1296"/>
      <c r="CC27" s="1296"/>
      <c r="CD27" s="1296"/>
      <c r="CE27" s="1296"/>
      <c r="CF27" s="1296"/>
      <c r="CG27" s="1296"/>
      <c r="CH27" s="1296"/>
      <c r="CI27" s="1296"/>
      <c r="CJ27" s="1296"/>
      <c r="CK27" s="1296"/>
    </row>
    <row r="28" spans="1:89" x14ac:dyDescent="0.25">
      <c r="A28" s="1296"/>
      <c r="B28" s="1721"/>
      <c r="C28" s="1205">
        <v>7</v>
      </c>
      <c r="D28" s="1196" t="s">
        <v>1856</v>
      </c>
      <c r="E28" s="1196" t="s">
        <v>1444</v>
      </c>
      <c r="F28" s="1196" t="str">
        <f>'Required Info to Submit'!E29</f>
        <v/>
      </c>
      <c r="G28" s="1393" t="str">
        <f>IF(F28="","",'Required Info to Submit'!K29)</f>
        <v/>
      </c>
      <c r="H28" s="1394" t="str">
        <f>IF(F28="","",'Required Info to Submit'!L29)</f>
        <v/>
      </c>
      <c r="I28" s="1196" t="str">
        <f>'Required Info to Submit'!F29</f>
        <v/>
      </c>
      <c r="J28" s="1196" t="str">
        <f>'Required Info to Submit'!G29</f>
        <v/>
      </c>
      <c r="K28" s="1196" t="str">
        <f>'Required Info to Submit'!H29</f>
        <v/>
      </c>
      <c r="L28" s="1196" t="str">
        <f>'Required Info to Submit'!I29</f>
        <v/>
      </c>
      <c r="M28" s="1196" t="str">
        <f>'Required Info to Submit'!J29</f>
        <v/>
      </c>
      <c r="N28" s="1296"/>
      <c r="O28" s="1296"/>
      <c r="P28" s="138"/>
      <c r="Q28" s="1296"/>
      <c r="R28" s="1296"/>
      <c r="S28" s="1296"/>
      <c r="T28" s="1721"/>
      <c r="U28" s="1206">
        <v>7</v>
      </c>
      <c r="V28" s="1204" t="s">
        <v>1856</v>
      </c>
      <c r="W28" s="1204" t="s">
        <v>1444</v>
      </c>
      <c r="X28" s="1204" t="str">
        <f>'Required Info to Submit'!E29</f>
        <v/>
      </c>
      <c r="Y28" s="1400" t="str">
        <f>IF(X28="","",'Required Info to Submit'!K29)</f>
        <v/>
      </c>
      <c r="Z28" s="1401" t="str">
        <f>IF(X28="","",'Required Info to Submit'!L29)</f>
        <v/>
      </c>
      <c r="AA28" s="1204" t="str">
        <f>'Required Info to Submit'!F29</f>
        <v/>
      </c>
      <c r="AB28" s="1204" t="str">
        <f>'Required Info to Submit'!G29</f>
        <v/>
      </c>
      <c r="AC28" s="1204" t="str">
        <f>'Required Info to Submit'!H29</f>
        <v/>
      </c>
      <c r="AD28" s="1204" t="str">
        <f>'Required Info to Submit'!I29</f>
        <v/>
      </c>
      <c r="AE28" s="1204" t="str">
        <f>'Required Info to Submit'!J29</f>
        <v/>
      </c>
      <c r="AF28" s="1296"/>
      <c r="AG28" s="1296"/>
      <c r="AH28" s="138"/>
      <c r="AI28" s="1296"/>
      <c r="AJ28" s="1296"/>
      <c r="AK28" s="1296"/>
      <c r="AL28" s="1296"/>
      <c r="AM28" s="1296"/>
      <c r="AN28" s="1296"/>
      <c r="AO28" s="1296"/>
      <c r="AP28" s="1296"/>
      <c r="AQ28" s="1296"/>
      <c r="AR28" s="1296"/>
      <c r="AS28" s="1296"/>
      <c r="AT28" s="1296"/>
      <c r="AU28" s="1296"/>
      <c r="AV28" s="1296"/>
      <c r="AW28" s="1296"/>
      <c r="AX28" s="1296"/>
      <c r="AY28" s="1296"/>
      <c r="AZ28" s="1296"/>
      <c r="BA28" s="1296"/>
      <c r="BB28" s="1296"/>
      <c r="BC28" s="1296"/>
      <c r="BD28" s="1296"/>
      <c r="BE28" s="1296"/>
      <c r="BF28" s="1296"/>
      <c r="BG28" s="1296"/>
      <c r="BH28" s="1296"/>
      <c r="BI28" s="1296"/>
      <c r="BJ28" s="1296"/>
      <c r="BK28" s="1296"/>
      <c r="BL28" s="1296"/>
      <c r="BM28" s="1296"/>
      <c r="BN28" s="1296"/>
      <c r="BO28" s="1296"/>
      <c r="BP28" s="1296"/>
      <c r="BQ28" s="1296"/>
      <c r="BR28" s="1296"/>
      <c r="BS28" s="1296"/>
      <c r="BT28" s="1296"/>
      <c r="BU28" s="1296"/>
      <c r="BV28" s="1296"/>
      <c r="BW28" s="1296"/>
      <c r="BX28" s="1296"/>
      <c r="BY28" s="1296"/>
      <c r="BZ28" s="1296"/>
      <c r="CA28" s="1296"/>
      <c r="CB28" s="1296"/>
      <c r="CC28" s="1296"/>
      <c r="CD28" s="1296"/>
      <c r="CE28" s="1296"/>
      <c r="CF28" s="1296"/>
      <c r="CG28" s="1296"/>
      <c r="CH28" s="1296"/>
      <c r="CI28" s="1296"/>
      <c r="CJ28" s="1296"/>
      <c r="CK28" s="1296"/>
    </row>
    <row r="29" spans="1:89" x14ac:dyDescent="0.25">
      <c r="A29" s="1296"/>
      <c r="B29" s="1721"/>
      <c r="C29" s="1205">
        <v>8</v>
      </c>
      <c r="D29" s="1196" t="s">
        <v>1856</v>
      </c>
      <c r="E29" s="1196" t="s">
        <v>1444</v>
      </c>
      <c r="F29" s="1196" t="str">
        <f>'Required Info to Submit'!E30</f>
        <v/>
      </c>
      <c r="G29" s="1393" t="str">
        <f>IF(F29="","",'Required Info to Submit'!K30)</f>
        <v/>
      </c>
      <c r="H29" s="1394" t="str">
        <f>IF(F29="","",'Required Info to Submit'!L30)</f>
        <v/>
      </c>
      <c r="I29" s="1196" t="str">
        <f>'Required Info to Submit'!F30</f>
        <v/>
      </c>
      <c r="J29" s="1196" t="str">
        <f>'Required Info to Submit'!G30</f>
        <v/>
      </c>
      <c r="K29" s="1196" t="str">
        <f>'Required Info to Submit'!H30</f>
        <v/>
      </c>
      <c r="L29" s="1196" t="str">
        <f>'Required Info to Submit'!I30</f>
        <v/>
      </c>
      <c r="M29" s="1196" t="str">
        <f>'Required Info to Submit'!J30</f>
        <v/>
      </c>
      <c r="N29" s="1296"/>
      <c r="O29" s="1296"/>
      <c r="P29" s="138"/>
      <c r="Q29" s="1296"/>
      <c r="R29" s="1296"/>
      <c r="S29" s="1296"/>
      <c r="T29" s="1721"/>
      <c r="U29" s="1206">
        <v>8</v>
      </c>
      <c r="V29" s="1204" t="s">
        <v>1856</v>
      </c>
      <c r="W29" s="1204" t="s">
        <v>1444</v>
      </c>
      <c r="X29" s="1204" t="str">
        <f>'Required Info to Submit'!E30</f>
        <v/>
      </c>
      <c r="Y29" s="1400" t="str">
        <f>IF(X29="","",'Required Info to Submit'!K30)</f>
        <v/>
      </c>
      <c r="Z29" s="1401" t="str">
        <f>IF(X29="","",'Required Info to Submit'!L30)</f>
        <v/>
      </c>
      <c r="AA29" s="1204" t="str">
        <f>'Required Info to Submit'!F30</f>
        <v/>
      </c>
      <c r="AB29" s="1204" t="str">
        <f>'Required Info to Submit'!G30</f>
        <v/>
      </c>
      <c r="AC29" s="1204" t="str">
        <f>'Required Info to Submit'!H30</f>
        <v/>
      </c>
      <c r="AD29" s="1204" t="str">
        <f>'Required Info to Submit'!I30</f>
        <v/>
      </c>
      <c r="AE29" s="1204" t="str">
        <f>'Required Info to Submit'!J30</f>
        <v/>
      </c>
      <c r="AF29" s="1296"/>
      <c r="AG29" s="1296"/>
      <c r="AH29" s="138"/>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296"/>
      <c r="BG29" s="1296"/>
      <c r="BH29" s="1296"/>
      <c r="BI29" s="1296"/>
      <c r="BJ29" s="1296"/>
      <c r="BK29" s="1296"/>
      <c r="BL29" s="1296"/>
      <c r="BM29" s="1296"/>
      <c r="BN29" s="1296"/>
      <c r="BO29" s="1296"/>
      <c r="BP29" s="1296"/>
      <c r="BQ29" s="1296"/>
      <c r="BR29" s="1296"/>
      <c r="BS29" s="1296"/>
      <c r="BT29" s="1296"/>
      <c r="BU29" s="1296"/>
      <c r="BV29" s="1296"/>
      <c r="BW29" s="1296"/>
      <c r="BX29" s="1296"/>
      <c r="BY29" s="1296"/>
      <c r="BZ29" s="1296"/>
      <c r="CA29" s="1296"/>
      <c r="CB29" s="1296"/>
      <c r="CC29" s="1296"/>
      <c r="CD29" s="1296"/>
      <c r="CE29" s="1296"/>
      <c r="CF29" s="1296"/>
      <c r="CG29" s="1296"/>
      <c r="CH29" s="1296"/>
      <c r="CI29" s="1296"/>
      <c r="CJ29" s="1296"/>
      <c r="CK29" s="1296"/>
    </row>
    <row r="30" spans="1:89" x14ac:dyDescent="0.25">
      <c r="A30" s="1296"/>
      <c r="B30" s="1721"/>
      <c r="C30" s="1205">
        <v>9</v>
      </c>
      <c r="D30" s="1196" t="s">
        <v>1856</v>
      </c>
      <c r="E30" s="1196" t="s">
        <v>1444</v>
      </c>
      <c r="F30" s="1196" t="str">
        <f>'Required Info to Submit'!E31</f>
        <v/>
      </c>
      <c r="G30" s="1393" t="str">
        <f>IF(F30="","",'Required Info to Submit'!K31)</f>
        <v/>
      </c>
      <c r="H30" s="1394" t="str">
        <f>IF(F30="","",'Required Info to Submit'!L31)</f>
        <v/>
      </c>
      <c r="I30" s="1196" t="str">
        <f>'Required Info to Submit'!F31</f>
        <v/>
      </c>
      <c r="J30" s="1196" t="str">
        <f>'Required Info to Submit'!G31</f>
        <v/>
      </c>
      <c r="K30" s="1196" t="str">
        <f>'Required Info to Submit'!H31</f>
        <v/>
      </c>
      <c r="L30" s="1196" t="str">
        <f>'Required Info to Submit'!I31</f>
        <v/>
      </c>
      <c r="M30" s="1196" t="str">
        <f>'Required Info to Submit'!J31</f>
        <v/>
      </c>
      <c r="N30" s="1296"/>
      <c r="O30" s="1296"/>
      <c r="P30" s="138"/>
      <c r="Q30" s="1296"/>
      <c r="R30" s="1296"/>
      <c r="S30" s="1296"/>
      <c r="T30" s="1721"/>
      <c r="U30" s="1206">
        <v>9</v>
      </c>
      <c r="V30" s="1204" t="s">
        <v>1856</v>
      </c>
      <c r="W30" s="1204" t="s">
        <v>1444</v>
      </c>
      <c r="X30" s="1204" t="str">
        <f>'Required Info to Submit'!E31</f>
        <v/>
      </c>
      <c r="Y30" s="1400" t="str">
        <f>IF(X30="","",'Required Info to Submit'!K31)</f>
        <v/>
      </c>
      <c r="Z30" s="1401" t="str">
        <f>IF(X30="","",'Required Info to Submit'!L31)</f>
        <v/>
      </c>
      <c r="AA30" s="1204" t="str">
        <f>'Required Info to Submit'!F31</f>
        <v/>
      </c>
      <c r="AB30" s="1204" t="str">
        <f>'Required Info to Submit'!G31</f>
        <v/>
      </c>
      <c r="AC30" s="1204" t="str">
        <f>'Required Info to Submit'!H31</f>
        <v/>
      </c>
      <c r="AD30" s="1204" t="str">
        <f>'Required Info to Submit'!I31</f>
        <v/>
      </c>
      <c r="AE30" s="1204" t="str">
        <f>'Required Info to Submit'!J31</f>
        <v/>
      </c>
      <c r="AF30" s="1296"/>
      <c r="AG30" s="1296"/>
      <c r="AH30" s="138"/>
      <c r="AI30" s="1296"/>
      <c r="AJ30" s="1296"/>
      <c r="AK30" s="1296"/>
      <c r="AL30" s="1296"/>
      <c r="AM30" s="1296"/>
      <c r="AN30" s="1296"/>
      <c r="AO30" s="1296"/>
      <c r="AP30" s="1296"/>
      <c r="AQ30" s="1296"/>
      <c r="AR30" s="1296"/>
      <c r="AS30" s="1296"/>
      <c r="AT30" s="1296"/>
      <c r="AU30" s="1296"/>
      <c r="AV30" s="1296"/>
      <c r="AW30" s="1296"/>
      <c r="AX30" s="1296"/>
      <c r="AY30" s="1296"/>
      <c r="AZ30" s="1296"/>
      <c r="BA30" s="1296"/>
      <c r="BB30" s="1296"/>
      <c r="BC30" s="1296"/>
      <c r="BD30" s="1296"/>
      <c r="BE30" s="1296"/>
      <c r="BF30" s="1296"/>
      <c r="BG30" s="1296"/>
      <c r="BH30" s="1296"/>
      <c r="BI30" s="1296"/>
      <c r="BJ30" s="1296"/>
      <c r="BK30" s="1296"/>
      <c r="BL30" s="1296"/>
      <c r="BM30" s="1296"/>
      <c r="BN30" s="1296"/>
      <c r="BO30" s="1296"/>
      <c r="BP30" s="1296"/>
      <c r="BQ30" s="1296"/>
      <c r="BR30" s="1296"/>
      <c r="BS30" s="1296"/>
      <c r="BT30" s="1296"/>
      <c r="BU30" s="1296"/>
      <c r="BV30" s="1296"/>
      <c r="BW30" s="1296"/>
      <c r="BX30" s="1296"/>
      <c r="BY30" s="1296"/>
      <c r="BZ30" s="1296"/>
      <c r="CA30" s="1296"/>
      <c r="CB30" s="1296"/>
      <c r="CC30" s="1296"/>
      <c r="CD30" s="1296"/>
      <c r="CE30" s="1296"/>
      <c r="CF30" s="1296"/>
      <c r="CG30" s="1296"/>
      <c r="CH30" s="1296"/>
      <c r="CI30" s="1296"/>
      <c r="CJ30" s="1296"/>
      <c r="CK30" s="1296"/>
    </row>
    <row r="31" spans="1:89" ht="15.75" thickBot="1" x14ac:dyDescent="0.3">
      <c r="A31" s="1296"/>
      <c r="B31" s="1722"/>
      <c r="C31" s="1207">
        <v>10</v>
      </c>
      <c r="D31" s="1198" t="s">
        <v>1856</v>
      </c>
      <c r="E31" s="1198" t="s">
        <v>1444</v>
      </c>
      <c r="F31" s="1198" t="str">
        <f>'Required Info to Submit'!E32</f>
        <v/>
      </c>
      <c r="G31" s="1395" t="str">
        <f>IF(F31="","",'Required Info to Submit'!K32)</f>
        <v/>
      </c>
      <c r="H31" s="1395" t="str">
        <f>IF(F31="","",'Required Info to Submit'!L32)</f>
        <v/>
      </c>
      <c r="I31" s="1198" t="str">
        <f>'Required Info to Submit'!F32</f>
        <v/>
      </c>
      <c r="J31" s="1198" t="str">
        <f>'Required Info to Submit'!G32</f>
        <v/>
      </c>
      <c r="K31" s="1198" t="str">
        <f>'Required Info to Submit'!H32</f>
        <v/>
      </c>
      <c r="L31" s="1198" t="str">
        <f>'Required Info to Submit'!I32</f>
        <v/>
      </c>
      <c r="M31" s="1198" t="str">
        <f>'Required Info to Submit'!J32</f>
        <v/>
      </c>
      <c r="N31" s="256"/>
      <c r="O31" s="256"/>
      <c r="P31" s="257"/>
      <c r="Q31" s="1296"/>
      <c r="R31" s="1296"/>
      <c r="S31" s="1296"/>
      <c r="T31" s="1722"/>
      <c r="U31" s="1208">
        <v>10</v>
      </c>
      <c r="V31" s="1209" t="s">
        <v>1856</v>
      </c>
      <c r="W31" s="1209" t="s">
        <v>1444</v>
      </c>
      <c r="X31" s="1209" t="str">
        <f>'Required Info to Submit'!E32</f>
        <v/>
      </c>
      <c r="Y31" s="1402" t="str">
        <f>IF(X31="","",'Required Info to Submit'!K32)</f>
        <v/>
      </c>
      <c r="Z31" s="1402" t="str">
        <f>IF(X31="","",'Required Info to Submit'!L32)</f>
        <v/>
      </c>
      <c r="AA31" s="1209" t="str">
        <f>'Required Info to Submit'!F32</f>
        <v/>
      </c>
      <c r="AB31" s="1209" t="str">
        <f>'Required Info to Submit'!G32</f>
        <v/>
      </c>
      <c r="AC31" s="1209" t="str">
        <f>'Required Info to Submit'!H32</f>
        <v/>
      </c>
      <c r="AD31" s="1209" t="str">
        <f>'Required Info to Submit'!I32</f>
        <v/>
      </c>
      <c r="AE31" s="1209" t="str">
        <f>'Required Info to Submit'!J32</f>
        <v/>
      </c>
      <c r="AF31" s="256"/>
      <c r="AG31" s="256"/>
      <c r="AH31" s="257"/>
      <c r="AI31" s="1296"/>
      <c r="AJ31" s="1296"/>
      <c r="AK31" s="1296"/>
      <c r="AL31" s="1296"/>
      <c r="AM31" s="1296"/>
      <c r="AN31" s="1296"/>
      <c r="AO31" s="1296"/>
      <c r="AP31" s="1296"/>
      <c r="AQ31" s="1296"/>
      <c r="AR31" s="1296"/>
      <c r="AS31" s="1296"/>
      <c r="AT31" s="1296"/>
      <c r="AU31" s="1296"/>
      <c r="AV31" s="1296"/>
      <c r="AW31" s="1296"/>
      <c r="AX31" s="1296"/>
      <c r="AY31" s="1296"/>
      <c r="AZ31" s="1296"/>
      <c r="BA31" s="1296"/>
      <c r="BB31" s="1296"/>
      <c r="BC31" s="1296"/>
      <c r="BD31" s="1296"/>
      <c r="BE31" s="1296"/>
      <c r="BF31" s="1296"/>
      <c r="BG31" s="1296"/>
      <c r="BH31" s="1296"/>
      <c r="BI31" s="1296"/>
      <c r="BJ31" s="1296"/>
      <c r="BK31" s="1296"/>
      <c r="BL31" s="1296"/>
      <c r="BM31" s="1296"/>
      <c r="BN31" s="1296"/>
      <c r="BO31" s="1296"/>
      <c r="BP31" s="1296"/>
      <c r="BQ31" s="1296"/>
      <c r="BR31" s="1296"/>
      <c r="BS31" s="1296"/>
      <c r="BT31" s="1296"/>
      <c r="BU31" s="1296"/>
      <c r="BV31" s="1296"/>
      <c r="BW31" s="1296"/>
      <c r="BX31" s="1296"/>
      <c r="BY31" s="1296"/>
      <c r="BZ31" s="1296"/>
      <c r="CA31" s="1296"/>
      <c r="CB31" s="1296"/>
      <c r="CC31" s="1296"/>
      <c r="CD31" s="1296"/>
      <c r="CE31" s="1296"/>
      <c r="CF31" s="1296"/>
      <c r="CG31" s="1296"/>
      <c r="CH31" s="1296"/>
      <c r="CI31" s="1296"/>
      <c r="CJ31" s="1296"/>
      <c r="CK31" s="1296"/>
    </row>
    <row r="32" spans="1:89" x14ac:dyDescent="0.25">
      <c r="A32" s="1296"/>
      <c r="B32" s="1296"/>
      <c r="C32" s="1296"/>
      <c r="D32" s="1296"/>
      <c r="E32" s="1296"/>
      <c r="F32" s="1296"/>
      <c r="G32" s="1296"/>
      <c r="H32" s="1296"/>
      <c r="I32" s="1296"/>
      <c r="J32" s="1296"/>
      <c r="K32" s="1296"/>
      <c r="L32" s="1296"/>
      <c r="M32" s="1296"/>
      <c r="N32" s="1296"/>
      <c r="O32" s="1296"/>
      <c r="P32" s="1296"/>
      <c r="Q32" s="1296"/>
      <c r="R32" s="1296"/>
      <c r="S32" s="1296"/>
      <c r="T32" s="1296"/>
      <c r="U32" s="1296"/>
      <c r="V32" s="1296"/>
      <c r="W32" s="1296"/>
      <c r="X32" s="1296"/>
      <c r="Y32" s="1296"/>
      <c r="Z32" s="1296"/>
      <c r="AA32" s="1296"/>
      <c r="AB32" s="1296"/>
      <c r="AC32" s="1296"/>
      <c r="AD32" s="1296"/>
      <c r="AE32" s="1296"/>
      <c r="AF32" s="1296"/>
      <c r="AG32" s="1296"/>
      <c r="AH32" s="1296"/>
      <c r="AI32" s="1296"/>
      <c r="AJ32" s="1296"/>
      <c r="AK32" s="1296"/>
      <c r="AL32" s="1296"/>
      <c r="AM32" s="1296"/>
      <c r="AN32" s="1296"/>
      <c r="AO32" s="1296"/>
      <c r="AP32" s="1296"/>
      <c r="AQ32" s="1296"/>
      <c r="AR32" s="1296"/>
      <c r="AS32" s="1296"/>
      <c r="AT32" s="1296"/>
      <c r="AU32" s="1296"/>
      <c r="AV32" s="1296"/>
      <c r="AW32" s="1296"/>
      <c r="AX32" s="1296"/>
      <c r="AY32" s="1296"/>
      <c r="AZ32" s="1296"/>
      <c r="BA32" s="1296"/>
      <c r="BB32" s="1296"/>
      <c r="BC32" s="1296"/>
      <c r="BD32" s="1296"/>
      <c r="BE32" s="1296"/>
      <c r="BF32" s="1296"/>
      <c r="BG32" s="1296"/>
      <c r="BH32" s="1296"/>
      <c r="BI32" s="1296"/>
      <c r="BJ32" s="1296"/>
      <c r="BK32" s="1296"/>
      <c r="BL32" s="1296"/>
      <c r="BM32" s="1296"/>
      <c r="BN32" s="1296"/>
      <c r="BO32" s="1296"/>
      <c r="BP32" s="1296"/>
      <c r="BQ32" s="1296"/>
      <c r="BR32" s="1296"/>
      <c r="BS32" s="1296"/>
      <c r="BT32" s="1296"/>
      <c r="BU32" s="1296"/>
      <c r="BV32" s="1296"/>
      <c r="BW32" s="1296"/>
      <c r="BX32" s="1296"/>
      <c r="BY32" s="1296"/>
      <c r="BZ32" s="1296"/>
      <c r="CA32" s="1296"/>
      <c r="CB32" s="1296"/>
      <c r="CC32" s="1296"/>
      <c r="CD32" s="1296"/>
      <c r="CE32" s="1296"/>
      <c r="CF32" s="1296"/>
      <c r="CG32" s="1296"/>
      <c r="CH32" s="1296"/>
      <c r="CI32" s="1296"/>
      <c r="CJ32" s="1296"/>
      <c r="CK32" s="1296"/>
    </row>
    <row r="33" spans="1:89" ht="15.75" thickBot="1" x14ac:dyDescent="0.3">
      <c r="A33" s="1296"/>
      <c r="B33" s="1296"/>
      <c r="C33" s="1296"/>
      <c r="D33" s="1296"/>
      <c r="E33" s="1296"/>
      <c r="F33" s="1296"/>
      <c r="G33" s="1296"/>
      <c r="H33" s="1296"/>
      <c r="I33" s="1296"/>
      <c r="J33" s="1296"/>
      <c r="K33" s="1296"/>
      <c r="L33" s="1296"/>
      <c r="M33" s="1296"/>
      <c r="N33" s="1296"/>
      <c r="O33" s="1296"/>
      <c r="P33" s="1296"/>
      <c r="Q33" s="1296"/>
      <c r="R33" s="1296"/>
      <c r="S33" s="1296"/>
      <c r="T33" s="1296"/>
      <c r="U33" s="1296"/>
      <c r="V33" s="1296"/>
      <c r="W33" s="1296"/>
      <c r="X33" s="1296"/>
      <c r="Y33" s="1296"/>
      <c r="Z33" s="1296"/>
      <c r="AA33" s="1296"/>
      <c r="AB33" s="1296"/>
      <c r="AC33" s="1296"/>
      <c r="AD33" s="1296"/>
      <c r="AE33" s="1296"/>
      <c r="AF33" s="1296"/>
      <c r="AG33" s="1296"/>
      <c r="AH33" s="1296"/>
      <c r="AI33" s="1296"/>
      <c r="AJ33" s="1296"/>
      <c r="AK33" s="1296"/>
      <c r="AL33" s="1296"/>
      <c r="AM33" s="1296"/>
      <c r="AN33" s="1296"/>
      <c r="AO33" s="1296"/>
      <c r="AP33" s="1296"/>
      <c r="AQ33" s="1296"/>
      <c r="AR33" s="1296"/>
      <c r="AS33" s="1296"/>
      <c r="AT33" s="1296"/>
      <c r="AU33" s="1296"/>
      <c r="AV33" s="1296"/>
      <c r="AW33" s="1296"/>
      <c r="AX33" s="1296"/>
      <c r="AY33" s="1296"/>
      <c r="AZ33" s="1296"/>
      <c r="BA33" s="1296"/>
      <c r="BB33" s="1296"/>
      <c r="BC33" s="1296"/>
      <c r="BD33" s="1296"/>
      <c r="BE33" s="1296"/>
      <c r="BF33" s="1296"/>
      <c r="BG33" s="1296"/>
      <c r="BH33" s="1296"/>
      <c r="BI33" s="1296"/>
      <c r="BJ33" s="1296"/>
      <c r="BK33" s="1296"/>
      <c r="BL33" s="1296"/>
      <c r="BM33" s="1296"/>
      <c r="BN33" s="1296"/>
      <c r="BO33" s="1296"/>
      <c r="BP33" s="1296"/>
      <c r="BQ33" s="1296"/>
      <c r="BR33" s="1296"/>
      <c r="BS33" s="1296"/>
      <c r="BT33" s="1296"/>
      <c r="BU33" s="1296"/>
      <c r="BV33" s="1296"/>
      <c r="BW33" s="1296"/>
      <c r="BX33" s="1296"/>
      <c r="BY33" s="1296"/>
      <c r="BZ33" s="1296"/>
      <c r="CA33" s="1296"/>
      <c r="CB33" s="1296"/>
      <c r="CC33" s="1296"/>
      <c r="CD33" s="1296"/>
      <c r="CE33" s="1296"/>
      <c r="CF33" s="1296"/>
      <c r="CG33" s="1296"/>
      <c r="CH33" s="1296"/>
      <c r="CI33" s="1296"/>
      <c r="CJ33" s="1296"/>
      <c r="CK33" s="1296"/>
    </row>
    <row r="34" spans="1:89" ht="38.25" customHeight="1" thickBot="1" x14ac:dyDescent="0.3">
      <c r="A34" s="1296"/>
      <c r="B34" s="1182"/>
      <c r="C34" s="1177" t="s">
        <v>1400</v>
      </c>
      <c r="D34" s="1177" t="s">
        <v>1510</v>
      </c>
      <c r="E34" s="1177" t="s">
        <v>767</v>
      </c>
      <c r="F34" s="1177" t="s">
        <v>1515</v>
      </c>
      <c r="G34" s="1177" t="s">
        <v>1833</v>
      </c>
      <c r="H34" s="1178" t="s">
        <v>1834</v>
      </c>
      <c r="I34" s="1178" t="s">
        <v>1835</v>
      </c>
      <c r="J34" s="1177" t="s">
        <v>1857</v>
      </c>
      <c r="K34" s="1177" t="s">
        <v>1836</v>
      </c>
      <c r="L34" s="1178" t="s">
        <v>1414</v>
      </c>
      <c r="M34" s="1178" t="s">
        <v>1398</v>
      </c>
      <c r="N34" s="1177" t="s">
        <v>1399</v>
      </c>
      <c r="O34" s="1177" t="s">
        <v>722</v>
      </c>
      <c r="P34" s="1177" t="s">
        <v>723</v>
      </c>
      <c r="Q34" s="1178" t="s">
        <v>1514</v>
      </c>
      <c r="R34" s="1296"/>
      <c r="S34" s="1296"/>
      <c r="T34" s="1182"/>
      <c r="U34" s="1177" t="s">
        <v>1400</v>
      </c>
      <c r="V34" s="1177" t="s">
        <v>1510</v>
      </c>
      <c r="W34" s="1177" t="s">
        <v>767</v>
      </c>
      <c r="X34" s="1177" t="s">
        <v>1515</v>
      </c>
      <c r="Y34" s="1177" t="s">
        <v>1833</v>
      </c>
      <c r="Z34" s="1178" t="s">
        <v>1834</v>
      </c>
      <c r="AA34" s="1178" t="s">
        <v>1835</v>
      </c>
      <c r="AB34" s="1177" t="s">
        <v>1857</v>
      </c>
      <c r="AC34" s="1177" t="s">
        <v>1836</v>
      </c>
      <c r="AD34" s="1178" t="s">
        <v>1414</v>
      </c>
      <c r="AE34" s="1178" t="s">
        <v>1398</v>
      </c>
      <c r="AF34" s="1177" t="s">
        <v>1399</v>
      </c>
      <c r="AG34" s="1177" t="s">
        <v>722</v>
      </c>
      <c r="AH34" s="1177" t="s">
        <v>723</v>
      </c>
      <c r="AI34" s="1178" t="s">
        <v>1514</v>
      </c>
      <c r="AJ34" s="1296"/>
      <c r="AK34" s="1296"/>
      <c r="AL34" s="1296"/>
      <c r="AM34" s="1296"/>
      <c r="AN34" s="1296"/>
      <c r="AO34" s="1296"/>
      <c r="AP34" s="1296"/>
      <c r="AQ34" s="1296"/>
      <c r="AR34" s="1296"/>
      <c r="AS34" s="1296"/>
      <c r="AT34" s="1296"/>
      <c r="AU34" s="1296"/>
      <c r="AV34" s="1296"/>
      <c r="AW34" s="1296"/>
      <c r="AX34" s="1296"/>
      <c r="AY34" s="1296"/>
      <c r="AZ34" s="1296"/>
      <c r="BA34" s="1296"/>
      <c r="BB34" s="1296"/>
      <c r="BC34" s="1296"/>
      <c r="BD34" s="1296"/>
      <c r="BE34" s="1296"/>
      <c r="BF34" s="1296"/>
      <c r="BG34" s="1296"/>
      <c r="BH34" s="1296"/>
      <c r="BI34" s="1296"/>
      <c r="BJ34" s="1296"/>
      <c r="BK34" s="1296"/>
      <c r="BL34" s="1296"/>
      <c r="BM34" s="1296"/>
      <c r="BN34" s="1296"/>
      <c r="BO34" s="1296"/>
      <c r="BP34" s="1296"/>
      <c r="BQ34" s="1296"/>
      <c r="BR34" s="1296"/>
      <c r="BS34" s="1296"/>
      <c r="BT34" s="1296"/>
      <c r="BU34" s="1296"/>
      <c r="BV34" s="1296"/>
      <c r="BW34" s="1296"/>
      <c r="BX34" s="1296"/>
      <c r="BY34" s="1296"/>
      <c r="BZ34" s="1296"/>
      <c r="CA34" s="1296"/>
      <c r="CB34" s="1296"/>
      <c r="CC34" s="1296"/>
      <c r="CD34" s="1296"/>
      <c r="CE34" s="1296"/>
      <c r="CF34" s="1296"/>
      <c r="CG34" s="1296"/>
      <c r="CH34" s="1296"/>
      <c r="CI34" s="1296"/>
      <c r="CJ34" s="1296"/>
      <c r="CK34" s="1296"/>
    </row>
    <row r="35" spans="1:89" ht="68.25" customHeight="1" thickBot="1" x14ac:dyDescent="0.3">
      <c r="A35" s="1296"/>
      <c r="B35" s="1184" t="s">
        <v>1837</v>
      </c>
      <c r="C35" s="1185" t="s">
        <v>1519</v>
      </c>
      <c r="D35" s="1186">
        <v>1401</v>
      </c>
      <c r="E35" s="1181" t="s">
        <v>1907</v>
      </c>
      <c r="F35" s="1181" t="s">
        <v>1516</v>
      </c>
      <c r="G35" s="1179" t="str" cm="1">
        <f t="array" aca="1" ref="G35" ca="1">INDIRECT("'Incentives Worksheet'!P"&amp;'Configurable Tab'!H5+3)</f>
        <v>Same as Payout Cycle</v>
      </c>
      <c r="H35" s="1179" t="str" cm="1">
        <f t="array" aca="1" ref="H35" ca="1">IF(ISBLANK(INDIRECT("'Incentives Worksheet'!H"&amp;'Configurable Tab'!H5+3)),"",INDIRECT("'Incentives Worksheet'!H"&amp;'Configurable Tab'!H5+3))</f>
        <v/>
      </c>
      <c r="I35" s="1179" t="str" cm="1">
        <f t="array" aca="1" ref="I35" ca="1">IF(INDIRECT("'Incentives Worksheet'!R"&amp;'Configurable Tab'!H5+3)="USF Calendar","Fiscal",INDIRECT("'Incentives Worksheet'!R"&amp;'Configurable Tab'!H5+3))</f>
        <v>Fiscal</v>
      </c>
      <c r="J35" s="1187" t="str" cm="1">
        <f t="array" aca="1" ref="J35" ca="1">IF(INDIRECT("'Incentives Worksheet'!L"&amp;'Configurable Tab'!H5+9)="All"," Select All Products","Unselect All Products")</f>
        <v xml:space="preserve"> Select All Products</v>
      </c>
      <c r="K35" s="1179" t="str" cm="1">
        <f t="array" aca="1" ref="K35" ca="1">IF(INDIRECT("'Incentives Worksheet'!T"&amp;'Configurable Tab'!H5+3)="Yes","Post to GL","")</f>
        <v/>
      </c>
      <c r="L35" s="1179" t="str" cm="1">
        <f t="array" aca="1" ref="L35" ca="1">IF(ISBLANK(INDIRECT("'Incentives Worksheet'!L"&amp;'Configurable Tab'!H5+3)),"",INDIRECT("'Incentives Worksheet'!L"&amp;'Configurable Tab'!H5+3))</f>
        <v/>
      </c>
      <c r="M35" s="1179" t="str" cm="1">
        <f t="array" aca="1" ref="M35" ca="1">IF(ISBLANK(INDIRECT("'Incentives Worksheet'!J"&amp;'Configurable Tab'!H5+3)),"",INDIRECT("'Incentives Worksheet'!J"&amp;'Configurable Tab'!H5+3))</f>
        <v/>
      </c>
      <c r="N35" s="1179" t="str" cm="1">
        <f t="array" aca="1" ref="N35" ca="1">IF(ISBLANK(INDIRECT("'Incentives Worksheet'!N"&amp;'Configurable Tab'!H5+3)),"",INDIRECT("'Incentives Worksheet'!N"&amp;'Configurable Tab'!H5+3))</f>
        <v/>
      </c>
      <c r="O35" s="1180" t="str" cm="1">
        <f t="array" aca="1" ref="O35" ca="1">INDIRECT("'Incentives Worksheet'!D"&amp;'Configurable Tab'!H5+6)</f>
        <v/>
      </c>
      <c r="P35" s="1180" t="str" cm="1">
        <f t="array" aca="1" ref="P35" ca="1">INDIRECT("'Incentives Worksheet'!D"&amp;'Configurable Tab'!H5+8)</f>
        <v/>
      </c>
      <c r="Q35" s="1179" t="str" cm="1">
        <f t="array" aca="1" ref="Q35" ca="1">IF(INDIRECT("'Incentives Worksheet'!D"&amp;'Configurable Tab'!H5+10)="No","Update tracking dates",INDIRECT("'Incentives Worksheet'!D"&amp;'Configurable Tab'!H5+10))</f>
        <v>Yes</v>
      </c>
      <c r="R35" s="1296"/>
      <c r="S35" s="1296"/>
      <c r="T35" s="1184" t="s">
        <v>1837</v>
      </c>
      <c r="U35" s="1185" t="s">
        <v>1519</v>
      </c>
      <c r="V35" s="1186">
        <v>1402</v>
      </c>
      <c r="W35" s="1181" t="s">
        <v>1907</v>
      </c>
      <c r="X35" s="1181" t="s">
        <v>1516</v>
      </c>
      <c r="Y35" s="1179" t="str" cm="1">
        <f t="array" aca="1" ref="Y35" ca="1">INDIRECT("'Incentives Worksheet'!P"&amp;'Configurable Tab'!H6+3)</f>
        <v>Same as Payout Cycle</v>
      </c>
      <c r="Z35" s="1179" t="str" cm="1">
        <f t="array" aca="1" ref="Z35" ca="1">IF(ISBLANK(INDIRECT("'Incentives Worksheet'!H"&amp;'Configurable Tab'!H6+3)),"",INDIRECT("'Incentives Worksheet'!H"&amp;'Configurable Tab'!H6+3))</f>
        <v/>
      </c>
      <c r="AA35" s="1179" t="str" cm="1">
        <f t="array" aca="1" ref="AA35" ca="1">IF(INDIRECT("'Incentives Worksheet'!R"&amp;'Configurable Tab'!H6+3)="USF Calendar","Fiscal",INDIRECT("'Incentives Worksheet'!R"&amp;'Configurable Tab'!H6+3))</f>
        <v>Fiscal</v>
      </c>
      <c r="AB35" s="1179" t="str" cm="1">
        <f t="array" aca="1" ref="AB35" ca="1">IF(INDIRECT("'Incentives Worksheet'!L"&amp;'Configurable Tab'!H6+9)="All"," Select All Products","Unselect All Products")</f>
        <v xml:space="preserve"> Select All Products</v>
      </c>
      <c r="AC35" s="1179" t="str" cm="1">
        <f t="array" aca="1" ref="AC35" ca="1">IF(INDIRECT("'Incentives Worksheet'!T"&amp;'Configurable Tab'!H6+3)="Yes","Post to GL","")</f>
        <v/>
      </c>
      <c r="AD35" s="1179" t="str" cm="1">
        <f t="array" aca="1" ref="AD35" ca="1">IF(ISBLANK(INDIRECT("'Incentives Worksheet'!L"&amp;'Configurable Tab'!H6+3)),"",INDIRECT("'Incentives Worksheet'!L"&amp;'Configurable Tab'!H6+3))</f>
        <v/>
      </c>
      <c r="AE35" s="1179" t="str" cm="1">
        <f t="array" aca="1" ref="AE35" ca="1">IF(ISBLANK(INDIRECT("'Incentives Worksheet'!J"&amp;'Configurable Tab'!H6+3)),"",INDIRECT("'Incentives Worksheet'!J"&amp;'Configurable Tab'!H6+3))</f>
        <v/>
      </c>
      <c r="AF35" s="1179" t="str" cm="1">
        <f t="array" aca="1" ref="AF35" ca="1">IF(ISBLANK(INDIRECT("'Incentives Worksheet'!N"&amp;'Configurable Tab'!H6+3)),"",INDIRECT("'Incentives Worksheet'!N"&amp;'Configurable Tab'!H6+3))</f>
        <v/>
      </c>
      <c r="AG35" s="1180" t="str" cm="1">
        <f t="array" aca="1" ref="AG35" ca="1">INDIRECT("'Incentives Worksheet'!D"&amp;'Configurable Tab'!H6+6)</f>
        <v/>
      </c>
      <c r="AH35" s="1180" t="str" cm="1">
        <f t="array" aca="1" ref="AH35" ca="1">INDIRECT("'Incentives Worksheet'!D"&amp;'Configurable Tab'!H6+8)</f>
        <v/>
      </c>
      <c r="AI35" s="1179" t="str" cm="1">
        <f t="array" aca="1" ref="AI35" ca="1">IF(INDIRECT("'Incentives Worksheet'!D"&amp;'Configurable Tab'!H6+10)="No","Update tracking dates",INDIRECT("'Incentives Worksheet'!D"&amp;'Configurable Tab'!H6+10))</f>
        <v>Yes</v>
      </c>
      <c r="AJ35" s="1296"/>
      <c r="AK35" s="1296"/>
      <c r="AL35" s="1296"/>
      <c r="AM35" s="1296"/>
      <c r="AN35" s="1296"/>
      <c r="AO35" s="1296"/>
      <c r="AP35" s="1296"/>
      <c r="AQ35" s="1296"/>
      <c r="AR35" s="1296"/>
      <c r="AS35" s="1296"/>
      <c r="AT35" s="1296"/>
      <c r="AU35" s="1296"/>
      <c r="AV35" s="1296"/>
      <c r="AW35" s="1296"/>
      <c r="AX35" s="1296"/>
      <c r="AY35" s="1296"/>
      <c r="AZ35" s="1296"/>
      <c r="BA35" s="1296"/>
      <c r="BB35" s="1296"/>
      <c r="BC35" s="1296"/>
      <c r="BD35" s="1296"/>
      <c r="BE35" s="1296"/>
      <c r="BF35" s="1296"/>
      <c r="BG35" s="1296"/>
      <c r="BH35" s="1296"/>
      <c r="BI35" s="1296"/>
      <c r="BJ35" s="1296"/>
      <c r="BK35" s="1296"/>
      <c r="BL35" s="1296"/>
      <c r="BM35" s="1296"/>
      <c r="BN35" s="1296"/>
      <c r="BO35" s="1296"/>
      <c r="BP35" s="1296"/>
      <c r="BQ35" s="1296"/>
      <c r="BR35" s="1296"/>
      <c r="BS35" s="1296"/>
      <c r="BT35" s="1296"/>
      <c r="BU35" s="1296"/>
      <c r="BV35" s="1296"/>
      <c r="BW35" s="1296"/>
      <c r="BX35" s="1296"/>
      <c r="BY35" s="1296"/>
      <c r="BZ35" s="1296"/>
      <c r="CA35" s="1296"/>
      <c r="CB35" s="1296"/>
      <c r="CC35" s="1296"/>
      <c r="CD35" s="1296"/>
      <c r="CE35" s="1296"/>
      <c r="CF35" s="1296"/>
      <c r="CG35" s="1296"/>
      <c r="CH35" s="1296"/>
      <c r="CI35" s="1296"/>
      <c r="CJ35" s="1296"/>
      <c r="CK35" s="1296"/>
    </row>
    <row r="36" spans="1:89" ht="45.75" customHeight="1" thickBot="1" x14ac:dyDescent="0.3">
      <c r="A36" s="1296"/>
      <c r="B36" s="1719" t="s">
        <v>1838</v>
      </c>
      <c r="C36" s="1210" t="s">
        <v>1858</v>
      </c>
      <c r="D36" s="1177" t="s">
        <v>1859</v>
      </c>
      <c r="E36" s="1178" t="s">
        <v>1376</v>
      </c>
      <c r="F36" s="1178" t="s">
        <v>1860</v>
      </c>
      <c r="G36" s="1177" t="s">
        <v>1861</v>
      </c>
      <c r="H36" s="1211" t="s">
        <v>1862</v>
      </c>
      <c r="I36" s="1211" t="s">
        <v>1863</v>
      </c>
      <c r="J36" s="1211" t="s">
        <v>1864</v>
      </c>
      <c r="K36" s="1212"/>
      <c r="L36" s="1212"/>
      <c r="M36" s="1212"/>
      <c r="N36" s="1212"/>
      <c r="O36" s="1212"/>
      <c r="P36" s="1212"/>
      <c r="Q36" s="1213"/>
      <c r="R36" s="1212"/>
      <c r="S36" s="1212"/>
      <c r="T36" s="1719" t="s">
        <v>1838</v>
      </c>
      <c r="U36" s="1214" t="s">
        <v>1858</v>
      </c>
      <c r="V36" s="1177" t="s">
        <v>1859</v>
      </c>
      <c r="W36" s="1178" t="s">
        <v>1376</v>
      </c>
      <c r="X36" s="1177" t="s">
        <v>1860</v>
      </c>
      <c r="Y36" s="1177" t="s">
        <v>1861</v>
      </c>
      <c r="Z36" s="1211" t="s">
        <v>1862</v>
      </c>
      <c r="AA36" s="1211" t="s">
        <v>1863</v>
      </c>
      <c r="AB36" s="1215" t="s">
        <v>1864</v>
      </c>
      <c r="AC36" s="1212"/>
      <c r="AD36" s="1212"/>
      <c r="AE36" s="1212"/>
      <c r="AF36" s="1212"/>
      <c r="AG36" s="1212"/>
      <c r="AH36" s="1212"/>
      <c r="AI36" s="1213"/>
      <c r="AJ36" s="1296"/>
      <c r="AK36" s="1296"/>
      <c r="AL36" s="1296"/>
      <c r="AM36" s="1296"/>
      <c r="AN36" s="1296"/>
      <c r="AO36" s="1296"/>
      <c r="AP36" s="1296"/>
      <c r="AQ36" s="1296"/>
      <c r="AR36" s="1296"/>
      <c r="AS36" s="1296"/>
      <c r="AT36" s="1296"/>
      <c r="AU36" s="1296"/>
      <c r="AV36" s="1296"/>
      <c r="AW36" s="1296"/>
      <c r="AX36" s="1296"/>
      <c r="AY36" s="1296"/>
      <c r="AZ36" s="1296"/>
      <c r="BA36" s="1296"/>
      <c r="BB36" s="1296"/>
      <c r="BC36" s="1296"/>
      <c r="BD36" s="1296"/>
      <c r="BE36" s="1296"/>
      <c r="BF36" s="1296"/>
      <c r="BG36" s="1296"/>
      <c r="BH36" s="1296"/>
      <c r="BI36" s="1296"/>
      <c r="BJ36" s="1296"/>
      <c r="BK36" s="1296"/>
      <c r="BL36" s="1296"/>
      <c r="BM36" s="1296"/>
      <c r="BN36" s="1296"/>
      <c r="BO36" s="1296"/>
      <c r="BP36" s="1296"/>
      <c r="BQ36" s="1296"/>
      <c r="BR36" s="1296"/>
      <c r="BS36" s="1296"/>
      <c r="BT36" s="1296"/>
      <c r="BU36" s="1296"/>
      <c r="BV36" s="1296"/>
      <c r="BW36" s="1296"/>
      <c r="BX36" s="1296"/>
      <c r="BY36" s="1296"/>
      <c r="BZ36" s="1296"/>
      <c r="CA36" s="1296"/>
      <c r="CB36" s="1296"/>
      <c r="CC36" s="1296"/>
      <c r="CD36" s="1296"/>
      <c r="CE36" s="1296"/>
      <c r="CF36" s="1296"/>
      <c r="CG36" s="1296"/>
      <c r="CH36" s="1296"/>
      <c r="CI36" s="1296"/>
      <c r="CJ36" s="1296"/>
      <c r="CK36" s="1296"/>
    </row>
    <row r="37" spans="1:89" ht="15.75" thickBot="1" x14ac:dyDescent="0.3">
      <c r="A37" s="1296"/>
      <c r="B37" s="1726"/>
      <c r="C37" s="1216" t="s">
        <v>1865</v>
      </c>
      <c r="D37" s="1216" t="str" cm="1">
        <f t="array" aca="1" ref="D37" ca="1">IF(INDIRECT("'Incentives Worksheet'!L"&amp;'Configurable Tab'!H5+9)="All"," All Products","Included Products")</f>
        <v xml:space="preserve"> All Products</v>
      </c>
      <c r="E37" s="1217" t="str" cm="1">
        <f t="array" aca="1" ref="E37" ca="1">IF(INDIRECT("'Incentives Worksheet'!J"&amp;'Configurable Tab'!H5+9)="All","All Customers","Individual")</f>
        <v>All Customers</v>
      </c>
      <c r="F37" s="1216" t="str" cm="1">
        <f t="array" aca="1" ref="F37" ca="1">INDIRECT("'Incentives Worksheet'!P"&amp;'Configurable Tab'!H5+9)</f>
        <v>Yes</v>
      </c>
      <c r="G37" s="1218" t="str" cm="1">
        <f t="array" aca="1" ref="G37" ca="1">IF(INDIRECT("'Incentives Worksheet'!L"&amp;'Configurable Tab'!H5+6)&lt;&gt;0,INDIRECT("'Incentives Worksheet'!L"&amp;'Configurable Tab'!H5+6),"")</f>
        <v/>
      </c>
      <c r="H37" s="1179" t="s">
        <v>1866</v>
      </c>
      <c r="I37" s="1179" t="s">
        <v>1867</v>
      </c>
      <c r="J37" s="1187" t="str" cm="1">
        <f t="array" aca="1" ref="J37" ca="1">INDIRECT("'Incentives Worksheet'!N"&amp;'Configurable Tab'!H5+6)</f>
        <v>%</v>
      </c>
      <c r="K37" s="1188"/>
      <c r="L37" s="1188"/>
      <c r="M37" s="1188"/>
      <c r="N37" s="1188"/>
      <c r="O37" s="1188"/>
      <c r="P37" s="1188"/>
      <c r="Q37" s="138"/>
      <c r="R37" s="1296"/>
      <c r="S37" s="1296"/>
      <c r="T37" s="1726"/>
      <c r="U37" s="1216" t="s">
        <v>1865</v>
      </c>
      <c r="V37" s="1216" t="str" cm="1">
        <f t="array" aca="1" ref="V37" ca="1">IF(INDIRECT("'Incentives Worksheet'!L"&amp;'Configurable Tab'!H6+9)="All"," All Products","Included Products")</f>
        <v xml:space="preserve"> All Products</v>
      </c>
      <c r="W37" s="1219" t="str" cm="1">
        <f t="array" aca="1" ref="W37" ca="1">IF(INDIRECT("'Incentives Worksheet'!J"&amp;'Configurable Tab'!H6+9)="All","All Customers","Individual")</f>
        <v>All Customers</v>
      </c>
      <c r="X37" s="1219" t="str" cm="1">
        <f t="array" aca="1" ref="X37" ca="1">INDIRECT("'Incentives Worksheet'!P"&amp;'Configurable Tab'!H6+9)</f>
        <v>Yes</v>
      </c>
      <c r="Y37" s="1219" t="str" cm="1">
        <f t="array" aca="1" ref="Y37" ca="1">IF(INDIRECT("'Incentives Worksheet'!L"&amp;'Configurable Tab'!H6+6)=0,"",INDIRECT("'Incentives Worksheet'!L"&amp;'Configurable Tab'!H6+6))</f>
        <v/>
      </c>
      <c r="Z37" s="1179" t="s">
        <v>1866</v>
      </c>
      <c r="AA37" s="1179" t="s">
        <v>1867</v>
      </c>
      <c r="AB37" s="1179" t="str" cm="1">
        <f t="array" aca="1" ref="AB37" ca="1">INDIRECT("'Incentives Worksheet'!N"&amp;'Configurable Tab'!H6+6)</f>
        <v>%</v>
      </c>
      <c r="AC37" s="1188"/>
      <c r="AD37" s="1188"/>
      <c r="AE37" s="1188"/>
      <c r="AF37" s="1188"/>
      <c r="AG37" s="1188"/>
      <c r="AH37" s="1188"/>
      <c r="AI37" s="138"/>
      <c r="AJ37" s="1296"/>
      <c r="AK37" s="1296"/>
      <c r="AL37" s="1296"/>
      <c r="AM37" s="1296"/>
      <c r="AN37" s="1296"/>
      <c r="AO37" s="1296"/>
      <c r="AP37" s="1296"/>
      <c r="AQ37" s="1296"/>
      <c r="AR37" s="1296"/>
      <c r="AS37" s="1296"/>
      <c r="AT37" s="1296"/>
      <c r="AU37" s="1296"/>
      <c r="AV37" s="1296"/>
      <c r="AW37" s="1296"/>
      <c r="AX37" s="1296"/>
      <c r="AY37" s="1296"/>
      <c r="AZ37" s="1296"/>
      <c r="BA37" s="1296"/>
      <c r="BB37" s="1296"/>
      <c r="BC37" s="1296"/>
      <c r="BD37" s="1296"/>
      <c r="BE37" s="1296"/>
      <c r="BF37" s="1296"/>
      <c r="BG37" s="1296"/>
      <c r="BH37" s="1296"/>
      <c r="BI37" s="1296"/>
      <c r="BJ37" s="1296"/>
      <c r="BK37" s="1296"/>
      <c r="BL37" s="1296"/>
      <c r="BM37" s="1296"/>
      <c r="BN37" s="1296"/>
      <c r="BO37" s="1296"/>
      <c r="BP37" s="1296"/>
      <c r="BQ37" s="1296"/>
      <c r="BR37" s="1296"/>
      <c r="BS37" s="1296"/>
      <c r="BT37" s="1296"/>
      <c r="BU37" s="1296"/>
      <c r="BV37" s="1296"/>
      <c r="BW37" s="1296"/>
      <c r="BX37" s="1296"/>
      <c r="BY37" s="1296"/>
      <c r="BZ37" s="1296"/>
      <c r="CA37" s="1296"/>
      <c r="CB37" s="1296"/>
      <c r="CC37" s="1296"/>
      <c r="CD37" s="1296"/>
      <c r="CE37" s="1296"/>
      <c r="CF37" s="1296"/>
      <c r="CG37" s="1296"/>
      <c r="CH37" s="1296"/>
      <c r="CI37" s="1296"/>
      <c r="CJ37" s="1296"/>
      <c r="CK37" s="1296"/>
    </row>
    <row r="38" spans="1:89" x14ac:dyDescent="0.25">
      <c r="A38" s="1296"/>
      <c r="B38" s="1721"/>
      <c r="C38" s="1220" t="s">
        <v>1868</v>
      </c>
      <c r="D38" s="1221" t="s">
        <v>126</v>
      </c>
      <c r="E38" s="1222" t="s">
        <v>128</v>
      </c>
      <c r="F38" s="1223" t="s">
        <v>1110</v>
      </c>
      <c r="G38" s="1188"/>
      <c r="H38" s="1188"/>
      <c r="I38" s="1188"/>
      <c r="J38" s="1188"/>
      <c r="K38" s="1188"/>
      <c r="L38" s="1188"/>
      <c r="M38" s="1188"/>
      <c r="N38" s="1188"/>
      <c r="O38" s="1188"/>
      <c r="P38" s="1188"/>
      <c r="Q38" s="1189"/>
      <c r="R38" s="1296"/>
      <c r="S38" s="1296"/>
      <c r="T38" s="1721"/>
      <c r="U38" s="1224" t="s">
        <v>1868</v>
      </c>
      <c r="V38" s="1225" t="s">
        <v>126</v>
      </c>
      <c r="W38" s="1226" t="s">
        <v>128</v>
      </c>
      <c r="X38" s="1227" t="s">
        <v>1110</v>
      </c>
      <c r="Y38" s="1188"/>
      <c r="Z38" s="1188"/>
      <c r="AA38" s="1188"/>
      <c r="AB38" s="1188"/>
      <c r="AC38" s="1188"/>
      <c r="AD38" s="1188"/>
      <c r="AE38" s="1188"/>
      <c r="AF38" s="1188"/>
      <c r="AG38" s="1188"/>
      <c r="AH38" s="1188"/>
      <c r="AI38" s="1189"/>
      <c r="AJ38" s="1296"/>
      <c r="AK38" s="1296"/>
      <c r="AL38" s="1296"/>
      <c r="AM38" s="1296"/>
      <c r="AN38" s="1296"/>
      <c r="AO38" s="1296"/>
      <c r="AP38" s="1296"/>
      <c r="AQ38" s="1296"/>
      <c r="AR38" s="1296"/>
      <c r="AS38" s="1296"/>
      <c r="AT38" s="1296"/>
      <c r="AU38" s="1296"/>
      <c r="AV38" s="1296"/>
      <c r="AW38" s="1296"/>
      <c r="AX38" s="1296"/>
      <c r="AY38" s="1296"/>
      <c r="AZ38" s="1296"/>
      <c r="BA38" s="1296"/>
      <c r="BB38" s="1296"/>
      <c r="BC38" s="1296"/>
      <c r="BD38" s="1296"/>
      <c r="BE38" s="1296"/>
      <c r="BF38" s="1296"/>
      <c r="BG38" s="1296"/>
      <c r="BH38" s="1296"/>
      <c r="BI38" s="1296"/>
      <c r="BJ38" s="1296"/>
      <c r="BK38" s="1296"/>
      <c r="BL38" s="1296"/>
      <c r="BM38" s="1296"/>
      <c r="BN38" s="1296"/>
      <c r="BO38" s="1296"/>
      <c r="BP38" s="1296"/>
      <c r="BQ38" s="1296"/>
      <c r="BR38" s="1296"/>
      <c r="BS38" s="1296"/>
      <c r="BT38" s="1296"/>
      <c r="BU38" s="1296"/>
      <c r="BV38" s="1296"/>
      <c r="BW38" s="1296"/>
      <c r="BX38" s="1296"/>
      <c r="BY38" s="1296"/>
      <c r="BZ38" s="1296"/>
      <c r="CA38" s="1296"/>
      <c r="CB38" s="1296"/>
      <c r="CC38" s="1296"/>
      <c r="CD38" s="1296"/>
      <c r="CE38" s="1296"/>
      <c r="CF38" s="1296"/>
      <c r="CG38" s="1296"/>
      <c r="CH38" s="1296"/>
      <c r="CI38" s="1296"/>
      <c r="CJ38" s="1296"/>
      <c r="CK38" s="1296"/>
    </row>
    <row r="39" spans="1:89" x14ac:dyDescent="0.25">
      <c r="A39" s="1296"/>
      <c r="B39" s="1721"/>
      <c r="C39" s="1228">
        <v>0</v>
      </c>
      <c r="D39" s="1229" t="str" cm="1">
        <f t="array" aca="1" ref="D39" ca="1">IF(INDIRECT("'Incentives Worksheet'!H"&amp;'Configurable Tab'!H5+6)&lt;&gt;0,0,"")</f>
        <v/>
      </c>
      <c r="E39" s="1230" t="str" cm="1">
        <f t="array" aca="1" ref="E39" ca="1">IF(INDIRECT("'Incentives Worksheet'!H"&amp;'Configurable Tab'!H5+6)&lt;&gt;0,INDIRECT("'Incentives Worksheet'!H"&amp;'Configurable Tab'!H5+6)-0.01,"")</f>
        <v/>
      </c>
      <c r="F39" s="1231" t="str" cm="1">
        <f t="array" aca="1" ref="F39" ca="1">IF(INDIRECT("'Incentives Worksheet'!H"&amp;'Configurable Tab'!H5+6)&lt;&gt;0,0,"")</f>
        <v/>
      </c>
      <c r="G39" s="1188"/>
      <c r="H39" s="1188"/>
      <c r="I39" s="1188"/>
      <c r="J39" s="1188"/>
      <c r="K39" s="1188"/>
      <c r="L39" s="1188"/>
      <c r="M39" s="1188"/>
      <c r="N39" s="1188"/>
      <c r="O39" s="1188"/>
      <c r="P39" s="1188"/>
      <c r="Q39" s="1189"/>
      <c r="R39" s="1296"/>
      <c r="S39" s="1296"/>
      <c r="T39" s="1721"/>
      <c r="U39" s="1232">
        <v>0</v>
      </c>
      <c r="V39" s="1204" t="str" cm="1">
        <f t="array" aca="1" ref="V39" ca="1">IF(INDIRECT("'Incentives Worksheet'!H"&amp;'Configurable Tab'!H6+6)&lt;&gt;0,0,"")</f>
        <v/>
      </c>
      <c r="W39" s="1233" t="str" cm="1">
        <f t="array" aca="1" ref="W39" ca="1">IF(INDIRECT("'Incentives Worksheet'!H"&amp;'Configurable Tab'!H6+6)&lt;&gt;0,INDIRECT("'Incentives Worksheet'!H"&amp;'Configurable Tab'!H6+6)-0.01,"")</f>
        <v/>
      </c>
      <c r="X39" s="1233" t="str" cm="1">
        <f t="array" aca="1" ref="X39" ca="1">IF(INDIRECT("'Incentives Worksheet'!H"&amp;'Configurable Tab'!H6+6)&lt;&gt;0,0,"")</f>
        <v/>
      </c>
      <c r="Y39" s="1188"/>
      <c r="Z39" s="1188"/>
      <c r="AA39" s="1188"/>
      <c r="AB39" s="1188"/>
      <c r="AC39" s="1188"/>
      <c r="AD39" s="1188"/>
      <c r="AE39" s="1188"/>
      <c r="AF39" s="1188"/>
      <c r="AG39" s="1188"/>
      <c r="AH39" s="1188"/>
      <c r="AI39" s="1189"/>
      <c r="AJ39" s="1296"/>
      <c r="AK39" s="1296"/>
      <c r="AL39" s="1296"/>
      <c r="AM39" s="1296"/>
      <c r="AN39" s="1296"/>
      <c r="AO39" s="1296"/>
      <c r="AP39" s="1296"/>
      <c r="AQ39" s="1296"/>
      <c r="AR39" s="1296"/>
      <c r="AS39" s="1296"/>
      <c r="AT39" s="1296"/>
      <c r="AU39" s="1296"/>
      <c r="AV39" s="1296"/>
      <c r="AW39" s="1296"/>
      <c r="AX39" s="1296"/>
      <c r="AY39" s="1296"/>
      <c r="AZ39" s="1296"/>
      <c r="BA39" s="1296"/>
      <c r="BB39" s="1296"/>
      <c r="BC39" s="1296"/>
      <c r="BD39" s="1296"/>
      <c r="BE39" s="1296"/>
      <c r="BF39" s="1296"/>
      <c r="BG39" s="1296"/>
      <c r="BH39" s="1296"/>
      <c r="BI39" s="1296"/>
      <c r="BJ39" s="1296"/>
      <c r="BK39" s="1296"/>
      <c r="BL39" s="1296"/>
      <c r="BM39" s="1296"/>
      <c r="BN39" s="1296"/>
      <c r="BO39" s="1296"/>
      <c r="BP39" s="1296"/>
      <c r="BQ39" s="1296"/>
      <c r="BR39" s="1296"/>
      <c r="BS39" s="1296"/>
      <c r="BT39" s="1296"/>
      <c r="BU39" s="1296"/>
      <c r="BV39" s="1296"/>
      <c r="BW39" s="1296"/>
      <c r="BX39" s="1296"/>
      <c r="BY39" s="1296"/>
      <c r="BZ39" s="1296"/>
      <c r="CA39" s="1296"/>
      <c r="CB39" s="1296"/>
      <c r="CC39" s="1296"/>
      <c r="CD39" s="1296"/>
      <c r="CE39" s="1296"/>
      <c r="CF39" s="1296"/>
      <c r="CG39" s="1296"/>
      <c r="CH39" s="1296"/>
      <c r="CI39" s="1296"/>
      <c r="CJ39" s="1296"/>
      <c r="CK39" s="1296"/>
    </row>
    <row r="40" spans="1:89" ht="15.75" thickBot="1" x14ac:dyDescent="0.3">
      <c r="A40" s="1296"/>
      <c r="B40" s="1722"/>
      <c r="C40" s="1234">
        <v>1</v>
      </c>
      <c r="D40" s="1235" t="str" cm="1">
        <f t="array" aca="1" ref="D40" ca="1">IF(INDIRECT("'Incentives Worksheet'!H"&amp;'Configurable Tab'!H5+6)="","",INDIRECT("'Incentives Worksheet'!H"&amp;'Configurable Tab'!H5+6))</f>
        <v/>
      </c>
      <c r="E40" s="1236" cm="1">
        <f t="array" aca="1" ref="E40" ca="1">IF(INDIRECT("'Incentives Worksheet'!J"&amp;'Configurable Tab'!H5+6)="","",INDIRECT("'Incentives Worksheet'!J"&amp;'Configurable Tab'!H5+6))</f>
        <v>999999999.99000001</v>
      </c>
      <c r="F40" s="1237" t="str" cm="1">
        <f t="array" aca="1" ref="F40" ca="1">IF(INDIRECT("'Incentives Worksheet'!L"&amp;'Configurable Tab'!H5+6)="","",INDIRECT("'Incentives Worksheet'!L"&amp;'Configurable Tab'!H5+6))</f>
        <v/>
      </c>
      <c r="G40" s="1188"/>
      <c r="H40" s="1188"/>
      <c r="I40" s="1188"/>
      <c r="J40" s="1188"/>
      <c r="K40" s="1188"/>
      <c r="L40" s="1188"/>
      <c r="M40" s="1188"/>
      <c r="N40" s="1188"/>
      <c r="O40" s="1188"/>
      <c r="P40" s="1188"/>
      <c r="Q40" s="1189"/>
      <c r="R40" s="1296"/>
      <c r="S40" s="1296"/>
      <c r="T40" s="1722"/>
      <c r="U40" s="1238">
        <v>1</v>
      </c>
      <c r="V40" s="1198" t="str" cm="1">
        <f t="array" aca="1" ref="V40" ca="1">IF(INDIRECT("'Incentives Worksheet'!H"&amp;'Configurable Tab'!H6+6)="","",INDIRECT("'Incentives Worksheet'!H"&amp;'Configurable Tab'!H6+6))</f>
        <v/>
      </c>
      <c r="W40" s="1239" cm="1">
        <f t="array" aca="1" ref="W40" ca="1">IF(INDIRECT("'Incentives Worksheet'!J"&amp;'Configurable Tab'!H6+6)="","",INDIRECT("'Incentives Worksheet'!J"&amp;'Configurable Tab'!H6+6))</f>
        <v>999999999.99000001</v>
      </c>
      <c r="X40" s="1240" t="str" cm="1">
        <f t="array" aca="1" ref="X40" ca="1">IF(INDIRECT("'Incentives Worksheet'!L"&amp;'Configurable Tab'!H6+6)="","",INDIRECT("'Incentives Worksheet'!L"&amp;'Configurable Tab'!H6+6))</f>
        <v/>
      </c>
      <c r="Y40" s="1188"/>
      <c r="Z40" s="1188"/>
      <c r="AA40" s="1188"/>
      <c r="AB40" s="1188"/>
      <c r="AC40" s="1188"/>
      <c r="AD40" s="1188"/>
      <c r="AE40" s="1188"/>
      <c r="AF40" s="1188"/>
      <c r="AG40" s="1188"/>
      <c r="AH40" s="1188"/>
      <c r="AI40" s="1189"/>
      <c r="AJ40" s="1296"/>
      <c r="AK40" s="1296"/>
      <c r="AL40" s="1296"/>
      <c r="AM40" s="1296"/>
      <c r="AN40" s="1296"/>
      <c r="AO40" s="1296"/>
      <c r="AP40" s="1296"/>
      <c r="AQ40" s="1296"/>
      <c r="AR40" s="1296"/>
      <c r="AS40" s="1296"/>
      <c r="AT40" s="1296"/>
      <c r="AU40" s="1296"/>
      <c r="AV40" s="1296"/>
      <c r="AW40" s="1296"/>
      <c r="AX40" s="1296"/>
      <c r="AY40" s="1296"/>
      <c r="AZ40" s="1296"/>
      <c r="BA40" s="1296"/>
      <c r="BB40" s="1296"/>
      <c r="BC40" s="1296"/>
      <c r="BD40" s="1296"/>
      <c r="BE40" s="1296"/>
      <c r="BF40" s="1296"/>
      <c r="BG40" s="1296"/>
      <c r="BH40" s="1296"/>
      <c r="BI40" s="1296"/>
      <c r="BJ40" s="1296"/>
      <c r="BK40" s="1296"/>
      <c r="BL40" s="1296"/>
      <c r="BM40" s="1296"/>
      <c r="BN40" s="1296"/>
      <c r="BO40" s="1296"/>
      <c r="BP40" s="1296"/>
      <c r="BQ40" s="1296"/>
      <c r="BR40" s="1296"/>
      <c r="BS40" s="1296"/>
      <c r="BT40" s="1296"/>
      <c r="BU40" s="1296"/>
      <c r="BV40" s="1296"/>
      <c r="BW40" s="1296"/>
      <c r="BX40" s="1296"/>
      <c r="BY40" s="1296"/>
      <c r="BZ40" s="1296"/>
      <c r="CA40" s="1296"/>
      <c r="CB40" s="1296"/>
      <c r="CC40" s="1296"/>
      <c r="CD40" s="1296"/>
      <c r="CE40" s="1296"/>
      <c r="CF40" s="1296"/>
      <c r="CG40" s="1296"/>
      <c r="CH40" s="1296"/>
      <c r="CI40" s="1296"/>
      <c r="CJ40" s="1296"/>
      <c r="CK40" s="1296"/>
    </row>
    <row r="41" spans="1:89" ht="15.75" customHeight="1" thickBot="1" x14ac:dyDescent="0.3">
      <c r="A41" s="1296"/>
      <c r="B41" s="1719" t="s">
        <v>1842</v>
      </c>
      <c r="C41" s="1241" t="s">
        <v>1843</v>
      </c>
      <c r="D41" s="1242" t="s">
        <v>131</v>
      </c>
      <c r="E41" s="1242" t="s">
        <v>1844</v>
      </c>
      <c r="F41" s="1296"/>
      <c r="G41" s="1296"/>
      <c r="H41" s="1296"/>
      <c r="I41" s="1296"/>
      <c r="J41" s="1296"/>
      <c r="K41" s="1296"/>
      <c r="L41" s="1296"/>
      <c r="M41" s="1296"/>
      <c r="N41" s="1296"/>
      <c r="O41" s="1296"/>
      <c r="P41" s="1296"/>
      <c r="Q41" s="138"/>
      <c r="R41" s="1296"/>
      <c r="S41" s="1296"/>
      <c r="T41" s="1719" t="s">
        <v>1842</v>
      </c>
      <c r="U41" s="1241" t="s">
        <v>1843</v>
      </c>
      <c r="V41" s="1242" t="s">
        <v>131</v>
      </c>
      <c r="W41" s="1192" t="s">
        <v>1844</v>
      </c>
      <c r="X41" s="1296"/>
      <c r="Y41" s="1296"/>
      <c r="Z41" s="1296"/>
      <c r="AA41" s="1296"/>
      <c r="AB41" s="1296"/>
      <c r="AC41" s="1296"/>
      <c r="AD41" s="1296"/>
      <c r="AE41" s="1296"/>
      <c r="AF41" s="1296"/>
      <c r="AG41" s="1296"/>
      <c r="AH41" s="1296"/>
      <c r="AI41" s="138"/>
      <c r="AJ41" s="1296"/>
      <c r="AK41" s="1296"/>
      <c r="AL41" s="1296"/>
      <c r="AM41" s="1296"/>
      <c r="AN41" s="1296"/>
      <c r="AO41" s="1296"/>
      <c r="AP41" s="1296"/>
      <c r="AQ41" s="1296"/>
      <c r="AR41" s="1296"/>
      <c r="AS41" s="1296"/>
      <c r="AT41" s="1296"/>
      <c r="AU41" s="1296"/>
      <c r="AV41" s="1296"/>
      <c r="AW41" s="1296"/>
      <c r="AX41" s="1296"/>
      <c r="AY41" s="1296"/>
      <c r="AZ41" s="1296"/>
      <c r="BA41" s="1296"/>
      <c r="BB41" s="1296"/>
      <c r="BC41" s="1296"/>
      <c r="BD41" s="1296"/>
      <c r="BE41" s="1296"/>
      <c r="BF41" s="1296"/>
      <c r="BG41" s="1296"/>
      <c r="BH41" s="1296"/>
      <c r="BI41" s="1296"/>
      <c r="BJ41" s="1296"/>
      <c r="BK41" s="1296"/>
      <c r="BL41" s="1296"/>
      <c r="BM41" s="1296"/>
      <c r="BN41" s="1296"/>
      <c r="BO41" s="1296"/>
      <c r="BP41" s="1296"/>
      <c r="BQ41" s="1296"/>
      <c r="BR41" s="1296"/>
      <c r="BS41" s="1296"/>
      <c r="BT41" s="1296"/>
      <c r="BU41" s="1296"/>
      <c r="BV41" s="1296"/>
      <c r="BW41" s="1296"/>
      <c r="BX41" s="1296"/>
      <c r="BY41" s="1296"/>
      <c r="BZ41" s="1296"/>
      <c r="CA41" s="1296"/>
      <c r="CB41" s="1296"/>
      <c r="CC41" s="1296"/>
      <c r="CD41" s="1296"/>
      <c r="CE41" s="1296"/>
      <c r="CF41" s="1296"/>
      <c r="CG41" s="1296"/>
      <c r="CH41" s="1296"/>
      <c r="CI41" s="1296"/>
      <c r="CJ41" s="1296"/>
      <c r="CK41" s="1296"/>
    </row>
    <row r="42" spans="1:89" x14ac:dyDescent="0.25">
      <c r="A42" s="1296"/>
      <c r="B42" s="1726"/>
      <c r="C42" s="1193" t="s">
        <v>1845</v>
      </c>
      <c r="D42" s="1193" t="s">
        <v>1846</v>
      </c>
      <c r="E42" s="1194"/>
      <c r="F42" s="1296"/>
      <c r="G42" s="1296"/>
      <c r="H42" s="1296"/>
      <c r="I42" s="1296"/>
      <c r="J42" s="1296"/>
      <c r="K42" s="1296"/>
      <c r="L42" s="1296"/>
      <c r="M42" s="1296"/>
      <c r="N42" s="1296"/>
      <c r="O42" s="1296"/>
      <c r="P42" s="1296"/>
      <c r="Q42" s="138"/>
      <c r="R42" s="1296"/>
      <c r="S42" s="1296"/>
      <c r="T42" s="1726"/>
      <c r="U42" s="1193" t="s">
        <v>1845</v>
      </c>
      <c r="V42" s="1193" t="s">
        <v>1846</v>
      </c>
      <c r="W42" s="1194"/>
      <c r="X42" s="1296"/>
      <c r="Y42" s="1296"/>
      <c r="Z42" s="1296"/>
      <c r="AA42" s="1296"/>
      <c r="AB42" s="1296"/>
      <c r="AC42" s="1296"/>
      <c r="AD42" s="1296"/>
      <c r="AE42" s="1296"/>
      <c r="AF42" s="1296"/>
      <c r="AG42" s="1296"/>
      <c r="AH42" s="1296"/>
      <c r="AI42" s="138"/>
      <c r="AJ42" s="1296"/>
      <c r="AK42" s="1296"/>
      <c r="AL42" s="1296"/>
      <c r="AM42" s="1296"/>
      <c r="AN42" s="1296"/>
      <c r="AO42" s="1296"/>
      <c r="AP42" s="1296"/>
      <c r="AQ42" s="1296"/>
      <c r="AR42" s="1296"/>
      <c r="AS42" s="1296"/>
      <c r="AT42" s="1296"/>
      <c r="AU42" s="1296"/>
      <c r="AV42" s="1296"/>
      <c r="AW42" s="1296"/>
      <c r="AX42" s="1296"/>
      <c r="AY42" s="1296"/>
      <c r="AZ42" s="1296"/>
      <c r="BA42" s="1296"/>
      <c r="BB42" s="1296"/>
      <c r="BC42" s="1296"/>
      <c r="BD42" s="1296"/>
      <c r="BE42" s="1296"/>
      <c r="BF42" s="1296"/>
      <c r="BG42" s="1296"/>
      <c r="BH42" s="1296"/>
      <c r="BI42" s="1296"/>
      <c r="BJ42" s="1296"/>
      <c r="BK42" s="1296"/>
      <c r="BL42" s="1296"/>
      <c r="BM42" s="1296"/>
      <c r="BN42" s="1296"/>
      <c r="BO42" s="1296"/>
      <c r="BP42" s="1296"/>
      <c r="BQ42" s="1296"/>
      <c r="BR42" s="1296"/>
      <c r="BS42" s="1296"/>
      <c r="BT42" s="1296"/>
      <c r="BU42" s="1296"/>
      <c r="BV42" s="1296"/>
      <c r="BW42" s="1296"/>
      <c r="BX42" s="1296"/>
      <c r="BY42" s="1296"/>
      <c r="BZ42" s="1296"/>
      <c r="CA42" s="1296"/>
      <c r="CB42" s="1296"/>
      <c r="CC42" s="1296"/>
      <c r="CD42" s="1296"/>
      <c r="CE42" s="1296"/>
      <c r="CF42" s="1296"/>
      <c r="CG42" s="1296"/>
      <c r="CH42" s="1296"/>
      <c r="CI42" s="1296"/>
      <c r="CJ42" s="1296"/>
      <c r="CK42" s="1296"/>
    </row>
    <row r="43" spans="1:89" x14ac:dyDescent="0.25">
      <c r="A43" s="1296"/>
      <c r="B43" s="1726"/>
      <c r="C43" s="1195" t="s">
        <v>1845</v>
      </c>
      <c r="D43" s="1195" t="s">
        <v>1847</v>
      </c>
      <c r="E43" s="1196" t="s">
        <v>1848</v>
      </c>
      <c r="F43" s="1296"/>
      <c r="G43" s="1296"/>
      <c r="H43" s="1296"/>
      <c r="I43" s="1296"/>
      <c r="J43" s="1296"/>
      <c r="K43" s="1296"/>
      <c r="L43" s="1296"/>
      <c r="M43" s="1296"/>
      <c r="N43" s="1296"/>
      <c r="O43" s="1296"/>
      <c r="P43" s="1296"/>
      <c r="Q43" s="138"/>
      <c r="R43" s="1296"/>
      <c r="S43" s="1296"/>
      <c r="T43" s="1726"/>
      <c r="U43" s="1195" t="s">
        <v>1845</v>
      </c>
      <c r="V43" s="1195" t="s">
        <v>1847</v>
      </c>
      <c r="W43" s="1196" t="s">
        <v>1848</v>
      </c>
      <c r="X43" s="1296"/>
      <c r="Y43" s="1296"/>
      <c r="Z43" s="1296"/>
      <c r="AA43" s="1296"/>
      <c r="AB43" s="1296"/>
      <c r="AC43" s="1296"/>
      <c r="AD43" s="1296"/>
      <c r="AE43" s="1296"/>
      <c r="AF43" s="1296"/>
      <c r="AG43" s="1296"/>
      <c r="AH43" s="1296"/>
      <c r="AI43" s="138"/>
      <c r="AJ43" s="1296"/>
      <c r="AK43" s="1296"/>
      <c r="AL43" s="1296"/>
      <c r="AM43" s="1296"/>
      <c r="AN43" s="1296"/>
      <c r="AO43" s="1296"/>
      <c r="AP43" s="1296"/>
      <c r="AQ43" s="1296"/>
      <c r="AR43" s="1296"/>
      <c r="AS43" s="1296"/>
      <c r="AT43" s="1296"/>
      <c r="AU43" s="1296"/>
      <c r="AV43" s="1296"/>
      <c r="AW43" s="1296"/>
      <c r="AX43" s="1296"/>
      <c r="AY43" s="1296"/>
      <c r="AZ43" s="1296"/>
      <c r="BA43" s="1296"/>
      <c r="BB43" s="1296"/>
      <c r="BC43" s="1296"/>
      <c r="BD43" s="1296"/>
      <c r="BE43" s="1296"/>
      <c r="BF43" s="1296"/>
      <c r="BG43" s="1296"/>
      <c r="BH43" s="1296"/>
      <c r="BI43" s="1296"/>
      <c r="BJ43" s="1296"/>
      <c r="BK43" s="1296"/>
      <c r="BL43" s="1296"/>
      <c r="BM43" s="1296"/>
      <c r="BN43" s="1296"/>
      <c r="BO43" s="1296"/>
      <c r="BP43" s="1296"/>
      <c r="BQ43" s="1296"/>
      <c r="BR43" s="1296"/>
      <c r="BS43" s="1296"/>
      <c r="BT43" s="1296"/>
      <c r="BU43" s="1296"/>
      <c r="BV43" s="1296"/>
      <c r="BW43" s="1296"/>
      <c r="BX43" s="1296"/>
      <c r="BY43" s="1296"/>
      <c r="BZ43" s="1296"/>
      <c r="CA43" s="1296"/>
      <c r="CB43" s="1296"/>
      <c r="CC43" s="1296"/>
      <c r="CD43" s="1296"/>
      <c r="CE43" s="1296"/>
      <c r="CF43" s="1296"/>
      <c r="CG43" s="1296"/>
      <c r="CH43" s="1296"/>
      <c r="CI43" s="1296"/>
      <c r="CJ43" s="1296"/>
      <c r="CK43" s="1296"/>
    </row>
    <row r="44" spans="1:89" x14ac:dyDescent="0.25">
      <c r="A44" s="1296"/>
      <c r="B44" s="1726"/>
      <c r="C44" s="1195" t="s">
        <v>1845</v>
      </c>
      <c r="D44" s="1195" t="s">
        <v>1849</v>
      </c>
      <c r="E44" s="1196" t="s">
        <v>1718</v>
      </c>
      <c r="F44" s="1296"/>
      <c r="G44" s="1296"/>
      <c r="H44" s="1296"/>
      <c r="I44" s="1296"/>
      <c r="J44" s="1296"/>
      <c r="K44" s="1296"/>
      <c r="L44" s="1296"/>
      <c r="M44" s="1296"/>
      <c r="N44" s="1296"/>
      <c r="O44" s="1296"/>
      <c r="P44" s="1296"/>
      <c r="Q44" s="138"/>
      <c r="R44" s="1296"/>
      <c r="S44" s="1296"/>
      <c r="T44" s="1726"/>
      <c r="U44" s="1195" t="s">
        <v>1845</v>
      </c>
      <c r="V44" s="1195" t="s">
        <v>1849</v>
      </c>
      <c r="W44" s="1196" t="s">
        <v>1718</v>
      </c>
      <c r="X44" s="1296"/>
      <c r="Y44" s="1296"/>
      <c r="Z44" s="1296"/>
      <c r="AA44" s="1296"/>
      <c r="AB44" s="1296"/>
      <c r="AC44" s="1296"/>
      <c r="AD44" s="1296"/>
      <c r="AE44" s="1296"/>
      <c r="AF44" s="1296"/>
      <c r="AG44" s="1296"/>
      <c r="AH44" s="1296"/>
      <c r="AI44" s="138"/>
      <c r="AJ44" s="1296"/>
      <c r="AK44" s="1296"/>
      <c r="AL44" s="1296"/>
      <c r="AM44" s="1296"/>
      <c r="AN44" s="1296"/>
      <c r="AO44" s="1296"/>
      <c r="AP44" s="1296"/>
      <c r="AQ44" s="1296"/>
      <c r="AR44" s="1296"/>
      <c r="AS44" s="1296"/>
      <c r="AT44" s="1296"/>
      <c r="AU44" s="1296"/>
      <c r="AV44" s="1296"/>
      <c r="AW44" s="1296"/>
      <c r="AX44" s="1296"/>
      <c r="AY44" s="1296"/>
      <c r="AZ44" s="1296"/>
      <c r="BA44" s="1296"/>
      <c r="BB44" s="1296"/>
      <c r="BC44" s="1296"/>
      <c r="BD44" s="1296"/>
      <c r="BE44" s="1296"/>
      <c r="BF44" s="1296"/>
      <c r="BG44" s="1296"/>
      <c r="BH44" s="1296"/>
      <c r="BI44" s="1296"/>
      <c r="BJ44" s="1296"/>
      <c r="BK44" s="1296"/>
      <c r="BL44" s="1296"/>
      <c r="BM44" s="1296"/>
      <c r="BN44" s="1296"/>
      <c r="BO44" s="1296"/>
      <c r="BP44" s="1296"/>
      <c r="BQ44" s="1296"/>
      <c r="BR44" s="1296"/>
      <c r="BS44" s="1296"/>
      <c r="BT44" s="1296"/>
      <c r="BU44" s="1296"/>
      <c r="BV44" s="1296"/>
      <c r="BW44" s="1296"/>
      <c r="BX44" s="1296"/>
      <c r="BY44" s="1296"/>
      <c r="BZ44" s="1296"/>
      <c r="CA44" s="1296"/>
      <c r="CB44" s="1296"/>
      <c r="CC44" s="1296"/>
      <c r="CD44" s="1296"/>
      <c r="CE44" s="1296"/>
      <c r="CF44" s="1296"/>
      <c r="CG44" s="1296"/>
      <c r="CH44" s="1296"/>
      <c r="CI44" s="1296"/>
      <c r="CJ44" s="1296"/>
      <c r="CK44" s="1296"/>
    </row>
    <row r="45" spans="1:89" ht="15.75" thickBot="1" x14ac:dyDescent="0.3">
      <c r="A45" s="1296"/>
      <c r="B45" s="1725"/>
      <c r="C45" s="1197" t="s">
        <v>1845</v>
      </c>
      <c r="D45" s="1197" t="s">
        <v>1850</v>
      </c>
      <c r="E45" s="1198" t="s">
        <v>1851</v>
      </c>
      <c r="F45" s="1296"/>
      <c r="G45" s="1296"/>
      <c r="H45" s="1296"/>
      <c r="I45" s="1296"/>
      <c r="J45" s="1296"/>
      <c r="K45" s="1296"/>
      <c r="L45" s="1296"/>
      <c r="M45" s="1296"/>
      <c r="N45" s="1296"/>
      <c r="O45" s="1296"/>
      <c r="P45" s="1296"/>
      <c r="Q45" s="138"/>
      <c r="R45" s="1296"/>
      <c r="S45" s="1296"/>
      <c r="T45" s="1725"/>
      <c r="U45" s="1197" t="s">
        <v>1845</v>
      </c>
      <c r="V45" s="1197" t="s">
        <v>1850</v>
      </c>
      <c r="W45" s="1198" t="s">
        <v>1851</v>
      </c>
      <c r="X45" s="1296"/>
      <c r="Y45" s="1296"/>
      <c r="Z45" s="1296"/>
      <c r="AA45" s="1296"/>
      <c r="AB45" s="1296"/>
      <c r="AC45" s="1296"/>
      <c r="AD45" s="1296"/>
      <c r="AE45" s="1296"/>
      <c r="AF45" s="1296"/>
      <c r="AG45" s="1296"/>
      <c r="AH45" s="1296"/>
      <c r="AI45" s="138"/>
      <c r="AJ45" s="1296"/>
      <c r="AK45" s="1296"/>
      <c r="AL45" s="1296"/>
      <c r="AM45" s="1296"/>
      <c r="AN45" s="1296"/>
      <c r="AO45" s="1296"/>
      <c r="AP45" s="1296"/>
      <c r="AQ45" s="1296"/>
      <c r="AR45" s="1296"/>
      <c r="AS45" s="1296"/>
      <c r="AT45" s="1296"/>
      <c r="AU45" s="1296"/>
      <c r="AV45" s="1296"/>
      <c r="AW45" s="1296"/>
      <c r="AX45" s="1296"/>
      <c r="AY45" s="1296"/>
      <c r="AZ45" s="1296"/>
      <c r="BA45" s="1296"/>
      <c r="BB45" s="1296"/>
      <c r="BC45" s="1296"/>
      <c r="BD45" s="1296"/>
      <c r="BE45" s="1296"/>
      <c r="BF45" s="1296"/>
      <c r="BG45" s="1296"/>
      <c r="BH45" s="1296"/>
      <c r="BI45" s="1296"/>
      <c r="BJ45" s="1296"/>
      <c r="BK45" s="1296"/>
      <c r="BL45" s="1296"/>
      <c r="BM45" s="1296"/>
      <c r="BN45" s="1296"/>
      <c r="BO45" s="1296"/>
      <c r="BP45" s="1296"/>
      <c r="BQ45" s="1296"/>
      <c r="BR45" s="1296"/>
      <c r="BS45" s="1296"/>
      <c r="BT45" s="1296"/>
      <c r="BU45" s="1296"/>
      <c r="BV45" s="1296"/>
      <c r="BW45" s="1296"/>
      <c r="BX45" s="1296"/>
      <c r="BY45" s="1296"/>
      <c r="BZ45" s="1296"/>
      <c r="CA45" s="1296"/>
      <c r="CB45" s="1296"/>
      <c r="CC45" s="1296"/>
      <c r="CD45" s="1296"/>
      <c r="CE45" s="1296"/>
      <c r="CF45" s="1296"/>
      <c r="CG45" s="1296"/>
      <c r="CH45" s="1296"/>
      <c r="CI45" s="1296"/>
      <c r="CJ45" s="1296"/>
      <c r="CK45" s="1296"/>
    </row>
    <row r="46" spans="1:89" ht="15.75" customHeight="1" thickBot="1" x14ac:dyDescent="0.3">
      <c r="A46" s="1296"/>
      <c r="B46" s="1719" t="s">
        <v>1852</v>
      </c>
      <c r="C46" s="1258" t="s">
        <v>1853</v>
      </c>
      <c r="D46" s="1200" t="s">
        <v>1843</v>
      </c>
      <c r="E46" s="1200" t="s">
        <v>131</v>
      </c>
      <c r="F46" s="1200" t="s">
        <v>1844</v>
      </c>
      <c r="G46" s="1200" t="s">
        <v>1854</v>
      </c>
      <c r="H46" s="1201" t="s">
        <v>1855</v>
      </c>
      <c r="I46" s="1202" t="s">
        <v>767</v>
      </c>
      <c r="J46" s="1202" t="s">
        <v>768</v>
      </c>
      <c r="K46" s="1202" t="s">
        <v>769</v>
      </c>
      <c r="L46" s="1202" t="s">
        <v>770</v>
      </c>
      <c r="M46" s="1202" t="s">
        <v>204</v>
      </c>
      <c r="N46" s="1296"/>
      <c r="O46" s="1296"/>
      <c r="P46" s="1296"/>
      <c r="Q46" s="138"/>
      <c r="R46" s="1296"/>
      <c r="S46" s="1296"/>
      <c r="T46" s="1719" t="s">
        <v>1852</v>
      </c>
      <c r="U46" s="1258" t="s">
        <v>1853</v>
      </c>
      <c r="V46" s="1200" t="s">
        <v>1843</v>
      </c>
      <c r="W46" s="1200" t="s">
        <v>131</v>
      </c>
      <c r="X46" s="1200" t="s">
        <v>1844</v>
      </c>
      <c r="Y46" s="1200" t="s">
        <v>1854</v>
      </c>
      <c r="Z46" s="1201" t="s">
        <v>1855</v>
      </c>
      <c r="AA46" s="1202" t="s">
        <v>767</v>
      </c>
      <c r="AB46" s="1202" t="s">
        <v>768</v>
      </c>
      <c r="AC46" s="1202" t="s">
        <v>769</v>
      </c>
      <c r="AD46" s="1202" t="s">
        <v>770</v>
      </c>
      <c r="AE46" s="1202" t="s">
        <v>204</v>
      </c>
      <c r="AF46" s="1296"/>
      <c r="AG46" s="1296"/>
      <c r="AH46" s="1296"/>
      <c r="AI46" s="138"/>
      <c r="AJ46" s="1296"/>
      <c r="AK46" s="1296"/>
      <c r="AL46" s="1296"/>
      <c r="AM46" s="1296"/>
      <c r="AN46" s="1296"/>
      <c r="AO46" s="1296"/>
      <c r="AP46" s="1296"/>
      <c r="AQ46" s="1296"/>
      <c r="AR46" s="1296"/>
      <c r="AS46" s="1296"/>
      <c r="AT46" s="1296"/>
      <c r="AU46" s="1296"/>
      <c r="AV46" s="1296"/>
      <c r="AW46" s="1296"/>
      <c r="AX46" s="1296"/>
      <c r="AY46" s="1296"/>
      <c r="AZ46" s="1296"/>
      <c r="BA46" s="1296"/>
      <c r="BB46" s="1296"/>
      <c r="BC46" s="1296"/>
      <c r="BD46" s="1296"/>
      <c r="BE46" s="1296"/>
      <c r="BF46" s="1296"/>
      <c r="BG46" s="1296"/>
      <c r="BH46" s="1296"/>
      <c r="BI46" s="1296"/>
      <c r="BJ46" s="1296"/>
      <c r="BK46" s="1296"/>
      <c r="BL46" s="1296"/>
      <c r="BM46" s="1296"/>
      <c r="BN46" s="1296"/>
      <c r="BO46" s="1296"/>
      <c r="BP46" s="1296"/>
      <c r="BQ46" s="1296"/>
      <c r="BR46" s="1296"/>
      <c r="BS46" s="1296"/>
      <c r="BT46" s="1296"/>
      <c r="BU46" s="1296"/>
      <c r="BV46" s="1296"/>
      <c r="BW46" s="1296"/>
      <c r="BX46" s="1296"/>
      <c r="BY46" s="1296"/>
      <c r="BZ46" s="1296"/>
      <c r="CA46" s="1296"/>
      <c r="CB46" s="1296"/>
      <c r="CC46" s="1296"/>
      <c r="CD46" s="1296"/>
      <c r="CE46" s="1296"/>
      <c r="CF46" s="1296"/>
      <c r="CG46" s="1296"/>
      <c r="CH46" s="1296"/>
      <c r="CI46" s="1296"/>
      <c r="CJ46" s="1296"/>
      <c r="CK46" s="1296"/>
    </row>
    <row r="47" spans="1:89" x14ac:dyDescent="0.25">
      <c r="A47" s="1296"/>
      <c r="B47" s="1721"/>
      <c r="C47" s="1199">
        <v>1</v>
      </c>
      <c r="D47" s="1196" t="s">
        <v>1856</v>
      </c>
      <c r="E47" s="1196" t="s">
        <v>1444</v>
      </c>
      <c r="F47" s="1243" t="str">
        <f>'Required Info to Submit'!E23</f>
        <v/>
      </c>
      <c r="G47" s="1396" t="str">
        <f>IF(F47="","",'Required Info to Submit'!K23)</f>
        <v/>
      </c>
      <c r="H47" s="1397" t="str">
        <f>IF(F47="","",'Required Info to Submit'!L23)</f>
        <v/>
      </c>
      <c r="I47" s="1243" t="str">
        <f>'Required Info to Submit'!F23</f>
        <v/>
      </c>
      <c r="J47" s="1243" t="str">
        <f>'Required Info to Submit'!G23</f>
        <v/>
      </c>
      <c r="K47" s="1243" t="str">
        <f>'Required Info to Submit'!H23</f>
        <v/>
      </c>
      <c r="L47" s="1243" t="str">
        <f>'Required Info to Submit'!I23</f>
        <v/>
      </c>
      <c r="M47" s="1243" t="str">
        <f>'Required Info to Submit'!J23</f>
        <v/>
      </c>
      <c r="N47" s="1296"/>
      <c r="O47" s="1296"/>
      <c r="P47" s="1296"/>
      <c r="Q47" s="138"/>
      <c r="R47" s="1296"/>
      <c r="S47" s="1296"/>
      <c r="T47" s="1721"/>
      <c r="U47" s="1199">
        <v>1</v>
      </c>
      <c r="V47" s="1196" t="s">
        <v>1856</v>
      </c>
      <c r="W47" s="1196" t="s">
        <v>1444</v>
      </c>
      <c r="X47" s="1196" t="str">
        <f>'Required Info to Submit'!E23</f>
        <v/>
      </c>
      <c r="Y47" s="1393" t="str">
        <f>IF(X47="","",'Required Info to Submit'!K23)</f>
        <v/>
      </c>
      <c r="Z47" s="1394" t="str">
        <f>IF(X47="","",'Required Info to Submit'!L23)</f>
        <v/>
      </c>
      <c r="AA47" s="1196" t="str">
        <f>'Required Info to Submit'!F23</f>
        <v/>
      </c>
      <c r="AB47" s="1196" t="str">
        <f>'Required Info to Submit'!G23</f>
        <v/>
      </c>
      <c r="AC47" s="1196" t="str">
        <f>'Required Info to Submit'!H23</f>
        <v/>
      </c>
      <c r="AD47" s="1196" t="str">
        <f>'Required Info to Submit'!I23</f>
        <v/>
      </c>
      <c r="AE47" s="1196" t="str">
        <f>'Required Info to Submit'!J23</f>
        <v/>
      </c>
      <c r="AF47" s="1296"/>
      <c r="AG47" s="1296"/>
      <c r="AH47" s="1296"/>
      <c r="AI47" s="138"/>
      <c r="AJ47" s="1296"/>
      <c r="AK47" s="1296"/>
      <c r="AL47" s="1296"/>
      <c r="AM47" s="1296"/>
      <c r="AN47" s="1296"/>
      <c r="AO47" s="1296"/>
      <c r="AP47" s="1296"/>
      <c r="AQ47" s="1296"/>
      <c r="AR47" s="1296"/>
      <c r="AS47" s="1296"/>
      <c r="AT47" s="1296"/>
      <c r="AU47" s="1296"/>
      <c r="AV47" s="1296"/>
      <c r="AW47" s="1296"/>
      <c r="AX47" s="1296"/>
      <c r="AY47" s="1296"/>
      <c r="AZ47" s="1296"/>
      <c r="BA47" s="1296"/>
      <c r="BB47" s="1296"/>
      <c r="BC47" s="1296"/>
      <c r="BD47" s="1296"/>
      <c r="BE47" s="1296"/>
      <c r="BF47" s="1296"/>
      <c r="BG47" s="1296"/>
      <c r="BH47" s="1296"/>
      <c r="BI47" s="1296"/>
      <c r="BJ47" s="1296"/>
      <c r="BK47" s="1296"/>
      <c r="BL47" s="1296"/>
      <c r="BM47" s="1296"/>
      <c r="BN47" s="1296"/>
      <c r="BO47" s="1296"/>
      <c r="BP47" s="1296"/>
      <c r="BQ47" s="1296"/>
      <c r="BR47" s="1296"/>
      <c r="BS47" s="1296"/>
      <c r="BT47" s="1296"/>
      <c r="BU47" s="1296"/>
      <c r="BV47" s="1296"/>
      <c r="BW47" s="1296"/>
      <c r="BX47" s="1296"/>
      <c r="BY47" s="1296"/>
      <c r="BZ47" s="1296"/>
      <c r="CA47" s="1296"/>
      <c r="CB47" s="1296"/>
      <c r="CC47" s="1296"/>
      <c r="CD47" s="1296"/>
      <c r="CE47" s="1296"/>
      <c r="CF47" s="1296"/>
      <c r="CG47" s="1296"/>
      <c r="CH47" s="1296"/>
      <c r="CI47" s="1296"/>
      <c r="CJ47" s="1296"/>
      <c r="CK47" s="1296"/>
    </row>
    <row r="48" spans="1:89" x14ac:dyDescent="0.25">
      <c r="A48" s="1296"/>
      <c r="B48" s="1721"/>
      <c r="C48" s="1205">
        <v>2</v>
      </c>
      <c r="D48" s="1196" t="s">
        <v>1856</v>
      </c>
      <c r="E48" s="1196" t="s">
        <v>1444</v>
      </c>
      <c r="F48" s="1243" t="str">
        <f>'Required Info to Submit'!E24</f>
        <v/>
      </c>
      <c r="G48" s="1396" t="str">
        <f>IF(F48="","",'Required Info to Submit'!K24)</f>
        <v/>
      </c>
      <c r="H48" s="1397" t="str">
        <f>IF(F48="","",'Required Info to Submit'!L24)</f>
        <v/>
      </c>
      <c r="I48" s="1243" t="str">
        <f>'Required Info to Submit'!F24</f>
        <v/>
      </c>
      <c r="J48" s="1243" t="str">
        <f>'Required Info to Submit'!G24</f>
        <v/>
      </c>
      <c r="K48" s="1243" t="str">
        <f>'Required Info to Submit'!H24</f>
        <v/>
      </c>
      <c r="L48" s="1243" t="str">
        <f>'Required Info to Submit'!I24</f>
        <v/>
      </c>
      <c r="M48" s="1243" t="str">
        <f>'Required Info to Submit'!J24</f>
        <v/>
      </c>
      <c r="N48" s="1296"/>
      <c r="O48" s="1296"/>
      <c r="P48" s="1296"/>
      <c r="Q48" s="138"/>
      <c r="R48" s="1296"/>
      <c r="S48" s="1296"/>
      <c r="T48" s="1721"/>
      <c r="U48" s="1205">
        <v>2</v>
      </c>
      <c r="V48" s="1196" t="s">
        <v>1856</v>
      </c>
      <c r="W48" s="1196" t="s">
        <v>1444</v>
      </c>
      <c r="X48" s="1196" t="str">
        <f>'Required Info to Submit'!E24</f>
        <v/>
      </c>
      <c r="Y48" s="1393" t="str">
        <f>IF(X48="","",'Required Info to Submit'!K24)</f>
        <v/>
      </c>
      <c r="Z48" s="1394" t="str">
        <f>IF(X48="","",'Required Info to Submit'!L24)</f>
        <v/>
      </c>
      <c r="AA48" s="1196" t="str">
        <f>'Required Info to Submit'!F24</f>
        <v/>
      </c>
      <c r="AB48" s="1196" t="str">
        <f>'Required Info to Submit'!G24</f>
        <v/>
      </c>
      <c r="AC48" s="1196" t="str">
        <f>'Required Info to Submit'!H24</f>
        <v/>
      </c>
      <c r="AD48" s="1196" t="str">
        <f>'Required Info to Submit'!I24</f>
        <v/>
      </c>
      <c r="AE48" s="1196" t="str">
        <f>'Required Info to Submit'!J24</f>
        <v/>
      </c>
      <c r="AF48" s="1296"/>
      <c r="AG48" s="1296"/>
      <c r="AH48" s="1296"/>
      <c r="AI48" s="138"/>
      <c r="AJ48" s="1296"/>
      <c r="AK48" s="1296"/>
      <c r="AL48" s="1296"/>
      <c r="AM48" s="1296"/>
      <c r="AN48" s="1296"/>
      <c r="AO48" s="1296"/>
      <c r="AP48" s="1296"/>
      <c r="AQ48" s="1296"/>
      <c r="AR48" s="1296"/>
      <c r="AS48" s="1296"/>
      <c r="AT48" s="1296"/>
      <c r="AU48" s="1296"/>
      <c r="AV48" s="1296"/>
      <c r="AW48" s="1296"/>
      <c r="AX48" s="1296"/>
      <c r="AY48" s="1296"/>
      <c r="AZ48" s="1296"/>
      <c r="BA48" s="1296"/>
      <c r="BB48" s="1296"/>
      <c r="BC48" s="1296"/>
      <c r="BD48" s="1296"/>
      <c r="BE48" s="1296"/>
      <c r="BF48" s="1296"/>
      <c r="BG48" s="1296"/>
      <c r="BH48" s="1296"/>
      <c r="BI48" s="1296"/>
      <c r="BJ48" s="1296"/>
      <c r="BK48" s="1296"/>
      <c r="BL48" s="1296"/>
      <c r="BM48" s="1296"/>
      <c r="BN48" s="1296"/>
      <c r="BO48" s="1296"/>
      <c r="BP48" s="1296"/>
      <c r="BQ48" s="1296"/>
      <c r="BR48" s="1296"/>
      <c r="BS48" s="1296"/>
      <c r="BT48" s="1296"/>
      <c r="BU48" s="1296"/>
      <c r="BV48" s="1296"/>
      <c r="BW48" s="1296"/>
      <c r="BX48" s="1296"/>
      <c r="BY48" s="1296"/>
      <c r="BZ48" s="1296"/>
      <c r="CA48" s="1296"/>
      <c r="CB48" s="1296"/>
      <c r="CC48" s="1296"/>
      <c r="CD48" s="1296"/>
      <c r="CE48" s="1296"/>
      <c r="CF48" s="1296"/>
      <c r="CG48" s="1296"/>
      <c r="CH48" s="1296"/>
      <c r="CI48" s="1296"/>
      <c r="CJ48" s="1296"/>
      <c r="CK48" s="1296"/>
    </row>
    <row r="49" spans="1:89" x14ac:dyDescent="0.25">
      <c r="A49" s="1296"/>
      <c r="B49" s="1721"/>
      <c r="C49" s="1205">
        <v>3</v>
      </c>
      <c r="D49" s="1196" t="s">
        <v>1856</v>
      </c>
      <c r="E49" s="1196" t="s">
        <v>1444</v>
      </c>
      <c r="F49" s="1243" t="str">
        <f>'Required Info to Submit'!E25</f>
        <v/>
      </c>
      <c r="G49" s="1396" t="str">
        <f>IF(F49="","",'Required Info to Submit'!K25)</f>
        <v/>
      </c>
      <c r="H49" s="1397" t="str">
        <f>IF(F49="","",'Required Info to Submit'!L25)</f>
        <v/>
      </c>
      <c r="I49" s="1243" t="str">
        <f>'Required Info to Submit'!F25</f>
        <v/>
      </c>
      <c r="J49" s="1243" t="str">
        <f>'Required Info to Submit'!G25</f>
        <v/>
      </c>
      <c r="K49" s="1243" t="str">
        <f>'Required Info to Submit'!H25</f>
        <v/>
      </c>
      <c r="L49" s="1243" t="str">
        <f>'Required Info to Submit'!I25</f>
        <v/>
      </c>
      <c r="M49" s="1243" t="str">
        <f>'Required Info to Submit'!J25</f>
        <v/>
      </c>
      <c r="N49" s="1296"/>
      <c r="O49" s="1296"/>
      <c r="P49" s="1296"/>
      <c r="Q49" s="138"/>
      <c r="R49" s="1296"/>
      <c r="S49" s="1296"/>
      <c r="T49" s="1721"/>
      <c r="U49" s="1205">
        <v>3</v>
      </c>
      <c r="V49" s="1196" t="s">
        <v>1856</v>
      </c>
      <c r="W49" s="1196" t="s">
        <v>1444</v>
      </c>
      <c r="X49" s="1196" t="str">
        <f>'Required Info to Submit'!E25</f>
        <v/>
      </c>
      <c r="Y49" s="1393" t="str">
        <f>IF(X49="","",'Required Info to Submit'!K25)</f>
        <v/>
      </c>
      <c r="Z49" s="1394" t="str">
        <f>IF(X49="","",'Required Info to Submit'!L25)</f>
        <v/>
      </c>
      <c r="AA49" s="1196" t="str">
        <f>'Required Info to Submit'!F25</f>
        <v/>
      </c>
      <c r="AB49" s="1196" t="str">
        <f>'Required Info to Submit'!G25</f>
        <v/>
      </c>
      <c r="AC49" s="1196" t="str">
        <f>'Required Info to Submit'!H25</f>
        <v/>
      </c>
      <c r="AD49" s="1196" t="str">
        <f>'Required Info to Submit'!I25</f>
        <v/>
      </c>
      <c r="AE49" s="1196" t="str">
        <f>'Required Info to Submit'!J25</f>
        <v/>
      </c>
      <c r="AF49" s="1296"/>
      <c r="AG49" s="1296"/>
      <c r="AH49" s="1296"/>
      <c r="AI49" s="138"/>
      <c r="AJ49" s="1296"/>
      <c r="AK49" s="1296"/>
      <c r="AL49" s="1296"/>
      <c r="AM49" s="1296"/>
      <c r="AN49" s="1296"/>
      <c r="AO49" s="1296"/>
      <c r="AP49" s="1296"/>
      <c r="AQ49" s="1296"/>
      <c r="AR49" s="1296"/>
      <c r="AS49" s="1296"/>
      <c r="AT49" s="1296"/>
      <c r="AU49" s="1296"/>
      <c r="AV49" s="1296"/>
      <c r="AW49" s="1296"/>
      <c r="AX49" s="1296"/>
      <c r="AY49" s="1296"/>
      <c r="AZ49" s="1296"/>
      <c r="BA49" s="1296"/>
      <c r="BB49" s="1296"/>
      <c r="BC49" s="1296"/>
      <c r="BD49" s="1296"/>
      <c r="BE49" s="1296"/>
      <c r="BF49" s="1296"/>
      <c r="BG49" s="1296"/>
      <c r="BH49" s="1296"/>
      <c r="BI49" s="1296"/>
      <c r="BJ49" s="1296"/>
      <c r="BK49" s="1296"/>
      <c r="BL49" s="1296"/>
      <c r="BM49" s="1296"/>
      <c r="BN49" s="1296"/>
      <c r="BO49" s="1296"/>
      <c r="BP49" s="1296"/>
      <c r="BQ49" s="1296"/>
      <c r="BR49" s="1296"/>
      <c r="BS49" s="1296"/>
      <c r="BT49" s="1296"/>
      <c r="BU49" s="1296"/>
      <c r="BV49" s="1296"/>
      <c r="BW49" s="1296"/>
      <c r="BX49" s="1296"/>
      <c r="BY49" s="1296"/>
      <c r="BZ49" s="1296"/>
      <c r="CA49" s="1296"/>
      <c r="CB49" s="1296"/>
      <c r="CC49" s="1296"/>
      <c r="CD49" s="1296"/>
      <c r="CE49" s="1296"/>
      <c r="CF49" s="1296"/>
      <c r="CG49" s="1296"/>
      <c r="CH49" s="1296"/>
      <c r="CI49" s="1296"/>
      <c r="CJ49" s="1296"/>
      <c r="CK49" s="1296"/>
    </row>
    <row r="50" spans="1:89" x14ac:dyDescent="0.25">
      <c r="A50" s="1296"/>
      <c r="B50" s="1721"/>
      <c r="C50" s="1205">
        <v>4</v>
      </c>
      <c r="D50" s="1196" t="s">
        <v>1856</v>
      </c>
      <c r="E50" s="1196" t="s">
        <v>1444</v>
      </c>
      <c r="F50" s="1243" t="str">
        <f>'Required Info to Submit'!E26</f>
        <v/>
      </c>
      <c r="G50" s="1396" t="str">
        <f>IF(F50="","",'Required Info to Submit'!K26)</f>
        <v/>
      </c>
      <c r="H50" s="1397" t="str">
        <f>IF(F50="","",'Required Info to Submit'!L26)</f>
        <v/>
      </c>
      <c r="I50" s="1243" t="str">
        <f>'Required Info to Submit'!F26</f>
        <v/>
      </c>
      <c r="J50" s="1243" t="str">
        <f>'Required Info to Submit'!G26</f>
        <v/>
      </c>
      <c r="K50" s="1243" t="str">
        <f>'Required Info to Submit'!H26</f>
        <v/>
      </c>
      <c r="L50" s="1243" t="str">
        <f>'Required Info to Submit'!I26</f>
        <v/>
      </c>
      <c r="M50" s="1243" t="str">
        <f>'Required Info to Submit'!J26</f>
        <v/>
      </c>
      <c r="N50" s="1296"/>
      <c r="O50" s="1296"/>
      <c r="P50" s="1296"/>
      <c r="Q50" s="138"/>
      <c r="R50" s="1296"/>
      <c r="S50" s="1296"/>
      <c r="T50" s="1721"/>
      <c r="U50" s="1205">
        <v>4</v>
      </c>
      <c r="V50" s="1196" t="s">
        <v>1856</v>
      </c>
      <c r="W50" s="1196" t="s">
        <v>1444</v>
      </c>
      <c r="X50" s="1196" t="str">
        <f>'Required Info to Submit'!E26</f>
        <v/>
      </c>
      <c r="Y50" s="1393" t="str">
        <f>IF(X50="","",'Required Info to Submit'!K26)</f>
        <v/>
      </c>
      <c r="Z50" s="1394" t="str">
        <f>IF(X50="","",'Required Info to Submit'!L26)</f>
        <v/>
      </c>
      <c r="AA50" s="1196" t="str">
        <f>'Required Info to Submit'!F26</f>
        <v/>
      </c>
      <c r="AB50" s="1196" t="str">
        <f>'Required Info to Submit'!G26</f>
        <v/>
      </c>
      <c r="AC50" s="1196" t="str">
        <f>'Required Info to Submit'!H26</f>
        <v/>
      </c>
      <c r="AD50" s="1196" t="str">
        <f>'Required Info to Submit'!I26</f>
        <v/>
      </c>
      <c r="AE50" s="1196" t="str">
        <f>'Required Info to Submit'!J26</f>
        <v/>
      </c>
      <c r="AF50" s="1296"/>
      <c r="AG50" s="1296"/>
      <c r="AH50" s="1296"/>
      <c r="AI50" s="138"/>
      <c r="AJ50" s="1296"/>
      <c r="AK50" s="1296"/>
      <c r="AL50" s="1296"/>
      <c r="AM50" s="1296"/>
      <c r="AN50" s="1296"/>
      <c r="AO50" s="1296"/>
      <c r="AP50" s="1296"/>
      <c r="AQ50" s="1296"/>
      <c r="AR50" s="1296"/>
      <c r="AS50" s="1296"/>
      <c r="AT50" s="1296"/>
      <c r="AU50" s="1296"/>
      <c r="AV50" s="1296"/>
      <c r="AW50" s="1296"/>
      <c r="AX50" s="1296"/>
      <c r="AY50" s="1296"/>
      <c r="AZ50" s="1296"/>
      <c r="BA50" s="1296"/>
      <c r="BB50" s="1296"/>
      <c r="BC50" s="1296"/>
      <c r="BD50" s="1296"/>
      <c r="BE50" s="1296"/>
      <c r="BF50" s="1296"/>
      <c r="BG50" s="1296"/>
      <c r="BH50" s="1296"/>
      <c r="BI50" s="1296"/>
      <c r="BJ50" s="1296"/>
      <c r="BK50" s="1296"/>
      <c r="BL50" s="1296"/>
      <c r="BM50" s="1296"/>
      <c r="BN50" s="1296"/>
      <c r="BO50" s="1296"/>
      <c r="BP50" s="1296"/>
      <c r="BQ50" s="1296"/>
      <c r="BR50" s="1296"/>
      <c r="BS50" s="1296"/>
      <c r="BT50" s="1296"/>
      <c r="BU50" s="1296"/>
      <c r="BV50" s="1296"/>
      <c r="BW50" s="1296"/>
      <c r="BX50" s="1296"/>
      <c r="BY50" s="1296"/>
      <c r="BZ50" s="1296"/>
      <c r="CA50" s="1296"/>
      <c r="CB50" s="1296"/>
      <c r="CC50" s="1296"/>
      <c r="CD50" s="1296"/>
      <c r="CE50" s="1296"/>
      <c r="CF50" s="1296"/>
      <c r="CG50" s="1296"/>
      <c r="CH50" s="1296"/>
      <c r="CI50" s="1296"/>
      <c r="CJ50" s="1296"/>
      <c r="CK50" s="1296"/>
    </row>
    <row r="51" spans="1:89" x14ac:dyDescent="0.25">
      <c r="A51" s="1296"/>
      <c r="B51" s="1721"/>
      <c r="C51" s="1205">
        <v>5</v>
      </c>
      <c r="D51" s="1196" t="s">
        <v>1856</v>
      </c>
      <c r="E51" s="1196" t="s">
        <v>1444</v>
      </c>
      <c r="F51" s="1243" t="str">
        <f>'Required Info to Submit'!E27</f>
        <v/>
      </c>
      <c r="G51" s="1396" t="str">
        <f>IF(F51="","",'Required Info to Submit'!K27)</f>
        <v/>
      </c>
      <c r="H51" s="1397" t="str">
        <f>IF(F51="","",'Required Info to Submit'!L27)</f>
        <v/>
      </c>
      <c r="I51" s="1243" t="str">
        <f>'Required Info to Submit'!F27</f>
        <v/>
      </c>
      <c r="J51" s="1243" t="str">
        <f>'Required Info to Submit'!G27</f>
        <v/>
      </c>
      <c r="K51" s="1243" t="str">
        <f>'Required Info to Submit'!H27</f>
        <v/>
      </c>
      <c r="L51" s="1243" t="str">
        <f>'Required Info to Submit'!I27</f>
        <v/>
      </c>
      <c r="M51" s="1243" t="str">
        <f>'Required Info to Submit'!J27</f>
        <v/>
      </c>
      <c r="N51" s="1296"/>
      <c r="O51" s="1296"/>
      <c r="P51" s="1296"/>
      <c r="Q51" s="138"/>
      <c r="R51" s="1296"/>
      <c r="S51" s="1296"/>
      <c r="T51" s="1721"/>
      <c r="U51" s="1205">
        <v>5</v>
      </c>
      <c r="V51" s="1196" t="s">
        <v>1856</v>
      </c>
      <c r="W51" s="1196" t="s">
        <v>1444</v>
      </c>
      <c r="X51" s="1196" t="str">
        <f>'Required Info to Submit'!E27</f>
        <v/>
      </c>
      <c r="Y51" s="1393" t="str">
        <f>IF(X51="","",'Required Info to Submit'!K27)</f>
        <v/>
      </c>
      <c r="Z51" s="1394" t="str">
        <f>IF(X51="","",'Required Info to Submit'!L27)</f>
        <v/>
      </c>
      <c r="AA51" s="1196" t="str">
        <f>'Required Info to Submit'!F27</f>
        <v/>
      </c>
      <c r="AB51" s="1196" t="str">
        <f>'Required Info to Submit'!G27</f>
        <v/>
      </c>
      <c r="AC51" s="1196" t="str">
        <f>'Required Info to Submit'!H27</f>
        <v/>
      </c>
      <c r="AD51" s="1196" t="str">
        <f>'Required Info to Submit'!I27</f>
        <v/>
      </c>
      <c r="AE51" s="1196" t="str">
        <f>'Required Info to Submit'!J27</f>
        <v/>
      </c>
      <c r="AF51" s="1296"/>
      <c r="AG51" s="1296"/>
      <c r="AH51" s="1296"/>
      <c r="AI51" s="138"/>
      <c r="AJ51" s="1296"/>
      <c r="AK51" s="1296"/>
      <c r="AL51" s="1296"/>
      <c r="AM51" s="1296"/>
      <c r="AN51" s="1296"/>
      <c r="AO51" s="1296"/>
      <c r="AP51" s="1296"/>
      <c r="AQ51" s="1296"/>
      <c r="AR51" s="1296"/>
      <c r="AS51" s="1296"/>
      <c r="AT51" s="1296"/>
      <c r="AU51" s="1296"/>
      <c r="AV51" s="1296"/>
      <c r="AW51" s="1296"/>
      <c r="AX51" s="1296"/>
      <c r="AY51" s="1296"/>
      <c r="AZ51" s="1296"/>
      <c r="BA51" s="1296"/>
      <c r="BB51" s="1296"/>
      <c r="BC51" s="1296"/>
      <c r="BD51" s="1296"/>
      <c r="BE51" s="1296"/>
      <c r="BF51" s="1296"/>
      <c r="BG51" s="1296"/>
      <c r="BH51" s="1296"/>
      <c r="BI51" s="1296"/>
      <c r="BJ51" s="1296"/>
      <c r="BK51" s="1296"/>
      <c r="BL51" s="1296"/>
      <c r="BM51" s="1296"/>
      <c r="BN51" s="1296"/>
      <c r="BO51" s="1296"/>
      <c r="BP51" s="1296"/>
      <c r="BQ51" s="1296"/>
      <c r="BR51" s="1296"/>
      <c r="BS51" s="1296"/>
      <c r="BT51" s="1296"/>
      <c r="BU51" s="1296"/>
      <c r="BV51" s="1296"/>
      <c r="BW51" s="1296"/>
      <c r="BX51" s="1296"/>
      <c r="BY51" s="1296"/>
      <c r="BZ51" s="1296"/>
      <c r="CA51" s="1296"/>
      <c r="CB51" s="1296"/>
      <c r="CC51" s="1296"/>
      <c r="CD51" s="1296"/>
      <c r="CE51" s="1296"/>
      <c r="CF51" s="1296"/>
      <c r="CG51" s="1296"/>
      <c r="CH51" s="1296"/>
      <c r="CI51" s="1296"/>
      <c r="CJ51" s="1296"/>
      <c r="CK51" s="1296"/>
    </row>
    <row r="52" spans="1:89" x14ac:dyDescent="0.25">
      <c r="A52" s="1296"/>
      <c r="B52" s="1721"/>
      <c r="C52" s="1205">
        <v>6</v>
      </c>
      <c r="D52" s="1196" t="s">
        <v>1856</v>
      </c>
      <c r="E52" s="1196" t="s">
        <v>1444</v>
      </c>
      <c r="F52" s="1243" t="str">
        <f>'Required Info to Submit'!E28</f>
        <v/>
      </c>
      <c r="G52" s="1396" t="str">
        <f>IF(F52="","",'Required Info to Submit'!K28)</f>
        <v/>
      </c>
      <c r="H52" s="1397" t="str">
        <f>IF(F52="","",'Required Info to Submit'!L28)</f>
        <v/>
      </c>
      <c r="I52" s="1243" t="str">
        <f>'Required Info to Submit'!F28</f>
        <v/>
      </c>
      <c r="J52" s="1243" t="str">
        <f>'Required Info to Submit'!G28</f>
        <v/>
      </c>
      <c r="K52" s="1243" t="str">
        <f>'Required Info to Submit'!H28</f>
        <v/>
      </c>
      <c r="L52" s="1243" t="str">
        <f>'Required Info to Submit'!I28</f>
        <v/>
      </c>
      <c r="M52" s="1243" t="str">
        <f>'Required Info to Submit'!J28</f>
        <v/>
      </c>
      <c r="N52" s="1296"/>
      <c r="O52" s="1296"/>
      <c r="P52" s="1296"/>
      <c r="Q52" s="138"/>
      <c r="R52" s="1296"/>
      <c r="S52" s="1296"/>
      <c r="T52" s="1721"/>
      <c r="U52" s="1205">
        <v>6</v>
      </c>
      <c r="V52" s="1196" t="s">
        <v>1856</v>
      </c>
      <c r="W52" s="1196" t="s">
        <v>1444</v>
      </c>
      <c r="X52" s="1196" t="str">
        <f>'Required Info to Submit'!E28</f>
        <v/>
      </c>
      <c r="Y52" s="1393" t="str">
        <f>IF(X52="","",'Required Info to Submit'!K28)</f>
        <v/>
      </c>
      <c r="Z52" s="1394" t="str">
        <f>IF(X52="","",'Required Info to Submit'!L28)</f>
        <v/>
      </c>
      <c r="AA52" s="1196" t="str">
        <f>'Required Info to Submit'!F28</f>
        <v/>
      </c>
      <c r="AB52" s="1196" t="str">
        <f>'Required Info to Submit'!G28</f>
        <v/>
      </c>
      <c r="AC52" s="1196" t="str">
        <f>'Required Info to Submit'!H28</f>
        <v/>
      </c>
      <c r="AD52" s="1196" t="str">
        <f>'Required Info to Submit'!I28</f>
        <v/>
      </c>
      <c r="AE52" s="1196" t="str">
        <f>'Required Info to Submit'!J28</f>
        <v/>
      </c>
      <c r="AF52" s="1296"/>
      <c r="AG52" s="1296"/>
      <c r="AH52" s="1296"/>
      <c r="AI52" s="138"/>
      <c r="AJ52" s="1296"/>
      <c r="AK52" s="1296"/>
      <c r="AL52" s="1296"/>
      <c r="AM52" s="1296"/>
      <c r="AN52" s="1296"/>
      <c r="AO52" s="1296"/>
      <c r="AP52" s="1296"/>
      <c r="AQ52" s="1296"/>
      <c r="AR52" s="1296"/>
      <c r="AS52" s="1296"/>
      <c r="AT52" s="1296"/>
      <c r="AU52" s="1296"/>
      <c r="AV52" s="1296"/>
      <c r="AW52" s="1296"/>
      <c r="AX52" s="1296"/>
      <c r="AY52" s="1296"/>
      <c r="AZ52" s="1296"/>
      <c r="BA52" s="1296"/>
      <c r="BB52" s="1296"/>
      <c r="BC52" s="1296"/>
      <c r="BD52" s="1296"/>
      <c r="BE52" s="1296"/>
      <c r="BF52" s="1296"/>
      <c r="BG52" s="1296"/>
      <c r="BH52" s="1296"/>
      <c r="BI52" s="1296"/>
      <c r="BJ52" s="1296"/>
      <c r="BK52" s="1296"/>
      <c r="BL52" s="1296"/>
      <c r="BM52" s="1296"/>
      <c r="BN52" s="1296"/>
      <c r="BO52" s="1296"/>
      <c r="BP52" s="1296"/>
      <c r="BQ52" s="1296"/>
      <c r="BR52" s="1296"/>
      <c r="BS52" s="1296"/>
      <c r="BT52" s="1296"/>
      <c r="BU52" s="1296"/>
      <c r="BV52" s="1296"/>
      <c r="BW52" s="1296"/>
      <c r="BX52" s="1296"/>
      <c r="BY52" s="1296"/>
      <c r="BZ52" s="1296"/>
      <c r="CA52" s="1296"/>
      <c r="CB52" s="1296"/>
      <c r="CC52" s="1296"/>
      <c r="CD52" s="1296"/>
      <c r="CE52" s="1296"/>
      <c r="CF52" s="1296"/>
      <c r="CG52" s="1296"/>
      <c r="CH52" s="1296"/>
      <c r="CI52" s="1296"/>
      <c r="CJ52" s="1296"/>
      <c r="CK52" s="1296"/>
    </row>
    <row r="53" spans="1:89" x14ac:dyDescent="0.25">
      <c r="A53" s="1296"/>
      <c r="B53" s="1721"/>
      <c r="C53" s="1205">
        <v>7</v>
      </c>
      <c r="D53" s="1196" t="s">
        <v>1856</v>
      </c>
      <c r="E53" s="1196" t="s">
        <v>1444</v>
      </c>
      <c r="F53" s="1243" t="str">
        <f>'Required Info to Submit'!E29</f>
        <v/>
      </c>
      <c r="G53" s="1396" t="str">
        <f>IF(F53="","",'Required Info to Submit'!K29)</f>
        <v/>
      </c>
      <c r="H53" s="1397" t="str">
        <f>IF(F53="","",'Required Info to Submit'!L29)</f>
        <v/>
      </c>
      <c r="I53" s="1243" t="str">
        <f>'Required Info to Submit'!F29</f>
        <v/>
      </c>
      <c r="J53" s="1243" t="str">
        <f>'Required Info to Submit'!G29</f>
        <v/>
      </c>
      <c r="K53" s="1243" t="str">
        <f>'Required Info to Submit'!H29</f>
        <v/>
      </c>
      <c r="L53" s="1243" t="str">
        <f>'Required Info to Submit'!I29</f>
        <v/>
      </c>
      <c r="M53" s="1243" t="str">
        <f>'Required Info to Submit'!J29</f>
        <v/>
      </c>
      <c r="N53" s="1296"/>
      <c r="O53" s="1296"/>
      <c r="P53" s="1296"/>
      <c r="Q53" s="138"/>
      <c r="R53" s="1296"/>
      <c r="S53" s="1296"/>
      <c r="T53" s="1721"/>
      <c r="U53" s="1205">
        <v>7</v>
      </c>
      <c r="V53" s="1196" t="s">
        <v>1856</v>
      </c>
      <c r="W53" s="1196" t="s">
        <v>1444</v>
      </c>
      <c r="X53" s="1196" t="str">
        <f>'Required Info to Submit'!E29</f>
        <v/>
      </c>
      <c r="Y53" s="1393" t="str">
        <f>IF(X53="","",'Required Info to Submit'!K29)</f>
        <v/>
      </c>
      <c r="Z53" s="1394" t="str">
        <f>IF(X53="","",'Required Info to Submit'!L29)</f>
        <v/>
      </c>
      <c r="AA53" s="1196" t="str">
        <f>'Required Info to Submit'!F29</f>
        <v/>
      </c>
      <c r="AB53" s="1196" t="str">
        <f>'Required Info to Submit'!G29</f>
        <v/>
      </c>
      <c r="AC53" s="1196" t="str">
        <f>'Required Info to Submit'!H29</f>
        <v/>
      </c>
      <c r="AD53" s="1196" t="str">
        <f>'Required Info to Submit'!I29</f>
        <v/>
      </c>
      <c r="AE53" s="1196" t="str">
        <f>'Required Info to Submit'!J29</f>
        <v/>
      </c>
      <c r="AF53" s="1296"/>
      <c r="AG53" s="1296"/>
      <c r="AH53" s="1296"/>
      <c r="AI53" s="138"/>
      <c r="AJ53" s="1296"/>
      <c r="AK53" s="1296"/>
      <c r="AL53" s="1296"/>
      <c r="AM53" s="1296"/>
      <c r="AN53" s="1296"/>
      <c r="AO53" s="1296"/>
      <c r="AP53" s="1296"/>
      <c r="AQ53" s="1296"/>
      <c r="AR53" s="1296"/>
      <c r="AS53" s="1296"/>
      <c r="AT53" s="1296"/>
      <c r="AU53" s="1296"/>
      <c r="AV53" s="1296"/>
      <c r="AW53" s="1296"/>
      <c r="AX53" s="1296"/>
      <c r="AY53" s="1296"/>
      <c r="AZ53" s="1296"/>
      <c r="BA53" s="1296"/>
      <c r="BB53" s="1296"/>
      <c r="BC53" s="1296"/>
      <c r="BD53" s="1296"/>
      <c r="BE53" s="1296"/>
      <c r="BF53" s="1296"/>
      <c r="BG53" s="1296"/>
      <c r="BH53" s="1296"/>
      <c r="BI53" s="1296"/>
      <c r="BJ53" s="1296"/>
      <c r="BK53" s="1296"/>
      <c r="BL53" s="1296"/>
      <c r="BM53" s="1296"/>
      <c r="BN53" s="1296"/>
      <c r="BO53" s="1296"/>
      <c r="BP53" s="1296"/>
      <c r="BQ53" s="1296"/>
      <c r="BR53" s="1296"/>
      <c r="BS53" s="1296"/>
      <c r="BT53" s="1296"/>
      <c r="BU53" s="1296"/>
      <c r="BV53" s="1296"/>
      <c r="BW53" s="1296"/>
      <c r="BX53" s="1296"/>
      <c r="BY53" s="1296"/>
      <c r="BZ53" s="1296"/>
      <c r="CA53" s="1296"/>
      <c r="CB53" s="1296"/>
      <c r="CC53" s="1296"/>
      <c r="CD53" s="1296"/>
      <c r="CE53" s="1296"/>
      <c r="CF53" s="1296"/>
      <c r="CG53" s="1296"/>
      <c r="CH53" s="1296"/>
      <c r="CI53" s="1296"/>
      <c r="CJ53" s="1296"/>
      <c r="CK53" s="1296"/>
    </row>
    <row r="54" spans="1:89" x14ac:dyDescent="0.25">
      <c r="A54" s="1296"/>
      <c r="B54" s="1721"/>
      <c r="C54" s="1205">
        <v>8</v>
      </c>
      <c r="D54" s="1196" t="s">
        <v>1856</v>
      </c>
      <c r="E54" s="1196" t="s">
        <v>1444</v>
      </c>
      <c r="F54" s="1243" t="str">
        <f>'Required Info to Submit'!E30</f>
        <v/>
      </c>
      <c r="G54" s="1396" t="str">
        <f>IF(F54="","",'Required Info to Submit'!K30)</f>
        <v/>
      </c>
      <c r="H54" s="1397" t="str">
        <f>IF(F54="","",'Required Info to Submit'!L30)</f>
        <v/>
      </c>
      <c r="I54" s="1243" t="str">
        <f>'Required Info to Submit'!F30</f>
        <v/>
      </c>
      <c r="J54" s="1243" t="str">
        <f>'Required Info to Submit'!G30</f>
        <v/>
      </c>
      <c r="K54" s="1243" t="str">
        <f>'Required Info to Submit'!H30</f>
        <v/>
      </c>
      <c r="L54" s="1243" t="str">
        <f>'Required Info to Submit'!I30</f>
        <v/>
      </c>
      <c r="M54" s="1243" t="str">
        <f>'Required Info to Submit'!J30</f>
        <v/>
      </c>
      <c r="N54" s="1296"/>
      <c r="O54" s="1296"/>
      <c r="P54" s="1296"/>
      <c r="Q54" s="138"/>
      <c r="R54" s="1296"/>
      <c r="S54" s="1296"/>
      <c r="T54" s="1721"/>
      <c r="U54" s="1205">
        <v>8</v>
      </c>
      <c r="V54" s="1196" t="s">
        <v>1856</v>
      </c>
      <c r="W54" s="1196" t="s">
        <v>1444</v>
      </c>
      <c r="X54" s="1196" t="str">
        <f>'Required Info to Submit'!E30</f>
        <v/>
      </c>
      <c r="Y54" s="1393" t="str">
        <f>IF(X54="","",'Required Info to Submit'!K30)</f>
        <v/>
      </c>
      <c r="Z54" s="1394" t="str">
        <f>IF(X54="","",'Required Info to Submit'!L30)</f>
        <v/>
      </c>
      <c r="AA54" s="1196" t="str">
        <f>'Required Info to Submit'!F30</f>
        <v/>
      </c>
      <c r="AB54" s="1196" t="str">
        <f>'Required Info to Submit'!G30</f>
        <v/>
      </c>
      <c r="AC54" s="1196" t="str">
        <f>'Required Info to Submit'!H30</f>
        <v/>
      </c>
      <c r="AD54" s="1196" t="str">
        <f>'Required Info to Submit'!I30</f>
        <v/>
      </c>
      <c r="AE54" s="1196" t="str">
        <f>'Required Info to Submit'!J30</f>
        <v/>
      </c>
      <c r="AF54" s="1296"/>
      <c r="AG54" s="1296"/>
      <c r="AH54" s="1296"/>
      <c r="AI54" s="138"/>
      <c r="AJ54" s="1296"/>
      <c r="AK54" s="1296"/>
      <c r="AL54" s="1296"/>
      <c r="AM54" s="1296"/>
      <c r="AN54" s="1296"/>
      <c r="AO54" s="1296"/>
      <c r="AP54" s="1296"/>
      <c r="AQ54" s="1296"/>
      <c r="AR54" s="1296"/>
      <c r="AS54" s="1296"/>
      <c r="AT54" s="1296"/>
      <c r="AU54" s="1296"/>
      <c r="AV54" s="1296"/>
      <c r="AW54" s="1296"/>
      <c r="AX54" s="1296"/>
      <c r="AY54" s="1296"/>
      <c r="AZ54" s="1296"/>
      <c r="BA54" s="1296"/>
      <c r="BB54" s="1296"/>
      <c r="BC54" s="1296"/>
      <c r="BD54" s="1296"/>
      <c r="BE54" s="1296"/>
      <c r="BF54" s="1296"/>
      <c r="BG54" s="1296"/>
      <c r="BH54" s="1296"/>
      <c r="BI54" s="1296"/>
      <c r="BJ54" s="1296"/>
      <c r="BK54" s="1296"/>
      <c r="BL54" s="1296"/>
      <c r="BM54" s="1296"/>
      <c r="BN54" s="1296"/>
      <c r="BO54" s="1296"/>
      <c r="BP54" s="1296"/>
      <c r="BQ54" s="1296"/>
      <c r="BR54" s="1296"/>
      <c r="BS54" s="1296"/>
      <c r="BT54" s="1296"/>
      <c r="BU54" s="1296"/>
      <c r="BV54" s="1296"/>
      <c r="BW54" s="1296"/>
      <c r="BX54" s="1296"/>
      <c r="BY54" s="1296"/>
      <c r="BZ54" s="1296"/>
      <c r="CA54" s="1296"/>
      <c r="CB54" s="1296"/>
      <c r="CC54" s="1296"/>
      <c r="CD54" s="1296"/>
      <c r="CE54" s="1296"/>
      <c r="CF54" s="1296"/>
      <c r="CG54" s="1296"/>
      <c r="CH54" s="1296"/>
      <c r="CI54" s="1296"/>
      <c r="CJ54" s="1296"/>
      <c r="CK54" s="1296"/>
    </row>
    <row r="55" spans="1:89" x14ac:dyDescent="0.25">
      <c r="A55" s="1296"/>
      <c r="B55" s="1721"/>
      <c r="C55" s="1205">
        <v>9</v>
      </c>
      <c r="D55" s="1196" t="s">
        <v>1856</v>
      </c>
      <c r="E55" s="1196" t="s">
        <v>1444</v>
      </c>
      <c r="F55" s="1243" t="str">
        <f>'Required Info to Submit'!E31</f>
        <v/>
      </c>
      <c r="G55" s="1396" t="str">
        <f>IF(F55="","",'Required Info to Submit'!K31)</f>
        <v/>
      </c>
      <c r="H55" s="1397" t="str">
        <f>IF(F55="","",'Required Info to Submit'!L31)</f>
        <v/>
      </c>
      <c r="I55" s="1243" t="str">
        <f>'Required Info to Submit'!F31</f>
        <v/>
      </c>
      <c r="J55" s="1243" t="str">
        <f>'Required Info to Submit'!G31</f>
        <v/>
      </c>
      <c r="K55" s="1243" t="str">
        <f>'Required Info to Submit'!H31</f>
        <v/>
      </c>
      <c r="L55" s="1243" t="str">
        <f>'Required Info to Submit'!I31</f>
        <v/>
      </c>
      <c r="M55" s="1243" t="str">
        <f>'Required Info to Submit'!J31</f>
        <v/>
      </c>
      <c r="N55" s="1296"/>
      <c r="O55" s="1296"/>
      <c r="P55" s="1296"/>
      <c r="Q55" s="138"/>
      <c r="R55" s="1296"/>
      <c r="S55" s="1296"/>
      <c r="T55" s="1721"/>
      <c r="U55" s="1205">
        <v>9</v>
      </c>
      <c r="V55" s="1196" t="s">
        <v>1856</v>
      </c>
      <c r="W55" s="1196" t="s">
        <v>1444</v>
      </c>
      <c r="X55" s="1196" t="str">
        <f>'Required Info to Submit'!E31</f>
        <v/>
      </c>
      <c r="Y55" s="1393" t="str">
        <f>IF(X55="","",'Required Info to Submit'!K31)</f>
        <v/>
      </c>
      <c r="Z55" s="1394" t="str">
        <f>IF(X55="","",'Required Info to Submit'!L31)</f>
        <v/>
      </c>
      <c r="AA55" s="1196" t="str">
        <f>'Required Info to Submit'!F31</f>
        <v/>
      </c>
      <c r="AB55" s="1196" t="str">
        <f>'Required Info to Submit'!G31</f>
        <v/>
      </c>
      <c r="AC55" s="1196" t="str">
        <f>'Required Info to Submit'!H31</f>
        <v/>
      </c>
      <c r="AD55" s="1196" t="str">
        <f>'Required Info to Submit'!I31</f>
        <v/>
      </c>
      <c r="AE55" s="1196" t="str">
        <f>'Required Info to Submit'!J31</f>
        <v/>
      </c>
      <c r="AF55" s="1296"/>
      <c r="AG55" s="1296"/>
      <c r="AH55" s="1296"/>
      <c r="AI55" s="138"/>
      <c r="AJ55" s="1296"/>
      <c r="AK55" s="1296"/>
      <c r="AL55" s="1296"/>
      <c r="AM55" s="1296"/>
      <c r="AN55" s="1296"/>
      <c r="AO55" s="1296"/>
      <c r="AP55" s="1296"/>
      <c r="AQ55" s="1296"/>
      <c r="AR55" s="1296"/>
      <c r="AS55" s="1296"/>
      <c r="AT55" s="1296"/>
      <c r="AU55" s="1296"/>
      <c r="AV55" s="1296"/>
      <c r="AW55" s="1296"/>
      <c r="AX55" s="1296"/>
      <c r="AY55" s="1296"/>
      <c r="AZ55" s="1296"/>
      <c r="BA55" s="1296"/>
      <c r="BB55" s="1296"/>
      <c r="BC55" s="1296"/>
      <c r="BD55" s="1296"/>
      <c r="BE55" s="1296"/>
      <c r="BF55" s="1296"/>
      <c r="BG55" s="1296"/>
      <c r="BH55" s="1296"/>
      <c r="BI55" s="1296"/>
      <c r="BJ55" s="1296"/>
      <c r="BK55" s="1296"/>
      <c r="BL55" s="1296"/>
      <c r="BM55" s="1296"/>
      <c r="BN55" s="1296"/>
      <c r="BO55" s="1296"/>
      <c r="BP55" s="1296"/>
      <c r="BQ55" s="1296"/>
      <c r="BR55" s="1296"/>
      <c r="BS55" s="1296"/>
      <c r="BT55" s="1296"/>
      <c r="BU55" s="1296"/>
      <c r="BV55" s="1296"/>
      <c r="BW55" s="1296"/>
      <c r="BX55" s="1296"/>
      <c r="BY55" s="1296"/>
      <c r="BZ55" s="1296"/>
      <c r="CA55" s="1296"/>
      <c r="CB55" s="1296"/>
      <c r="CC55" s="1296"/>
      <c r="CD55" s="1296"/>
      <c r="CE55" s="1296"/>
      <c r="CF55" s="1296"/>
      <c r="CG55" s="1296"/>
      <c r="CH55" s="1296"/>
      <c r="CI55" s="1296"/>
      <c r="CJ55" s="1296"/>
      <c r="CK55" s="1296"/>
    </row>
    <row r="56" spans="1:89" ht="15.75" thickBot="1" x14ac:dyDescent="0.3">
      <c r="A56" s="1296"/>
      <c r="B56" s="1722"/>
      <c r="C56" s="1207">
        <v>10</v>
      </c>
      <c r="D56" s="1198" t="s">
        <v>1856</v>
      </c>
      <c r="E56" s="1198" t="s">
        <v>1444</v>
      </c>
      <c r="F56" s="1244" t="str">
        <f>'Required Info to Submit'!E32</f>
        <v/>
      </c>
      <c r="G56" s="1398" t="str">
        <f>IF(F56="","",'Required Info to Submit'!K32)</f>
        <v/>
      </c>
      <c r="H56" s="1398" t="str">
        <f>IF(F56="","",'Required Info to Submit'!L32)</f>
        <v/>
      </c>
      <c r="I56" s="1244" t="str">
        <f>'Required Info to Submit'!F32</f>
        <v/>
      </c>
      <c r="J56" s="1244" t="str">
        <f>'Required Info to Submit'!G32</f>
        <v/>
      </c>
      <c r="K56" s="1244" t="str">
        <f>'Required Info to Submit'!H32</f>
        <v/>
      </c>
      <c r="L56" s="1244" t="str">
        <f>'Required Info to Submit'!I32</f>
        <v/>
      </c>
      <c r="M56" s="1244" t="str">
        <f>'Required Info to Submit'!J32</f>
        <v/>
      </c>
      <c r="N56" s="256"/>
      <c r="O56" s="256"/>
      <c r="P56" s="256"/>
      <c r="Q56" s="257"/>
      <c r="R56" s="1296"/>
      <c r="S56" s="1296"/>
      <c r="T56" s="1722"/>
      <c r="U56" s="1207">
        <v>10</v>
      </c>
      <c r="V56" s="1198" t="s">
        <v>1856</v>
      </c>
      <c r="W56" s="1198" t="s">
        <v>1444</v>
      </c>
      <c r="X56" s="1198" t="str">
        <f>'Required Info to Submit'!E32</f>
        <v/>
      </c>
      <c r="Y56" s="1395" t="str">
        <f>IF(X56="","",'Required Info to Submit'!K32)</f>
        <v/>
      </c>
      <c r="Z56" s="1395" t="str">
        <f>IF(X56="","",'Required Info to Submit'!L32)</f>
        <v/>
      </c>
      <c r="AA56" s="1198" t="str">
        <f>'Required Info to Submit'!F32</f>
        <v/>
      </c>
      <c r="AB56" s="1198" t="str">
        <f>'Required Info to Submit'!G32</f>
        <v/>
      </c>
      <c r="AC56" s="1198" t="str">
        <f>'Required Info to Submit'!H32</f>
        <v/>
      </c>
      <c r="AD56" s="1198" t="str">
        <f>'Required Info to Submit'!I32</f>
        <v/>
      </c>
      <c r="AE56" s="1198" t="str">
        <f>'Required Info to Submit'!J32</f>
        <v/>
      </c>
      <c r="AF56" s="256"/>
      <c r="AG56" s="256"/>
      <c r="AH56" s="256"/>
      <c r="AI56" s="257"/>
      <c r="AJ56" s="1296"/>
      <c r="AK56" s="1296"/>
      <c r="AL56" s="1296"/>
      <c r="AM56" s="1296"/>
      <c r="AN56" s="1296"/>
      <c r="AO56" s="1296"/>
      <c r="AP56" s="1296"/>
      <c r="AQ56" s="1296"/>
      <c r="AR56" s="1296"/>
      <c r="AS56" s="1296"/>
      <c r="AT56" s="1296"/>
      <c r="AU56" s="1296"/>
      <c r="AV56" s="1296"/>
      <c r="AW56" s="1296"/>
      <c r="AX56" s="1296"/>
      <c r="AY56" s="1296"/>
      <c r="AZ56" s="1296"/>
      <c r="BA56" s="1296"/>
      <c r="BB56" s="1296"/>
      <c r="BC56" s="1296"/>
      <c r="BD56" s="1296"/>
      <c r="BE56" s="1296"/>
      <c r="BF56" s="1296"/>
      <c r="BG56" s="1296"/>
      <c r="BH56" s="1296"/>
      <c r="BI56" s="1296"/>
      <c r="BJ56" s="1296"/>
      <c r="BK56" s="1296"/>
      <c r="BL56" s="1296"/>
      <c r="BM56" s="1296"/>
      <c r="BN56" s="1296"/>
      <c r="BO56" s="1296"/>
      <c r="BP56" s="1296"/>
      <c r="BQ56" s="1296"/>
      <c r="BR56" s="1296"/>
      <c r="BS56" s="1296"/>
      <c r="BT56" s="1296"/>
      <c r="BU56" s="1296"/>
      <c r="BV56" s="1296"/>
      <c r="BW56" s="1296"/>
      <c r="BX56" s="1296"/>
      <c r="BY56" s="1296"/>
      <c r="BZ56" s="1296"/>
      <c r="CA56" s="1296"/>
      <c r="CB56" s="1296"/>
      <c r="CC56" s="1296"/>
      <c r="CD56" s="1296"/>
      <c r="CE56" s="1296"/>
      <c r="CF56" s="1296"/>
      <c r="CG56" s="1296"/>
      <c r="CH56" s="1296"/>
      <c r="CI56" s="1296"/>
      <c r="CJ56" s="1296"/>
      <c r="CK56" s="1296"/>
    </row>
    <row r="57" spans="1:89" x14ac:dyDescent="0.25">
      <c r="A57" s="1296"/>
      <c r="B57" s="1296"/>
      <c r="C57" s="1296"/>
      <c r="D57" s="1296"/>
      <c r="E57" s="1296"/>
      <c r="F57" s="1296"/>
      <c r="G57" s="1296"/>
      <c r="H57" s="1296"/>
      <c r="I57" s="1296"/>
      <c r="J57" s="1296"/>
      <c r="K57" s="1296"/>
      <c r="L57" s="1296"/>
      <c r="M57" s="1296"/>
      <c r="N57" s="1296"/>
      <c r="O57" s="1296"/>
      <c r="P57" s="1296"/>
      <c r="Q57" s="1296"/>
      <c r="R57" s="1296"/>
      <c r="S57" s="1296"/>
      <c r="T57" s="1296"/>
      <c r="U57" s="1296"/>
      <c r="V57" s="1296"/>
      <c r="W57" s="1296"/>
      <c r="X57" s="1296"/>
      <c r="Y57" s="1296"/>
      <c r="Z57" s="1296"/>
      <c r="AA57" s="1296"/>
      <c r="AB57" s="1296"/>
      <c r="AC57" s="1296"/>
      <c r="AD57" s="1296"/>
      <c r="AE57" s="1296"/>
      <c r="AF57" s="1296"/>
      <c r="AG57" s="1296"/>
      <c r="AH57" s="1296"/>
      <c r="AI57" s="1296"/>
      <c r="AJ57" s="1296"/>
      <c r="AK57" s="1296"/>
      <c r="AL57" s="1296"/>
      <c r="AM57" s="1296"/>
      <c r="AN57" s="1296"/>
      <c r="AO57" s="1296"/>
      <c r="AP57" s="1296"/>
      <c r="AQ57" s="1296"/>
      <c r="AR57" s="1296"/>
      <c r="AS57" s="1296"/>
      <c r="AT57" s="1296"/>
      <c r="AU57" s="1296"/>
      <c r="AV57" s="1296"/>
      <c r="AW57" s="1296"/>
      <c r="AX57" s="1296"/>
      <c r="AY57" s="1296"/>
      <c r="AZ57" s="1296"/>
      <c r="BA57" s="1296"/>
      <c r="BB57" s="1296"/>
      <c r="BC57" s="1296"/>
      <c r="BD57" s="1296"/>
      <c r="BE57" s="1296"/>
      <c r="BF57" s="1296"/>
      <c r="BG57" s="1296"/>
      <c r="BH57" s="1296"/>
      <c r="BI57" s="1296"/>
      <c r="BJ57" s="1296"/>
      <c r="BK57" s="1296"/>
      <c r="BL57" s="1296"/>
      <c r="BM57" s="1296"/>
      <c r="BN57" s="1296"/>
      <c r="BO57" s="1296"/>
      <c r="BP57" s="1296"/>
      <c r="BQ57" s="1296"/>
      <c r="BR57" s="1296"/>
      <c r="BS57" s="1296"/>
      <c r="BT57" s="1296"/>
      <c r="BU57" s="1296"/>
      <c r="BV57" s="1296"/>
      <c r="BW57" s="1296"/>
      <c r="BX57" s="1296"/>
      <c r="BY57" s="1296"/>
      <c r="BZ57" s="1296"/>
      <c r="CA57" s="1296"/>
      <c r="CB57" s="1296"/>
      <c r="CC57" s="1296"/>
      <c r="CD57" s="1296"/>
      <c r="CE57" s="1296"/>
      <c r="CF57" s="1296"/>
      <c r="CG57" s="1296"/>
      <c r="CH57" s="1296"/>
      <c r="CI57" s="1296"/>
      <c r="CJ57" s="1296"/>
      <c r="CK57" s="1296"/>
    </row>
    <row r="58" spans="1:89" ht="15.75" thickBot="1" x14ac:dyDescent="0.3">
      <c r="A58" s="1296"/>
      <c r="B58" s="1296"/>
      <c r="C58" s="1296"/>
      <c r="D58" s="1296"/>
      <c r="E58" s="1296"/>
      <c r="F58" s="1296"/>
      <c r="G58" s="1296"/>
      <c r="H58" s="1296"/>
      <c r="I58" s="1296"/>
      <c r="J58" s="1296"/>
      <c r="K58" s="1296"/>
      <c r="L58" s="1296"/>
      <c r="M58" s="1296"/>
      <c r="N58" s="1296"/>
      <c r="O58" s="1296"/>
      <c r="P58" s="1296"/>
      <c r="Q58" s="1296"/>
      <c r="R58" s="1296"/>
      <c r="S58" s="1296"/>
      <c r="T58" s="1296"/>
      <c r="U58" s="1296"/>
      <c r="V58" s="1296"/>
      <c r="W58" s="1296"/>
      <c r="X58" s="1296"/>
      <c r="Y58" s="1296"/>
      <c r="Z58" s="1296"/>
      <c r="AA58" s="1296"/>
      <c r="AB58" s="1296"/>
      <c r="AC58" s="1296"/>
      <c r="AD58" s="1296"/>
      <c r="AE58" s="1296"/>
      <c r="AF58" s="1296"/>
      <c r="AG58" s="1296"/>
      <c r="AH58" s="1296"/>
      <c r="AI58" s="1296"/>
      <c r="AJ58" s="1296"/>
      <c r="AK58" s="1296"/>
      <c r="AL58" s="1296"/>
      <c r="AM58" s="1296"/>
      <c r="AN58" s="1296"/>
      <c r="AO58" s="1296"/>
      <c r="AP58" s="1296"/>
      <c r="AQ58" s="1296"/>
      <c r="AR58" s="1296"/>
      <c r="AS58" s="1296"/>
      <c r="AT58" s="1296"/>
      <c r="AU58" s="1296"/>
      <c r="AV58" s="1296"/>
      <c r="AW58" s="1296"/>
      <c r="AX58" s="1296"/>
      <c r="AY58" s="1296"/>
      <c r="AZ58" s="1296"/>
      <c r="BA58" s="1296"/>
      <c r="BB58" s="1296"/>
      <c r="BC58" s="1296"/>
      <c r="BD58" s="1296"/>
      <c r="BE58" s="1296"/>
      <c r="BF58" s="1296"/>
      <c r="BG58" s="1296"/>
      <c r="BH58" s="1296"/>
      <c r="BI58" s="1296"/>
      <c r="BJ58" s="1296"/>
      <c r="BK58" s="1296"/>
      <c r="BL58" s="1296"/>
      <c r="BM58" s="1296"/>
      <c r="BN58" s="1296"/>
      <c r="BO58" s="1296"/>
      <c r="BP58" s="1296"/>
      <c r="BQ58" s="1296"/>
      <c r="BR58" s="1296"/>
      <c r="BS58" s="1296"/>
      <c r="BT58" s="1296"/>
      <c r="BU58" s="1296"/>
      <c r="BV58" s="1296"/>
      <c r="BW58" s="1296"/>
      <c r="BX58" s="1296"/>
      <c r="BY58" s="1296"/>
      <c r="BZ58" s="1296"/>
      <c r="CA58" s="1296"/>
      <c r="CB58" s="1296"/>
      <c r="CC58" s="1296"/>
      <c r="CD58" s="1296"/>
      <c r="CE58" s="1296"/>
      <c r="CF58" s="1296"/>
      <c r="CG58" s="1296"/>
      <c r="CH58" s="1296"/>
      <c r="CI58" s="1296"/>
      <c r="CJ58" s="1296"/>
      <c r="CK58" s="1296"/>
    </row>
    <row r="59" spans="1:89" ht="40.5" customHeight="1" thickBot="1" x14ac:dyDescent="0.3">
      <c r="A59" s="1296"/>
      <c r="B59" s="1182"/>
      <c r="C59" s="1177" t="s">
        <v>1400</v>
      </c>
      <c r="D59" s="1177" t="s">
        <v>1510</v>
      </c>
      <c r="E59" s="1177" t="s">
        <v>767</v>
      </c>
      <c r="F59" s="1177" t="s">
        <v>1515</v>
      </c>
      <c r="G59" s="1177" t="s">
        <v>1833</v>
      </c>
      <c r="H59" s="1178" t="s">
        <v>1834</v>
      </c>
      <c r="I59" s="1178" t="s">
        <v>1835</v>
      </c>
      <c r="J59" s="1177" t="s">
        <v>1857</v>
      </c>
      <c r="K59" s="1177" t="s">
        <v>1836</v>
      </c>
      <c r="L59" s="1178" t="s">
        <v>1414</v>
      </c>
      <c r="M59" s="1178" t="s">
        <v>1398</v>
      </c>
      <c r="N59" s="1177" t="s">
        <v>1399</v>
      </c>
      <c r="O59" s="1177" t="s">
        <v>722</v>
      </c>
      <c r="P59" s="1177" t="s">
        <v>723</v>
      </c>
      <c r="Q59" s="1178" t="s">
        <v>1514</v>
      </c>
      <c r="R59" s="1296"/>
      <c r="S59" s="1296"/>
      <c r="T59" s="1182"/>
      <c r="U59" s="1177" t="s">
        <v>1400</v>
      </c>
      <c r="V59" s="1177" t="s">
        <v>1510</v>
      </c>
      <c r="W59" s="1177" t="s">
        <v>767</v>
      </c>
      <c r="X59" s="1177" t="s">
        <v>1515</v>
      </c>
      <c r="Y59" s="1177" t="s">
        <v>1833</v>
      </c>
      <c r="Z59" s="1178" t="s">
        <v>1834</v>
      </c>
      <c r="AA59" s="1178" t="s">
        <v>1835</v>
      </c>
      <c r="AB59" s="1177" t="s">
        <v>1857</v>
      </c>
      <c r="AC59" s="1177" t="s">
        <v>1836</v>
      </c>
      <c r="AD59" s="1178" t="s">
        <v>1414</v>
      </c>
      <c r="AE59" s="1178" t="s">
        <v>1398</v>
      </c>
      <c r="AF59" s="1177" t="s">
        <v>1399</v>
      </c>
      <c r="AG59" s="1177" t="s">
        <v>722</v>
      </c>
      <c r="AH59" s="1177" t="s">
        <v>723</v>
      </c>
      <c r="AI59" s="1178" t="s">
        <v>1514</v>
      </c>
      <c r="AJ59" s="1296"/>
      <c r="AK59" s="1296"/>
      <c r="AL59" s="1296"/>
      <c r="AM59" s="1296"/>
      <c r="AN59" s="1296"/>
      <c r="AO59" s="1296"/>
      <c r="AP59" s="1296"/>
      <c r="AQ59" s="1296"/>
      <c r="AR59" s="1296"/>
      <c r="AS59" s="1296"/>
      <c r="AT59" s="1296"/>
      <c r="AU59" s="1296"/>
      <c r="AV59" s="1296"/>
      <c r="AW59" s="1296"/>
      <c r="AX59" s="1296"/>
      <c r="AY59" s="1296"/>
      <c r="AZ59" s="1296"/>
      <c r="BA59" s="1296"/>
      <c r="BB59" s="1296"/>
      <c r="BC59" s="1296"/>
      <c r="BD59" s="1296"/>
      <c r="BE59" s="1296"/>
      <c r="BF59" s="1296"/>
      <c r="BG59" s="1296"/>
      <c r="BH59" s="1296"/>
      <c r="BI59" s="1296"/>
      <c r="BJ59" s="1296"/>
      <c r="BK59" s="1296"/>
      <c r="BL59" s="1296"/>
      <c r="BM59" s="1296"/>
      <c r="BN59" s="1296"/>
      <c r="BO59" s="1296"/>
      <c r="BP59" s="1296"/>
      <c r="BQ59" s="1296"/>
      <c r="BR59" s="1296"/>
      <c r="BS59" s="1296"/>
      <c r="BT59" s="1296"/>
      <c r="BU59" s="1296"/>
      <c r="BV59" s="1296"/>
      <c r="BW59" s="1296"/>
      <c r="BX59" s="1296"/>
      <c r="BY59" s="1296"/>
      <c r="BZ59" s="1296"/>
      <c r="CA59" s="1296"/>
      <c r="CB59" s="1296"/>
      <c r="CC59" s="1296"/>
      <c r="CD59" s="1296"/>
      <c r="CE59" s="1296"/>
      <c r="CF59" s="1296"/>
      <c r="CG59" s="1296"/>
      <c r="CH59" s="1296"/>
      <c r="CI59" s="1296"/>
      <c r="CJ59" s="1296"/>
      <c r="CK59" s="1296"/>
    </row>
    <row r="60" spans="1:89" ht="69" customHeight="1" thickBot="1" x14ac:dyDescent="0.3">
      <c r="A60" s="1296"/>
      <c r="B60" s="1184" t="s">
        <v>1837</v>
      </c>
      <c r="C60" s="1185" t="s">
        <v>1532</v>
      </c>
      <c r="D60" s="1186">
        <v>1501</v>
      </c>
      <c r="E60" s="1181" t="s">
        <v>1908</v>
      </c>
      <c r="F60" s="1181" t="s">
        <v>1516</v>
      </c>
      <c r="G60" s="1179" t="str" cm="1">
        <f t="array" aca="1" ref="G60" ca="1">INDIRECT("'Incentives Worksheet'!P"&amp;'Configurable Tab'!H7+3)</f>
        <v>Same as Payout Cycle</v>
      </c>
      <c r="H60" s="1179" t="str" cm="1">
        <f t="array" aca="1" ref="H60" ca="1">IF(ISBLANK(INDIRECT("'Incentives Worksheet'!H"&amp;'Configurable Tab'!H7+3)),"",INDIRECT("'Incentives Worksheet'!H"&amp;'Configurable Tab'!H7+3))</f>
        <v/>
      </c>
      <c r="I60" s="1179" t="str" cm="1">
        <f t="array" aca="1" ref="I60" ca="1">IF(INDIRECT("'Incentives Worksheet'!R"&amp;'Configurable Tab'!H7+3)="USF Calendar","Fiscal",INDIRECT("'Incentives Worksheet'!R"&amp;'Configurable Tab'!H7+3))</f>
        <v>Fiscal</v>
      </c>
      <c r="J60" s="1179" t="str" cm="1">
        <f t="array" aca="1" ref="J60" ca="1">IF(INDIRECT("'Incentives Worksheet'!L"&amp;'Configurable Tab'!H7+13)="All"," Select All Products","Unselect All Products")</f>
        <v xml:space="preserve"> Select All Products</v>
      </c>
      <c r="K60" s="1179" t="str" cm="1">
        <f t="array" aca="1" ref="K60" ca="1">IF(INDIRECT("'Incentives Worksheet'!T"&amp;'Configurable Tab'!H7+3)="Yes","Post to GL","")</f>
        <v/>
      </c>
      <c r="L60" s="1179" t="str" cm="1">
        <f t="array" aca="1" ref="L60" ca="1">IF(ISBLANK(INDIRECT("'Incentives Worksheet'!L"&amp;'Configurable Tab'!H7+3)),"",INDIRECT("'Incentives Worksheet'!L"&amp;'Configurable Tab'!H7+3))</f>
        <v/>
      </c>
      <c r="M60" s="1179" t="str" cm="1">
        <f t="array" aca="1" ref="M60" ca="1">IF(ISBLANK(INDIRECT("'Incentives Worksheet'!J"&amp;'Configurable Tab'!H7+3)),"",INDIRECT("'Incentives Worksheet'!J"&amp;'Configurable Tab'!H7+3))</f>
        <v/>
      </c>
      <c r="N60" s="1179" t="str" cm="1">
        <f t="array" aca="1" ref="N60" ca="1">IF(ISBLANK(INDIRECT("'Incentives Worksheet'!N"&amp;'Configurable Tab'!H7+3)),"",INDIRECT("'Incentives Worksheet'!N"&amp;'Configurable Tab'!H7+3))</f>
        <v/>
      </c>
      <c r="O60" s="1180" t="str" cm="1">
        <f t="array" aca="1" ref="O60" ca="1">INDIRECT("'Incentives Worksheet'!D"&amp;'Configurable Tab'!H7+6)</f>
        <v/>
      </c>
      <c r="P60" s="1180" t="str" cm="1">
        <f t="array" aca="1" ref="P60" ca="1">INDIRECT("'Incentives Worksheet'!D"&amp;'Configurable Tab'!H7+8)</f>
        <v/>
      </c>
      <c r="Q60" s="1179" t="str" cm="1">
        <f t="array" aca="1" ref="Q60" ca="1">IF(INDIRECT("'Incentives Worksheet'!D"&amp;'Configurable Tab'!H7+12)="No","Update tracking dates",INDIRECT("'Incentives Worksheet'!D"&amp;'Configurable Tab'!H7+12))</f>
        <v>Yes</v>
      </c>
      <c r="R60" s="1296"/>
      <c r="S60" s="1296"/>
      <c r="T60" s="1184" t="s">
        <v>1837</v>
      </c>
      <c r="U60" s="1185" t="s">
        <v>1532</v>
      </c>
      <c r="V60" s="1186">
        <v>1502</v>
      </c>
      <c r="W60" s="1181" t="s">
        <v>1908</v>
      </c>
      <c r="X60" s="1181" t="s">
        <v>1516</v>
      </c>
      <c r="Y60" s="1179" t="str" cm="1">
        <f t="array" aca="1" ref="Y60" ca="1">INDIRECT("'Incentives Worksheet'!P"&amp;'Configurable Tab'!H8+3)</f>
        <v>Same as Payout Cycle</v>
      </c>
      <c r="Z60" s="1179" t="str" cm="1">
        <f t="array" aca="1" ref="Z60" ca="1">IF(ISBLANK(INDIRECT("'Incentives Worksheet'!H"&amp;'Configurable Tab'!H8+3)),"",INDIRECT("'Incentives Worksheet'!H"&amp;'Configurable Tab'!H8+3))</f>
        <v/>
      </c>
      <c r="AA60" s="1179" t="str" cm="1">
        <f t="array" aca="1" ref="AA60" ca="1">IF(INDIRECT("'Incentives Worksheet'!R"&amp;'Configurable Tab'!H8+3)="USF Calendar","Fiscal",INDIRECT("'Incentives Worksheet'!R"&amp;'Configurable Tab'!H8+3))</f>
        <v>Fiscal</v>
      </c>
      <c r="AB60" s="1179" t="str" cm="1">
        <f t="array" aca="1" ref="AB60" ca="1">IF(INDIRECT("'Incentives Worksheet'!L"&amp;'Configurable Tab'!H8+13)="All"," Select All Products","Unselect All Products")</f>
        <v xml:space="preserve"> Select All Products</v>
      </c>
      <c r="AC60" s="1179" t="str" cm="1">
        <f t="array" aca="1" ref="AC60" ca="1">IF(INDIRECT("'Incentives Worksheet'!T"&amp;'Configurable Tab'!H8+3)="Yes","Post to GL","")</f>
        <v/>
      </c>
      <c r="AD60" s="1179" t="str" cm="1">
        <f t="array" aca="1" ref="AD60" ca="1">IF(ISBLANK(INDIRECT("'Incentives Worksheet'!L"&amp;'Configurable Tab'!H8+3)),"",INDIRECT("'Incentives Worksheet'!L"&amp;'Configurable Tab'!H8+3))</f>
        <v/>
      </c>
      <c r="AE60" s="1179" t="str" cm="1">
        <f t="array" aca="1" ref="AE60" ca="1">IF(ISBLANK(INDIRECT("'Incentives Worksheet'!J"&amp;'Configurable Tab'!H8+3)),"",INDIRECT("'Incentives Worksheet'!J"&amp;'Configurable Tab'!H8+3))</f>
        <v/>
      </c>
      <c r="AF60" s="1179" t="str" cm="1">
        <f t="array" aca="1" ref="AF60" ca="1">IF(ISBLANK(INDIRECT("'Incentives Worksheet'!N"&amp;'Configurable Tab'!H8+3)),"",INDIRECT("'Incentives Worksheet'!N"&amp;'Configurable Tab'!H8+3))</f>
        <v/>
      </c>
      <c r="AG60" s="1180" t="str" cm="1">
        <f t="array" aca="1" ref="AG60" ca="1">INDIRECT("'Incentives Worksheet'!D"&amp;'Configurable Tab'!H8+6)</f>
        <v/>
      </c>
      <c r="AH60" s="1180" t="str" cm="1">
        <f t="array" aca="1" ref="AH60" ca="1">INDIRECT("'Incentives Worksheet'!D"&amp;'Configurable Tab'!H8+8)</f>
        <v/>
      </c>
      <c r="AI60" s="1179" t="str" cm="1">
        <f t="array" aca="1" ref="AI60" ca="1">IF(INDIRECT("'Incentives Worksheet'!D"&amp;'Configurable Tab'!H8+12)="No","Update tracking dates",INDIRECT("'Incentives Worksheet'!D"&amp;'Configurable Tab'!H8+12))</f>
        <v>Yes</v>
      </c>
      <c r="AJ60" s="1296"/>
      <c r="AK60" s="1296"/>
      <c r="AL60" s="1296"/>
      <c r="AM60" s="1296"/>
      <c r="AN60" s="1296"/>
      <c r="AO60" s="1296"/>
      <c r="AP60" s="1296"/>
      <c r="AQ60" s="1296"/>
      <c r="AR60" s="1296"/>
      <c r="AS60" s="1296"/>
      <c r="AT60" s="1296"/>
      <c r="AU60" s="1296"/>
      <c r="AV60" s="1296"/>
      <c r="AW60" s="1296"/>
      <c r="AX60" s="1296"/>
      <c r="AY60" s="1296"/>
      <c r="AZ60" s="1296"/>
      <c r="BA60" s="1296"/>
      <c r="BB60" s="1296"/>
      <c r="BC60" s="1296"/>
      <c r="BD60" s="1296"/>
      <c r="BE60" s="1296"/>
      <c r="BF60" s="1296"/>
      <c r="BG60" s="1296"/>
      <c r="BH60" s="1296"/>
      <c r="BI60" s="1296"/>
      <c r="BJ60" s="1296"/>
      <c r="BK60" s="1296"/>
      <c r="BL60" s="1296"/>
      <c r="BM60" s="1296"/>
      <c r="BN60" s="1296"/>
      <c r="BO60" s="1296"/>
      <c r="BP60" s="1296"/>
      <c r="BQ60" s="1296"/>
      <c r="BR60" s="1296"/>
      <c r="BS60" s="1296"/>
      <c r="BT60" s="1296"/>
      <c r="BU60" s="1296"/>
      <c r="BV60" s="1296"/>
      <c r="BW60" s="1296"/>
      <c r="BX60" s="1296"/>
      <c r="BY60" s="1296"/>
      <c r="BZ60" s="1296"/>
      <c r="CA60" s="1296"/>
      <c r="CB60" s="1296"/>
      <c r="CC60" s="1296"/>
      <c r="CD60" s="1296"/>
      <c r="CE60" s="1296"/>
      <c r="CF60" s="1296"/>
      <c r="CG60" s="1296"/>
      <c r="CH60" s="1296"/>
      <c r="CI60" s="1296"/>
      <c r="CJ60" s="1296"/>
      <c r="CK60" s="1296"/>
    </row>
    <row r="61" spans="1:89" ht="45.75" customHeight="1" thickBot="1" x14ac:dyDescent="0.3">
      <c r="A61" s="1296"/>
      <c r="B61" s="1719" t="s">
        <v>1838</v>
      </c>
      <c r="C61" s="1210" t="s">
        <v>1858</v>
      </c>
      <c r="D61" s="1177" t="s">
        <v>1859</v>
      </c>
      <c r="E61" s="1178" t="s">
        <v>1376</v>
      </c>
      <c r="F61" s="1178" t="s">
        <v>1860</v>
      </c>
      <c r="G61" s="1177" t="s">
        <v>1861</v>
      </c>
      <c r="H61" s="1211" t="s">
        <v>1862</v>
      </c>
      <c r="I61" s="1211" t="s">
        <v>1863</v>
      </c>
      <c r="J61" s="1211" t="s">
        <v>1864</v>
      </c>
      <c r="K61" s="1212"/>
      <c r="L61" s="1212"/>
      <c r="M61" s="1212"/>
      <c r="N61" s="1212"/>
      <c r="O61" s="1212"/>
      <c r="P61" s="1212"/>
      <c r="Q61" s="1213"/>
      <c r="R61" s="1296"/>
      <c r="S61" s="1296"/>
      <c r="T61" s="1719" t="s">
        <v>1838</v>
      </c>
      <c r="U61" s="1214" t="s">
        <v>1858</v>
      </c>
      <c r="V61" s="1177" t="s">
        <v>1859</v>
      </c>
      <c r="W61" s="1178" t="s">
        <v>1376</v>
      </c>
      <c r="X61" s="1177" t="s">
        <v>1860</v>
      </c>
      <c r="Y61" s="1177" t="s">
        <v>1861</v>
      </c>
      <c r="Z61" s="1211" t="s">
        <v>1862</v>
      </c>
      <c r="AA61" s="1211" t="s">
        <v>1863</v>
      </c>
      <c r="AB61" s="1215" t="s">
        <v>1864</v>
      </c>
      <c r="AC61" s="1212"/>
      <c r="AD61" s="1212"/>
      <c r="AE61" s="1212"/>
      <c r="AF61" s="1212"/>
      <c r="AG61" s="1212"/>
      <c r="AH61" s="1212"/>
      <c r="AI61" s="1213"/>
      <c r="AJ61" s="1296"/>
      <c r="AK61" s="1296"/>
      <c r="AL61" s="1296"/>
      <c r="AM61" s="1296"/>
      <c r="AN61" s="1296"/>
      <c r="AO61" s="1296"/>
      <c r="AP61" s="1296"/>
      <c r="AQ61" s="1296"/>
      <c r="AR61" s="1296"/>
      <c r="AS61" s="1296"/>
      <c r="AT61" s="1296"/>
      <c r="AU61" s="1296"/>
      <c r="AV61" s="1296"/>
      <c r="AW61" s="1296"/>
      <c r="AX61" s="1296"/>
      <c r="AY61" s="1296"/>
      <c r="AZ61" s="1296"/>
      <c r="BA61" s="1296"/>
      <c r="BB61" s="1296"/>
      <c r="BC61" s="1296"/>
      <c r="BD61" s="1296"/>
      <c r="BE61" s="1296"/>
      <c r="BF61" s="1296"/>
      <c r="BG61" s="1296"/>
      <c r="BH61" s="1296"/>
      <c r="BI61" s="1296"/>
      <c r="BJ61" s="1296"/>
      <c r="BK61" s="1296"/>
      <c r="BL61" s="1296"/>
      <c r="BM61" s="1296"/>
      <c r="BN61" s="1296"/>
      <c r="BO61" s="1296"/>
      <c r="BP61" s="1296"/>
      <c r="BQ61" s="1296"/>
      <c r="BR61" s="1296"/>
      <c r="BS61" s="1296"/>
      <c r="BT61" s="1296"/>
      <c r="BU61" s="1296"/>
      <c r="BV61" s="1296"/>
      <c r="BW61" s="1296"/>
      <c r="BX61" s="1296"/>
      <c r="BY61" s="1296"/>
      <c r="BZ61" s="1296"/>
      <c r="CA61" s="1296"/>
      <c r="CB61" s="1296"/>
      <c r="CC61" s="1296"/>
      <c r="CD61" s="1296"/>
      <c r="CE61" s="1296"/>
      <c r="CF61" s="1296"/>
      <c r="CG61" s="1296"/>
      <c r="CH61" s="1296"/>
      <c r="CI61" s="1296"/>
      <c r="CJ61" s="1296"/>
      <c r="CK61" s="1296"/>
    </row>
    <row r="62" spans="1:89" ht="15.75" thickBot="1" x14ac:dyDescent="0.3">
      <c r="A62" s="1296"/>
      <c r="B62" s="1726"/>
      <c r="C62" s="1245" t="s">
        <v>1865</v>
      </c>
      <c r="D62" s="1245" t="str" cm="1">
        <f t="array" aca="1" ref="D62" ca="1">IF(INDIRECT("'Incentives Worksheet'!L"&amp;'Configurable Tab'!H7+13)="All"," All Products","Included Products")</f>
        <v xml:space="preserve"> All Products</v>
      </c>
      <c r="E62" s="1245" t="str" cm="1">
        <f t="array" aca="1" ref="E62" ca="1">IF(INDIRECT("'Incentives Worksheet'!J"&amp;'Configurable Tab'!H7+13)="All","All Customers","Individual")</f>
        <v>All Customers</v>
      </c>
      <c r="F62" s="1245" t="str" cm="1">
        <f t="array" aca="1" ref="F62" ca="1">INDIRECT("'Incentives Worksheet'!P"&amp;'Configurable Tab'!H7+13)</f>
        <v>Yes</v>
      </c>
      <c r="G62" s="124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7" t="s">
        <v>1841</v>
      </c>
      <c r="I62" s="1247" t="s">
        <v>1841</v>
      </c>
      <c r="J62" s="1247" t="str" cm="1">
        <f t="array" aca="1" ref="J62" ca="1">INDIRECT("'Incentives Worksheet'!N"&amp;'Configurable Tab'!H7+6)</f>
        <v>%</v>
      </c>
      <c r="K62" s="1188"/>
      <c r="L62" s="1188"/>
      <c r="M62" s="1188"/>
      <c r="N62" s="1188"/>
      <c r="O62" s="1188"/>
      <c r="P62" s="1188"/>
      <c r="Q62" s="138"/>
      <c r="R62" s="1296"/>
      <c r="S62" s="1296"/>
      <c r="T62" s="1726"/>
      <c r="U62" s="1245" t="s">
        <v>1865</v>
      </c>
      <c r="V62" s="1246" t="str" cm="1">
        <f t="array" aca="1" ref="V62" ca="1">IF(INDIRECT("'Incentives Worksheet'!L"&amp;'Configurable Tab'!H8+13)="All"," All Products","Included Products")</f>
        <v xml:space="preserve"> All Products</v>
      </c>
      <c r="W62" s="1246" t="str" cm="1">
        <f t="array" aca="1" ref="W62" ca="1">IF(INDIRECT("'Incentives Worksheet'!J"&amp;'Configurable Tab'!H8+13)="All","All Customers","Individual")</f>
        <v>All Customers</v>
      </c>
      <c r="X62" s="1246" t="str" cm="1">
        <f t="array" aca="1" ref="X62" ca="1">INDIRECT("'Incentives Worksheet'!P"&amp;'Configurable Tab'!H8+13)</f>
        <v>Yes</v>
      </c>
      <c r="Y62" s="124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7" t="s">
        <v>1841</v>
      </c>
      <c r="AA62" s="1247" t="s">
        <v>1841</v>
      </c>
      <c r="AB62" s="1247" t="str" cm="1">
        <f t="array" aca="1" ref="AB62" ca="1">INDIRECT("'Incentives Worksheet'!N"&amp;'Configurable Tab'!H8+6)</f>
        <v>%</v>
      </c>
      <c r="AC62" s="1188"/>
      <c r="AD62" s="1188"/>
      <c r="AE62" s="1188"/>
      <c r="AF62" s="1188"/>
      <c r="AG62" s="1188"/>
      <c r="AH62" s="1188"/>
      <c r="AI62" s="138"/>
      <c r="AJ62" s="1296"/>
      <c r="AK62" s="1296"/>
      <c r="AL62" s="1296"/>
      <c r="AM62" s="1296"/>
      <c r="AN62" s="1296"/>
      <c r="AO62" s="1296"/>
      <c r="AP62" s="1296"/>
      <c r="AQ62" s="1296"/>
      <c r="AR62" s="1296"/>
      <c r="AS62" s="1296"/>
      <c r="AT62" s="1296"/>
      <c r="AU62" s="1296"/>
      <c r="AV62" s="1296"/>
      <c r="AW62" s="1296"/>
      <c r="AX62" s="1296"/>
      <c r="AY62" s="1296"/>
      <c r="AZ62" s="1296"/>
      <c r="BA62" s="1296"/>
      <c r="BB62" s="1296"/>
      <c r="BC62" s="1296"/>
      <c r="BD62" s="1296"/>
      <c r="BE62" s="1296"/>
      <c r="BF62" s="1296"/>
      <c r="BG62" s="1296"/>
      <c r="BH62" s="1296"/>
      <c r="BI62" s="1296"/>
      <c r="BJ62" s="1296"/>
      <c r="BK62" s="1296"/>
      <c r="BL62" s="1296"/>
      <c r="BM62" s="1296"/>
      <c r="BN62" s="1296"/>
      <c r="BO62" s="1296"/>
      <c r="BP62" s="1296"/>
      <c r="BQ62" s="1296"/>
      <c r="BR62" s="1296"/>
      <c r="BS62" s="1296"/>
      <c r="BT62" s="1296"/>
      <c r="BU62" s="1296"/>
      <c r="BV62" s="1296"/>
      <c r="BW62" s="1296"/>
      <c r="BX62" s="1296"/>
      <c r="BY62" s="1296"/>
      <c r="BZ62" s="1296"/>
      <c r="CA62" s="1296"/>
      <c r="CB62" s="1296"/>
      <c r="CC62" s="1296"/>
      <c r="CD62" s="1296"/>
      <c r="CE62" s="1296"/>
      <c r="CF62" s="1296"/>
      <c r="CG62" s="1296"/>
      <c r="CH62" s="1296"/>
      <c r="CI62" s="1296"/>
      <c r="CJ62" s="1296"/>
      <c r="CK62" s="1296"/>
    </row>
    <row r="63" spans="1:89" x14ac:dyDescent="0.25">
      <c r="A63" s="1296"/>
      <c r="B63" s="1721"/>
      <c r="C63" s="1220" t="s">
        <v>1868</v>
      </c>
      <c r="D63" s="1221" t="s">
        <v>126</v>
      </c>
      <c r="E63" s="1222" t="s">
        <v>128</v>
      </c>
      <c r="F63" s="1223" t="s">
        <v>1110</v>
      </c>
      <c r="G63" s="1188"/>
      <c r="H63" s="1188"/>
      <c r="I63" s="1188"/>
      <c r="J63" s="1188"/>
      <c r="K63" s="1188"/>
      <c r="L63" s="1188"/>
      <c r="M63" s="1188"/>
      <c r="N63" s="1188"/>
      <c r="O63" s="1188"/>
      <c r="P63" s="1188"/>
      <c r="Q63" s="1189"/>
      <c r="R63" s="1296"/>
      <c r="S63" s="1296"/>
      <c r="T63" s="1726"/>
      <c r="U63" s="1248" t="s">
        <v>1868</v>
      </c>
      <c r="V63" s="1249" t="s">
        <v>126</v>
      </c>
      <c r="W63" s="1227" t="s">
        <v>128</v>
      </c>
      <c r="X63" s="1227" t="s">
        <v>1110</v>
      </c>
      <c r="Y63" s="1188"/>
      <c r="Z63" s="1188"/>
      <c r="AA63" s="1188"/>
      <c r="AB63" s="1188"/>
      <c r="AC63" s="1188"/>
      <c r="AD63" s="1188"/>
      <c r="AE63" s="1188"/>
      <c r="AF63" s="1188"/>
      <c r="AG63" s="1188"/>
      <c r="AH63" s="1188"/>
      <c r="AI63" s="1189"/>
      <c r="AJ63" s="1296"/>
      <c r="AK63" s="1296"/>
      <c r="AL63" s="1296"/>
      <c r="AM63" s="1296"/>
      <c r="AN63" s="1296"/>
      <c r="AO63" s="1296"/>
      <c r="AP63" s="1296"/>
      <c r="AQ63" s="1296"/>
      <c r="AR63" s="1296"/>
      <c r="AS63" s="1296"/>
      <c r="AT63" s="1296"/>
      <c r="AU63" s="1296"/>
      <c r="AV63" s="1296"/>
      <c r="AW63" s="1296"/>
      <c r="AX63" s="1296"/>
      <c r="AY63" s="1296"/>
      <c r="AZ63" s="1296"/>
      <c r="BA63" s="1296"/>
      <c r="BB63" s="1296"/>
      <c r="BC63" s="1296"/>
      <c r="BD63" s="1296"/>
      <c r="BE63" s="1296"/>
      <c r="BF63" s="1296"/>
      <c r="BG63" s="1296"/>
      <c r="BH63" s="1296"/>
      <c r="BI63" s="1296"/>
      <c r="BJ63" s="1296"/>
      <c r="BK63" s="1296"/>
      <c r="BL63" s="1296"/>
      <c r="BM63" s="1296"/>
      <c r="BN63" s="1296"/>
      <c r="BO63" s="1296"/>
      <c r="BP63" s="1296"/>
      <c r="BQ63" s="1296"/>
      <c r="BR63" s="1296"/>
      <c r="BS63" s="1296"/>
      <c r="BT63" s="1296"/>
      <c r="BU63" s="1296"/>
      <c r="BV63" s="1296"/>
      <c r="BW63" s="1296"/>
      <c r="BX63" s="1296"/>
      <c r="BY63" s="1296"/>
      <c r="BZ63" s="1296"/>
      <c r="CA63" s="1296"/>
      <c r="CB63" s="1296"/>
      <c r="CC63" s="1296"/>
      <c r="CD63" s="1296"/>
      <c r="CE63" s="1296"/>
      <c r="CF63" s="1296"/>
      <c r="CG63" s="1296"/>
      <c r="CH63" s="1296"/>
      <c r="CI63" s="1296"/>
      <c r="CJ63" s="1296"/>
      <c r="CK63" s="1296"/>
    </row>
    <row r="64" spans="1:89" x14ac:dyDescent="0.25">
      <c r="A64" s="1296"/>
      <c r="B64" s="1721"/>
      <c r="C64" s="1228">
        <v>0</v>
      </c>
      <c r="D64" s="1270" t="str">
        <f ca="1">IF(AND(COUNTIF(INDIRECT("'Incentives Worksheet'!H"&amp;'Configurable Tab'!H7+6):INDIRECT("'Incentives Worksheet'!H"&amp;'Configurable Tab'!H7+10),0)=0,'Incentives Worksheet'!$Z$7&lt;&gt;""),0,"")</f>
        <v/>
      </c>
      <c r="E64" s="1230" t="str">
        <f ca="1">IFERROR(IF(COUNTIF(INDIRECT("'Incentives Worksheet'!H"&amp;'Configurable Tab'!H7+6):INDIRECT("'Incentives Worksheet'!H"&amp;'Configurable Tab'!H7+10),0)=0,SMALL(INDIRECT("'Incentives Worksheet'!H"&amp;'Configurable Tab'!H7+6):INDIRECT("'Incentives Worksheet'!H"&amp;'Configurable Tab'!H7+10),1)-0.01,""),"")</f>
        <v/>
      </c>
      <c r="F64" s="1468" t="str">
        <f ca="1">IF(AND(COUNTIF(INDIRECT("'Incentives Worksheet'!H"&amp;'Configurable Tab'!H7+6):INDIRECT("'Incentives Worksheet'!H"&amp;'Configurable Tab'!H7+10),0)=0,'Incentives Worksheet'!$Z$7&lt;&gt;""),0,"")</f>
        <v/>
      </c>
      <c r="G64" s="1188"/>
      <c r="H64" s="1188"/>
      <c r="I64" s="1188"/>
      <c r="J64" s="1188"/>
      <c r="K64" s="1188"/>
      <c r="L64" s="1188"/>
      <c r="M64" s="1188"/>
      <c r="N64" s="1188"/>
      <c r="O64" s="1188"/>
      <c r="P64" s="1188"/>
      <c r="Q64" s="1189"/>
      <c r="R64" s="1296"/>
      <c r="S64" s="1296"/>
      <c r="T64" s="1721"/>
      <c r="U64" s="1232">
        <v>0</v>
      </c>
      <c r="V64" s="1272" t="str">
        <f ca="1">IF(AND(COUNTIF(INDIRECT("'Incentives Worksheet'!H"&amp;'Configurable Tab'!H8+6):INDIRECT("'Incentives Worksheet'!H"&amp;'Configurable Tab'!H8+10),0)=0,'Incentives Worksheet'!$Z$8&lt;&gt;""),0,"")</f>
        <v/>
      </c>
      <c r="W64" s="1261" t="str">
        <f ca="1">IFERROR(IF(COUNTIF(INDIRECT("'Incentives Worksheet'!H"&amp;'Configurable Tab'!H8+6):INDIRECT("'Incentives Worksheet'!H"&amp;'Configurable Tab'!H8+10),0)=0,SMALL(INDIRECT("'Incentives Worksheet'!H"&amp;'Configurable Tab'!H8+6):INDIRECT("'Incentives Worksheet'!H"&amp;'Configurable Tab'!H8+10),1)-0.01,""),"")</f>
        <v/>
      </c>
      <c r="X64" s="1261" t="str">
        <f ca="1">IF(AND(COUNTIF(INDIRECT("'Incentives Worksheet'!H"&amp;'Configurable Tab'!H8+6):INDIRECT("'Incentives Worksheet'!H"&amp;'Configurable Tab'!H8+10),0)=0,'Incentives Worksheet'!$Z$8&lt;&gt;""),0,"")</f>
        <v/>
      </c>
      <c r="Y64" s="1188"/>
      <c r="Z64" s="1188"/>
      <c r="AA64" s="1188"/>
      <c r="AB64" s="1188"/>
      <c r="AC64" s="1188"/>
      <c r="AD64" s="1188"/>
      <c r="AE64" s="1188"/>
      <c r="AF64" s="1188"/>
      <c r="AG64" s="1188"/>
      <c r="AH64" s="1188"/>
      <c r="AI64" s="1189"/>
      <c r="AJ64" s="1296"/>
      <c r="AK64" s="1296"/>
      <c r="AL64" s="1296"/>
      <c r="AM64" s="1296"/>
      <c r="AN64" s="1296"/>
      <c r="AO64" s="1296"/>
      <c r="AP64" s="1296"/>
      <c r="AQ64" s="1296"/>
      <c r="AR64" s="1296"/>
      <c r="AS64" s="1296"/>
      <c r="AT64" s="1296"/>
      <c r="AU64" s="1296"/>
      <c r="AV64" s="1296"/>
      <c r="AW64" s="1296"/>
      <c r="AX64" s="1296"/>
      <c r="AY64" s="1296"/>
      <c r="AZ64" s="1296"/>
      <c r="BA64" s="1296"/>
      <c r="BB64" s="1296"/>
      <c r="BC64" s="1296"/>
      <c r="BD64" s="1296"/>
      <c r="BE64" s="1296"/>
      <c r="BF64" s="1296"/>
      <c r="BG64" s="1296"/>
      <c r="BH64" s="1296"/>
      <c r="BI64" s="1296"/>
      <c r="BJ64" s="1296"/>
      <c r="BK64" s="1296"/>
      <c r="BL64" s="1296"/>
      <c r="BM64" s="1296"/>
      <c r="BN64" s="1296"/>
      <c r="BO64" s="1296"/>
      <c r="BP64" s="1296"/>
      <c r="BQ64" s="1296"/>
      <c r="BR64" s="1296"/>
      <c r="BS64" s="1296"/>
      <c r="BT64" s="1296"/>
      <c r="BU64" s="1296"/>
      <c r="BV64" s="1296"/>
      <c r="BW64" s="1296"/>
      <c r="BX64" s="1296"/>
      <c r="BY64" s="1296"/>
      <c r="BZ64" s="1296"/>
      <c r="CA64" s="1296"/>
      <c r="CB64" s="1296"/>
      <c r="CC64" s="1296"/>
      <c r="CD64" s="1296"/>
      <c r="CE64" s="1296"/>
      <c r="CF64" s="1296"/>
      <c r="CG64" s="1296"/>
      <c r="CH64" s="1296"/>
      <c r="CI64" s="1296"/>
      <c r="CJ64" s="1296"/>
      <c r="CK64" s="1296"/>
    </row>
    <row r="65" spans="1:89" x14ac:dyDescent="0.25">
      <c r="A65" s="1296"/>
      <c r="B65" s="1721"/>
      <c r="C65" s="1250">
        <v>1</v>
      </c>
      <c r="D65" s="1469" t="str" cm="1">
        <f t="array" aca="1" ref="D65" ca="1">IF(INDIRECT("'Incentives Worksheet'!H"&amp;'Configurable Tab'!H7+6)="","",INDIRECT("'Incentives Worksheet'!H"&amp;'Configurable Tab'!H7+6))</f>
        <v/>
      </c>
      <c r="E65" s="1251" t="str" cm="1">
        <f t="array" aca="1" ref="E65" ca="1">IF(INDIRECT("'Incentives Worksheet'!J"&amp;'Configurable Tab'!H7+6)="","",INDIRECT("'Incentives Worksheet'!J"&amp;'Configurable Tab'!H7+6))</f>
        <v/>
      </c>
      <c r="F65" s="1470" t="str" cm="1">
        <f t="array" aca="1" ref="F65" ca="1">IF(INDIRECT("'Incentives Worksheet'!L"&amp;'Configurable Tab'!H7+6)="","",INDIRECT("'Incentives Worksheet'!L"&amp;'Configurable Tab'!H7+6))</f>
        <v/>
      </c>
      <c r="G65" s="1188"/>
      <c r="H65" s="1188"/>
      <c r="I65" s="1188"/>
      <c r="J65" s="1188"/>
      <c r="K65" s="1188"/>
      <c r="L65" s="1188"/>
      <c r="M65" s="1188"/>
      <c r="N65" s="1188"/>
      <c r="O65" s="1188"/>
      <c r="P65" s="1188"/>
      <c r="Q65" s="1189"/>
      <c r="R65" s="1296"/>
      <c r="S65" s="1296"/>
      <c r="T65" s="1721"/>
      <c r="U65" s="1250">
        <v>1</v>
      </c>
      <c r="V65" s="1471" t="str" cm="1">
        <f t="array" aca="1" ref="V65" ca="1">IF(INDIRECT("'Incentives Worksheet'!H"&amp;'Configurable Tab'!H8+6)="","",INDIRECT("'Incentives Worksheet'!H"&amp;'Configurable Tab'!H8+6))</f>
        <v/>
      </c>
      <c r="W65" s="1252" t="str" cm="1">
        <f t="array" aca="1" ref="W65" ca="1">IF(INDIRECT("'Incentives Worksheet'!J"&amp;'Configurable Tab'!H8+6)="","",INDIRECT("'Incentives Worksheet'!J"&amp;'Configurable Tab'!H8+6))</f>
        <v/>
      </c>
      <c r="X65" s="1472" t="str" cm="1">
        <f t="array" aca="1" ref="X65" ca="1">IF(INDIRECT("'Incentives Worksheet'!L"&amp;'Configurable Tab'!H8+6)="","",INDIRECT("'Incentives Worksheet'!L"&amp;'Configurable Tab'!H8+6))</f>
        <v/>
      </c>
      <c r="Y65" s="1188"/>
      <c r="Z65" s="1188"/>
      <c r="AA65" s="1188"/>
      <c r="AB65" s="1188"/>
      <c r="AC65" s="1188"/>
      <c r="AD65" s="1188"/>
      <c r="AE65" s="1188"/>
      <c r="AF65" s="1188"/>
      <c r="AG65" s="1188"/>
      <c r="AH65" s="1188"/>
      <c r="AI65" s="1189"/>
      <c r="AJ65" s="1296"/>
      <c r="AK65" s="1296"/>
      <c r="AL65" s="1296"/>
      <c r="AM65" s="1296"/>
      <c r="AN65" s="1296"/>
      <c r="AO65" s="1296"/>
      <c r="AP65" s="1296"/>
      <c r="AQ65" s="1296"/>
      <c r="AR65" s="1296"/>
      <c r="AS65" s="1296"/>
      <c r="AT65" s="1296"/>
      <c r="AU65" s="1296"/>
      <c r="AV65" s="1296"/>
      <c r="AW65" s="1296"/>
      <c r="AX65" s="1296"/>
      <c r="AY65" s="1296"/>
      <c r="AZ65" s="1296"/>
      <c r="BA65" s="1296"/>
      <c r="BB65" s="1296"/>
      <c r="BC65" s="1296"/>
      <c r="BD65" s="1296"/>
      <c r="BE65" s="1296"/>
      <c r="BF65" s="1296"/>
      <c r="BG65" s="1296"/>
      <c r="BH65" s="1296"/>
      <c r="BI65" s="1296"/>
      <c r="BJ65" s="1296"/>
      <c r="BK65" s="1296"/>
      <c r="BL65" s="1296"/>
      <c r="BM65" s="1296"/>
      <c r="BN65" s="1296"/>
      <c r="BO65" s="1296"/>
      <c r="BP65" s="1296"/>
      <c r="BQ65" s="1296"/>
      <c r="BR65" s="1296"/>
      <c r="BS65" s="1296"/>
      <c r="BT65" s="1296"/>
      <c r="BU65" s="1296"/>
      <c r="BV65" s="1296"/>
      <c r="BW65" s="1296"/>
      <c r="BX65" s="1296"/>
      <c r="BY65" s="1296"/>
      <c r="BZ65" s="1296"/>
      <c r="CA65" s="1296"/>
      <c r="CB65" s="1296"/>
      <c r="CC65" s="1296"/>
      <c r="CD65" s="1296"/>
      <c r="CE65" s="1296"/>
      <c r="CF65" s="1296"/>
      <c r="CG65" s="1296"/>
      <c r="CH65" s="1296"/>
      <c r="CI65" s="1296"/>
      <c r="CJ65" s="1296"/>
      <c r="CK65" s="1296"/>
    </row>
    <row r="66" spans="1:89" x14ac:dyDescent="0.25">
      <c r="A66" s="1296"/>
      <c r="B66" s="1721"/>
      <c r="C66" s="1250">
        <v>2</v>
      </c>
      <c r="D66" s="1469" t="str" cm="1">
        <f t="array" aca="1" ref="D66" ca="1">IF(INDIRECT("'Incentives Worksheet'!H"&amp;'Configurable Tab'!H7+7)="","",INDIRECT("'Incentives Worksheet'!H"&amp;'Configurable Tab'!H7+7))</f>
        <v/>
      </c>
      <c r="E66" s="1251" t="str" cm="1">
        <f t="array" aca="1" ref="E66" ca="1">IF(INDIRECT("'Incentives Worksheet'!J"&amp;'Configurable Tab'!H7+7)="","",INDIRECT("'Incentives Worksheet'!J"&amp;'Configurable Tab'!H7+7))</f>
        <v/>
      </c>
      <c r="F66" s="1470" t="str" cm="1">
        <f t="array" aca="1" ref="F66" ca="1">IF(INDIRECT("'Incentives Worksheet'!L"&amp;'Configurable Tab'!H7+7)="","",INDIRECT("'Incentives Worksheet'!L"&amp;'Configurable Tab'!H7+7))</f>
        <v/>
      </c>
      <c r="G66" s="1188"/>
      <c r="H66" s="1188"/>
      <c r="I66" s="1188"/>
      <c r="J66" s="1188"/>
      <c r="K66" s="1188"/>
      <c r="L66" s="1188"/>
      <c r="M66" s="1188"/>
      <c r="N66" s="1188"/>
      <c r="O66" s="1188"/>
      <c r="P66" s="1188"/>
      <c r="Q66" s="1189"/>
      <c r="R66" s="1296"/>
      <c r="S66" s="1296"/>
      <c r="T66" s="1721"/>
      <c r="U66" s="1250">
        <v>2</v>
      </c>
      <c r="V66" s="1471" t="str" cm="1">
        <f t="array" aca="1" ref="V66" ca="1">IF(INDIRECT("'Incentives Worksheet'!H"&amp;'Configurable Tab'!H8+7)="","",INDIRECT("'Incentives Worksheet'!H"&amp;'Configurable Tab'!H8+7))</f>
        <v/>
      </c>
      <c r="W66" s="1252" t="str" cm="1">
        <f t="array" aca="1" ref="W66" ca="1">IF(INDIRECT("'Incentives Worksheet'!J"&amp;'Configurable Tab'!H8+7)="","",INDIRECT("'Incentives Worksheet'!J"&amp;'Configurable Tab'!H8+7))</f>
        <v/>
      </c>
      <c r="X66" s="1472" t="str" cm="1">
        <f t="array" aca="1" ref="X66" ca="1">IF(INDIRECT("'Incentives Worksheet'!L"&amp;'Configurable Tab'!H8+7)="","",INDIRECT("'Incentives Worksheet'!L"&amp;'Configurable Tab'!H8+7))</f>
        <v/>
      </c>
      <c r="Y66" s="1188"/>
      <c r="Z66" s="1188"/>
      <c r="AA66" s="1188"/>
      <c r="AB66" s="1188"/>
      <c r="AC66" s="1188"/>
      <c r="AD66" s="1188"/>
      <c r="AE66" s="1188"/>
      <c r="AF66" s="1188"/>
      <c r="AG66" s="1188"/>
      <c r="AH66" s="1188"/>
      <c r="AI66" s="1189"/>
      <c r="AJ66" s="1296"/>
      <c r="AK66" s="1296"/>
      <c r="AL66" s="1296"/>
      <c r="AM66" s="1296"/>
      <c r="AN66" s="1296"/>
      <c r="AO66" s="1296"/>
      <c r="AP66" s="1296"/>
      <c r="AQ66" s="1296"/>
      <c r="AR66" s="1296"/>
      <c r="AS66" s="1296"/>
      <c r="AT66" s="1296"/>
      <c r="AU66" s="1296"/>
      <c r="AV66" s="1296"/>
      <c r="AW66" s="1296"/>
      <c r="AX66" s="1296"/>
      <c r="AY66" s="1296"/>
      <c r="AZ66" s="1296"/>
      <c r="BA66" s="1296"/>
      <c r="BB66" s="1296"/>
      <c r="BC66" s="1296"/>
      <c r="BD66" s="1296"/>
      <c r="BE66" s="1296"/>
      <c r="BF66" s="1296"/>
      <c r="BG66" s="1296"/>
      <c r="BH66" s="1296"/>
      <c r="BI66" s="1296"/>
      <c r="BJ66" s="1296"/>
      <c r="BK66" s="1296"/>
      <c r="BL66" s="1296"/>
      <c r="BM66" s="1296"/>
      <c r="BN66" s="1296"/>
      <c r="BO66" s="1296"/>
      <c r="BP66" s="1296"/>
      <c r="BQ66" s="1296"/>
      <c r="BR66" s="1296"/>
      <c r="BS66" s="1296"/>
      <c r="BT66" s="1296"/>
      <c r="BU66" s="1296"/>
      <c r="BV66" s="1296"/>
      <c r="BW66" s="1296"/>
      <c r="BX66" s="1296"/>
      <c r="BY66" s="1296"/>
      <c r="BZ66" s="1296"/>
      <c r="CA66" s="1296"/>
      <c r="CB66" s="1296"/>
      <c r="CC66" s="1296"/>
      <c r="CD66" s="1296"/>
      <c r="CE66" s="1296"/>
      <c r="CF66" s="1296"/>
      <c r="CG66" s="1296"/>
      <c r="CH66" s="1296"/>
      <c r="CI66" s="1296"/>
      <c r="CJ66" s="1296"/>
      <c r="CK66" s="1296"/>
    </row>
    <row r="67" spans="1:89" x14ac:dyDescent="0.25">
      <c r="A67" s="1296"/>
      <c r="B67" s="1721"/>
      <c r="C67" s="1250">
        <v>3</v>
      </c>
      <c r="D67" s="1469" t="str" cm="1">
        <f t="array" aca="1" ref="D67" ca="1">IF(INDIRECT("'Incentives Worksheet'!H"&amp;'Configurable Tab'!H7+8)="","",INDIRECT("'Incentives Worksheet'!H"&amp;'Configurable Tab'!H7+8))</f>
        <v/>
      </c>
      <c r="E67" s="1251" t="str" cm="1">
        <f t="array" aca="1" ref="E67" ca="1">IF(INDIRECT("'Incentives Worksheet'!J"&amp;'Configurable Tab'!H7+8)="","",INDIRECT("'Incentives Worksheet'!J"&amp;'Configurable Tab'!H7+8))</f>
        <v/>
      </c>
      <c r="F67" s="1470" t="str" cm="1">
        <f t="array" aca="1" ref="F67" ca="1">IF(INDIRECT("'Incentives Worksheet'!L"&amp;'Configurable Tab'!H7+8)="","",INDIRECT("'Incentives Worksheet'!L"&amp;'Configurable Tab'!H7+8))</f>
        <v/>
      </c>
      <c r="G67" s="1188"/>
      <c r="H67" s="1188"/>
      <c r="I67" s="1188"/>
      <c r="J67" s="1188"/>
      <c r="K67" s="1188"/>
      <c r="L67" s="1188"/>
      <c r="M67" s="1188"/>
      <c r="N67" s="1188"/>
      <c r="O67" s="1188"/>
      <c r="P67" s="1188"/>
      <c r="Q67" s="1189"/>
      <c r="R67" s="1296"/>
      <c r="S67" s="1296"/>
      <c r="T67" s="1721"/>
      <c r="U67" s="1250">
        <v>3</v>
      </c>
      <c r="V67" s="1471" t="str" cm="1">
        <f t="array" aca="1" ref="V67" ca="1">IF(INDIRECT("'Incentives Worksheet'!H"&amp;'Configurable Tab'!H8+8)="","",INDIRECT("'Incentives Worksheet'!H"&amp;'Configurable Tab'!H8+8))</f>
        <v/>
      </c>
      <c r="W67" s="1252" t="str" cm="1">
        <f t="array" aca="1" ref="W67" ca="1">IF(INDIRECT("'Incentives Worksheet'!J"&amp;'Configurable Tab'!H8+8)="","",INDIRECT("'Incentives Worksheet'!J"&amp;'Configurable Tab'!H8+8))</f>
        <v/>
      </c>
      <c r="X67" s="1472" t="str" cm="1">
        <f t="array" aca="1" ref="X67" ca="1">IF(INDIRECT("'Incentives Worksheet'!L"&amp;'Configurable Tab'!H8+8)="","",INDIRECT("'Incentives Worksheet'!L"&amp;'Configurable Tab'!H8+8))</f>
        <v/>
      </c>
      <c r="Y67" s="1188"/>
      <c r="Z67" s="1188"/>
      <c r="AA67" s="1188"/>
      <c r="AB67" s="1188"/>
      <c r="AC67" s="1188"/>
      <c r="AD67" s="1188"/>
      <c r="AE67" s="1188"/>
      <c r="AF67" s="1188"/>
      <c r="AG67" s="1188"/>
      <c r="AH67" s="1188"/>
      <c r="AI67" s="1189"/>
      <c r="AJ67" s="1296"/>
      <c r="AK67" s="1296"/>
      <c r="AL67" s="1296"/>
      <c r="AM67" s="1296"/>
      <c r="AN67" s="1296"/>
      <c r="AO67" s="1296"/>
      <c r="AP67" s="1296"/>
      <c r="AQ67" s="1296"/>
      <c r="AR67" s="1296"/>
      <c r="AS67" s="1296"/>
      <c r="AT67" s="1296"/>
      <c r="AU67" s="1296"/>
      <c r="AV67" s="1296"/>
      <c r="AW67" s="1296"/>
      <c r="AX67" s="1296"/>
      <c r="AY67" s="1296"/>
      <c r="AZ67" s="1296"/>
      <c r="BA67" s="1296"/>
      <c r="BB67" s="1296"/>
      <c r="BC67" s="1296"/>
      <c r="BD67" s="1296"/>
      <c r="BE67" s="1296"/>
      <c r="BF67" s="1296"/>
      <c r="BG67" s="1296"/>
      <c r="BH67" s="1296"/>
      <c r="BI67" s="1296"/>
      <c r="BJ67" s="1296"/>
      <c r="BK67" s="1296"/>
      <c r="BL67" s="1296"/>
      <c r="BM67" s="1296"/>
      <c r="BN67" s="1296"/>
      <c r="BO67" s="1296"/>
      <c r="BP67" s="1296"/>
      <c r="BQ67" s="1296"/>
      <c r="BR67" s="1296"/>
      <c r="BS67" s="1296"/>
      <c r="BT67" s="1296"/>
      <c r="BU67" s="1296"/>
      <c r="BV67" s="1296"/>
      <c r="BW67" s="1296"/>
      <c r="BX67" s="1296"/>
      <c r="BY67" s="1296"/>
      <c r="BZ67" s="1296"/>
      <c r="CA67" s="1296"/>
      <c r="CB67" s="1296"/>
      <c r="CC67" s="1296"/>
      <c r="CD67" s="1296"/>
      <c r="CE67" s="1296"/>
      <c r="CF67" s="1296"/>
      <c r="CG67" s="1296"/>
      <c r="CH67" s="1296"/>
      <c r="CI67" s="1296"/>
      <c r="CJ67" s="1296"/>
      <c r="CK67" s="1296"/>
    </row>
    <row r="68" spans="1:89" x14ac:dyDescent="0.25">
      <c r="A68" s="1296"/>
      <c r="B68" s="1721"/>
      <c r="C68" s="1250">
        <v>4</v>
      </c>
      <c r="D68" s="1469" t="str" cm="1">
        <f t="array" aca="1" ref="D68" ca="1">IF(INDIRECT("'Incentives Worksheet'!H"&amp;'Configurable Tab'!H7+9)="","",INDIRECT("'Incentives Worksheet'!H"&amp;'Configurable Tab'!H7+9))</f>
        <v/>
      </c>
      <c r="E68" s="1251" t="str" cm="1">
        <f t="array" aca="1" ref="E68" ca="1">IF(INDIRECT("'Incentives Worksheet'!J"&amp;'Configurable Tab'!H7+9)="","",INDIRECT("'Incentives Worksheet'!J"&amp;'Configurable Tab'!H7+9))</f>
        <v/>
      </c>
      <c r="F68" s="1470" t="str" cm="1">
        <f t="array" aca="1" ref="F68" ca="1">IF(INDIRECT("'Incentives Worksheet'!L"&amp;'Configurable Tab'!H7+9)="","",INDIRECT("'Incentives Worksheet'!L"&amp;'Configurable Tab'!H7+9))</f>
        <v/>
      </c>
      <c r="G68" s="1188"/>
      <c r="H68" s="1188"/>
      <c r="I68" s="1188"/>
      <c r="J68" s="1188"/>
      <c r="K68" s="1188"/>
      <c r="L68" s="1188"/>
      <c r="M68" s="1188"/>
      <c r="N68" s="1188"/>
      <c r="O68" s="1188"/>
      <c r="P68" s="1188"/>
      <c r="Q68" s="1189"/>
      <c r="R68" s="1296"/>
      <c r="S68" s="1296"/>
      <c r="T68" s="1721"/>
      <c r="U68" s="1250">
        <v>4</v>
      </c>
      <c r="V68" s="1471" t="str" cm="1">
        <f t="array" aca="1" ref="V68" ca="1">IF(INDIRECT("'Incentives Worksheet'!H"&amp;'Configurable Tab'!H8+9)="","",INDIRECT("'Incentives Worksheet'!H"&amp;'Configurable Tab'!H8+9))</f>
        <v/>
      </c>
      <c r="W68" s="1252" t="str" cm="1">
        <f t="array" aca="1" ref="W68" ca="1">IF(INDIRECT("'Incentives Worksheet'!J"&amp;'Configurable Tab'!H8+9)="","",INDIRECT("'Incentives Worksheet'!J"&amp;'Configurable Tab'!H8+9))</f>
        <v/>
      </c>
      <c r="X68" s="1472" t="str" cm="1">
        <f t="array" aca="1" ref="X68" ca="1">IF(INDIRECT("'Incentives Worksheet'!L"&amp;'Configurable Tab'!H8+9)="","",INDIRECT("'Incentives Worksheet'!L"&amp;'Configurable Tab'!H8+9))</f>
        <v/>
      </c>
      <c r="Y68" s="1188"/>
      <c r="Z68" s="1188"/>
      <c r="AA68" s="1188"/>
      <c r="AB68" s="1188"/>
      <c r="AC68" s="1188"/>
      <c r="AD68" s="1188"/>
      <c r="AE68" s="1188"/>
      <c r="AF68" s="1188"/>
      <c r="AG68" s="1188"/>
      <c r="AH68" s="1188"/>
      <c r="AI68" s="1189"/>
      <c r="AJ68" s="1296"/>
      <c r="AK68" s="1296"/>
      <c r="AL68" s="1296"/>
      <c r="AM68" s="1296"/>
      <c r="AN68" s="1296"/>
      <c r="AO68" s="1296"/>
      <c r="AP68" s="1296"/>
      <c r="AQ68" s="1296"/>
      <c r="AR68" s="1296"/>
      <c r="AS68" s="1296"/>
      <c r="AT68" s="1296"/>
      <c r="AU68" s="1296"/>
      <c r="AV68" s="1296"/>
      <c r="AW68" s="1296"/>
      <c r="AX68" s="1296"/>
      <c r="AY68" s="1296"/>
      <c r="AZ68" s="1296"/>
      <c r="BA68" s="1296"/>
      <c r="BB68" s="1296"/>
      <c r="BC68" s="1296"/>
      <c r="BD68" s="1296"/>
      <c r="BE68" s="1296"/>
      <c r="BF68" s="1296"/>
      <c r="BG68" s="1296"/>
      <c r="BH68" s="1296"/>
      <c r="BI68" s="1296"/>
      <c r="BJ68" s="1296"/>
      <c r="BK68" s="1296"/>
      <c r="BL68" s="1296"/>
      <c r="BM68" s="1296"/>
      <c r="BN68" s="1296"/>
      <c r="BO68" s="1296"/>
      <c r="BP68" s="1296"/>
      <c r="BQ68" s="1296"/>
      <c r="BR68" s="1296"/>
      <c r="BS68" s="1296"/>
      <c r="BT68" s="1296"/>
      <c r="BU68" s="1296"/>
      <c r="BV68" s="1296"/>
      <c r="BW68" s="1296"/>
      <c r="BX68" s="1296"/>
      <c r="BY68" s="1296"/>
      <c r="BZ68" s="1296"/>
      <c r="CA68" s="1296"/>
      <c r="CB68" s="1296"/>
      <c r="CC68" s="1296"/>
      <c r="CD68" s="1296"/>
      <c r="CE68" s="1296"/>
      <c r="CF68" s="1296"/>
      <c r="CG68" s="1296"/>
      <c r="CH68" s="1296"/>
      <c r="CI68" s="1296"/>
      <c r="CJ68" s="1296"/>
      <c r="CK68" s="1296"/>
    </row>
    <row r="69" spans="1:89" ht="15.75" thickBot="1" x14ac:dyDescent="0.3">
      <c r="A69" s="1296"/>
      <c r="B69" s="1722"/>
      <c r="C69" s="1234">
        <v>5</v>
      </c>
      <c r="D69" s="1235" t="str" cm="1">
        <f t="array" aca="1" ref="D69" ca="1">IF(INDIRECT("'Incentives Worksheet'!H"&amp;'Configurable Tab'!H7+10)="","",INDIRECT("'Incentives Worksheet'!H"&amp;'Configurable Tab'!H7+10))</f>
        <v/>
      </c>
      <c r="E69" s="1236" t="str" cm="1">
        <f t="array" aca="1" ref="E69" ca="1">IF(INDIRECT("'Incentives Worksheet'!J"&amp;'Configurable Tab'!H7+10)="","",INDIRECT("'Incentives Worksheet'!J"&amp;'Configurable Tab'!H7+10))</f>
        <v/>
      </c>
      <c r="F69" s="1237" t="str" cm="1">
        <f t="array" aca="1" ref="F69" ca="1">IF(INDIRECT("'Incentives Worksheet'!L"&amp;'Configurable Tab'!H7+10)="","",INDIRECT("'Incentives Worksheet'!L"&amp;'Configurable Tab'!H7+10))</f>
        <v/>
      </c>
      <c r="G69" s="1188"/>
      <c r="H69" s="1188"/>
      <c r="I69" s="1188"/>
      <c r="J69" s="1188"/>
      <c r="K69" s="1188"/>
      <c r="L69" s="1188"/>
      <c r="M69" s="1188"/>
      <c r="N69" s="1188"/>
      <c r="O69" s="1188"/>
      <c r="P69" s="1188"/>
      <c r="Q69" s="1189"/>
      <c r="R69" s="1296"/>
      <c r="S69" s="1296"/>
      <c r="T69" s="1722"/>
      <c r="U69" s="1234">
        <v>5</v>
      </c>
      <c r="V69" s="1473" t="str" cm="1">
        <f t="array" aca="1" ref="V69" ca="1">IF(INDIRECT("'Incentives Worksheet'!H"&amp;'Configurable Tab'!H8+10)="","",INDIRECT("'Incentives Worksheet'!H"&amp;'Configurable Tab'!H8+10))</f>
        <v/>
      </c>
      <c r="W69" s="1256" t="str" cm="1">
        <f t="array" aca="1" ref="W69" ca="1">IF(INDIRECT("'Incentives Worksheet'!J"&amp;'Configurable Tab'!H8+10)="","",INDIRECT("'Incentives Worksheet'!J"&amp;'Configurable Tab'!H8+10))</f>
        <v/>
      </c>
      <c r="X69" s="1474" t="str" cm="1">
        <f t="array" aca="1" ref="X69" ca="1">IF(INDIRECT("'Incentives Worksheet'!L"&amp;'Configurable Tab'!H8+10)="","",INDIRECT("'Incentives Worksheet'!L"&amp;'Configurable Tab'!H8+10))</f>
        <v/>
      </c>
      <c r="Y69" s="1188"/>
      <c r="Z69" s="1188"/>
      <c r="AA69" s="1188"/>
      <c r="AB69" s="1188"/>
      <c r="AC69" s="1188"/>
      <c r="AD69" s="1188"/>
      <c r="AE69" s="1188"/>
      <c r="AF69" s="1188"/>
      <c r="AG69" s="1188"/>
      <c r="AH69" s="1188"/>
      <c r="AI69" s="1189"/>
      <c r="AJ69" s="1296"/>
      <c r="AK69" s="1296"/>
      <c r="AL69" s="1296"/>
      <c r="AM69" s="1296"/>
      <c r="AN69" s="1296"/>
      <c r="AO69" s="1296"/>
      <c r="AP69" s="1296"/>
      <c r="AQ69" s="1296"/>
      <c r="AR69" s="1296"/>
      <c r="AS69" s="1296"/>
      <c r="AT69" s="1296"/>
      <c r="AU69" s="1296"/>
      <c r="AV69" s="1296"/>
      <c r="AW69" s="1296"/>
      <c r="AX69" s="1296"/>
      <c r="AY69" s="1296"/>
      <c r="AZ69" s="1296"/>
      <c r="BA69" s="1296"/>
      <c r="BB69" s="1296"/>
      <c r="BC69" s="1296"/>
      <c r="BD69" s="1296"/>
      <c r="BE69" s="1296"/>
      <c r="BF69" s="1296"/>
      <c r="BG69" s="1296"/>
      <c r="BH69" s="1296"/>
      <c r="BI69" s="1296"/>
      <c r="BJ69" s="1296"/>
      <c r="BK69" s="1296"/>
      <c r="BL69" s="1296"/>
      <c r="BM69" s="1296"/>
      <c r="BN69" s="1296"/>
      <c r="BO69" s="1296"/>
      <c r="BP69" s="1296"/>
      <c r="BQ69" s="1296"/>
      <c r="BR69" s="1296"/>
      <c r="BS69" s="1296"/>
      <c r="BT69" s="1296"/>
      <c r="BU69" s="1296"/>
      <c r="BV69" s="1296"/>
      <c r="BW69" s="1296"/>
      <c r="BX69" s="1296"/>
      <c r="BY69" s="1296"/>
      <c r="BZ69" s="1296"/>
      <c r="CA69" s="1296"/>
      <c r="CB69" s="1296"/>
      <c r="CC69" s="1296"/>
      <c r="CD69" s="1296"/>
      <c r="CE69" s="1296"/>
      <c r="CF69" s="1296"/>
      <c r="CG69" s="1296"/>
      <c r="CH69" s="1296"/>
      <c r="CI69" s="1296"/>
      <c r="CJ69" s="1296"/>
      <c r="CK69" s="1296"/>
    </row>
    <row r="70" spans="1:89" ht="15.75" customHeight="1" thickBot="1" x14ac:dyDescent="0.3">
      <c r="A70" s="1296"/>
      <c r="B70" s="1719" t="s">
        <v>1842</v>
      </c>
      <c r="C70" s="1241" t="s">
        <v>1843</v>
      </c>
      <c r="D70" s="1242" t="s">
        <v>131</v>
      </c>
      <c r="E70" s="1242" t="s">
        <v>1844</v>
      </c>
      <c r="F70" s="1296"/>
      <c r="G70" s="1296"/>
      <c r="H70" s="1296"/>
      <c r="I70" s="1296"/>
      <c r="J70" s="1296"/>
      <c r="K70" s="1296"/>
      <c r="L70" s="1296"/>
      <c r="M70" s="1296"/>
      <c r="N70" s="1296"/>
      <c r="O70" s="1296"/>
      <c r="P70" s="1296"/>
      <c r="Q70" s="138"/>
      <c r="R70" s="1296"/>
      <c r="S70" s="1296"/>
      <c r="T70" s="1719" t="s">
        <v>1842</v>
      </c>
      <c r="U70" s="1241" t="s">
        <v>1843</v>
      </c>
      <c r="V70" s="1242" t="s">
        <v>131</v>
      </c>
      <c r="W70" s="1242" t="s">
        <v>1844</v>
      </c>
      <c r="X70" s="1296"/>
      <c r="Y70" s="1296"/>
      <c r="Z70" s="1296"/>
      <c r="AA70" s="1296"/>
      <c r="AB70" s="1296"/>
      <c r="AC70" s="1296"/>
      <c r="AD70" s="1296"/>
      <c r="AE70" s="1296"/>
      <c r="AF70" s="1296"/>
      <c r="AG70" s="1296"/>
      <c r="AH70" s="1296"/>
      <c r="AI70" s="138"/>
      <c r="AJ70" s="1296"/>
      <c r="AK70" s="1296"/>
      <c r="AL70" s="1296"/>
      <c r="AM70" s="1296"/>
      <c r="AN70" s="1296"/>
      <c r="AO70" s="1296"/>
      <c r="AP70" s="1296"/>
      <c r="AQ70" s="1296"/>
      <c r="AR70" s="1296"/>
      <c r="AS70" s="1296"/>
      <c r="AT70" s="1296"/>
      <c r="AU70" s="1296"/>
      <c r="AV70" s="1296"/>
      <c r="AW70" s="1296"/>
      <c r="AX70" s="1296"/>
      <c r="AY70" s="1296"/>
      <c r="AZ70" s="1296"/>
      <c r="BA70" s="1296"/>
      <c r="BB70" s="1296"/>
      <c r="BC70" s="1296"/>
      <c r="BD70" s="1296"/>
      <c r="BE70" s="1296"/>
      <c r="BF70" s="1296"/>
      <c r="BG70" s="1296"/>
      <c r="BH70" s="1296"/>
      <c r="BI70" s="1296"/>
      <c r="BJ70" s="1296"/>
      <c r="BK70" s="1296"/>
      <c r="BL70" s="1296"/>
      <c r="BM70" s="1296"/>
      <c r="BN70" s="1296"/>
      <c r="BO70" s="1296"/>
      <c r="BP70" s="1296"/>
      <c r="BQ70" s="1296"/>
      <c r="BR70" s="1296"/>
      <c r="BS70" s="1296"/>
      <c r="BT70" s="1296"/>
      <c r="BU70" s="1296"/>
      <c r="BV70" s="1296"/>
      <c r="BW70" s="1296"/>
      <c r="BX70" s="1296"/>
      <c r="BY70" s="1296"/>
      <c r="BZ70" s="1296"/>
      <c r="CA70" s="1296"/>
      <c r="CB70" s="1296"/>
      <c r="CC70" s="1296"/>
      <c r="CD70" s="1296"/>
      <c r="CE70" s="1296"/>
      <c r="CF70" s="1296"/>
      <c r="CG70" s="1296"/>
      <c r="CH70" s="1296"/>
      <c r="CI70" s="1296"/>
      <c r="CJ70" s="1296"/>
      <c r="CK70" s="1296"/>
    </row>
    <row r="71" spans="1:89" x14ac:dyDescent="0.25">
      <c r="A71" s="1296"/>
      <c r="B71" s="1726"/>
      <c r="C71" s="1193" t="s">
        <v>1845</v>
      </c>
      <c r="D71" s="1193" t="s">
        <v>1846</v>
      </c>
      <c r="E71" s="1194"/>
      <c r="F71" s="1296"/>
      <c r="G71" s="1296"/>
      <c r="H71" s="1296"/>
      <c r="I71" s="1296"/>
      <c r="J71" s="1296"/>
      <c r="K71" s="1296"/>
      <c r="L71" s="1296"/>
      <c r="M71" s="1296"/>
      <c r="N71" s="1296"/>
      <c r="O71" s="1296"/>
      <c r="P71" s="1296"/>
      <c r="Q71" s="138"/>
      <c r="R71" s="1296"/>
      <c r="S71" s="1296"/>
      <c r="T71" s="1726"/>
      <c r="U71" s="1193" t="s">
        <v>1845</v>
      </c>
      <c r="V71" s="1193" t="s">
        <v>1846</v>
      </c>
      <c r="W71" s="1194"/>
      <c r="X71" s="1296"/>
      <c r="Y71" s="1296"/>
      <c r="Z71" s="1296"/>
      <c r="AA71" s="1296"/>
      <c r="AB71" s="1296"/>
      <c r="AC71" s="1296"/>
      <c r="AD71" s="1296"/>
      <c r="AE71" s="1296"/>
      <c r="AF71" s="1296"/>
      <c r="AG71" s="1296"/>
      <c r="AH71" s="1296"/>
      <c r="AI71" s="138"/>
      <c r="AJ71" s="1296"/>
      <c r="AK71" s="1296"/>
      <c r="AL71" s="1296"/>
      <c r="AM71" s="1296"/>
      <c r="AN71" s="1296"/>
      <c r="AO71" s="1296"/>
      <c r="AP71" s="1296"/>
      <c r="AQ71" s="1296"/>
      <c r="AR71" s="1296"/>
      <c r="AS71" s="1296"/>
      <c r="AT71" s="1296"/>
      <c r="AU71" s="1296"/>
      <c r="AV71" s="1296"/>
      <c r="AW71" s="1296"/>
      <c r="AX71" s="1296"/>
      <c r="AY71" s="1296"/>
      <c r="AZ71" s="1296"/>
      <c r="BA71" s="1296"/>
      <c r="BB71" s="1296"/>
      <c r="BC71" s="1296"/>
      <c r="BD71" s="1296"/>
      <c r="BE71" s="1296"/>
      <c r="BF71" s="1296"/>
      <c r="BG71" s="1296"/>
      <c r="BH71" s="1296"/>
      <c r="BI71" s="1296"/>
      <c r="BJ71" s="1296"/>
      <c r="BK71" s="1296"/>
      <c r="BL71" s="1296"/>
      <c r="BM71" s="1296"/>
      <c r="BN71" s="1296"/>
      <c r="BO71" s="1296"/>
      <c r="BP71" s="1296"/>
      <c r="BQ71" s="1296"/>
      <c r="BR71" s="1296"/>
      <c r="BS71" s="1296"/>
      <c r="BT71" s="1296"/>
      <c r="BU71" s="1296"/>
      <c r="BV71" s="1296"/>
      <c r="BW71" s="1296"/>
      <c r="BX71" s="1296"/>
      <c r="BY71" s="1296"/>
      <c r="BZ71" s="1296"/>
      <c r="CA71" s="1296"/>
      <c r="CB71" s="1296"/>
      <c r="CC71" s="1296"/>
      <c r="CD71" s="1296"/>
      <c r="CE71" s="1296"/>
      <c r="CF71" s="1296"/>
      <c r="CG71" s="1296"/>
      <c r="CH71" s="1296"/>
      <c r="CI71" s="1296"/>
      <c r="CJ71" s="1296"/>
      <c r="CK71" s="1296"/>
    </row>
    <row r="72" spans="1:89" x14ac:dyDescent="0.25">
      <c r="A72" s="1296"/>
      <c r="B72" s="1726"/>
      <c r="C72" s="1195" t="s">
        <v>1845</v>
      </c>
      <c r="D72" s="1195" t="s">
        <v>1847</v>
      </c>
      <c r="E72" s="1196" t="s">
        <v>1848</v>
      </c>
      <c r="F72" s="1296"/>
      <c r="G72" s="1296"/>
      <c r="H72" s="1296"/>
      <c r="I72" s="1296"/>
      <c r="J72" s="1296"/>
      <c r="K72" s="1296"/>
      <c r="L72" s="1296"/>
      <c r="M72" s="1296"/>
      <c r="N72" s="1296"/>
      <c r="O72" s="1296"/>
      <c r="P72" s="1296"/>
      <c r="Q72" s="138"/>
      <c r="R72" s="1296"/>
      <c r="S72" s="1296"/>
      <c r="T72" s="1726"/>
      <c r="U72" s="1195" t="s">
        <v>1845</v>
      </c>
      <c r="V72" s="1195" t="s">
        <v>1847</v>
      </c>
      <c r="W72" s="1196" t="s">
        <v>1848</v>
      </c>
      <c r="X72" s="1296"/>
      <c r="Y72" s="1296"/>
      <c r="Z72" s="1296"/>
      <c r="AA72" s="1296"/>
      <c r="AB72" s="1296"/>
      <c r="AC72" s="1296"/>
      <c r="AD72" s="1296"/>
      <c r="AE72" s="1296"/>
      <c r="AF72" s="1296"/>
      <c r="AG72" s="1296"/>
      <c r="AH72" s="1296"/>
      <c r="AI72" s="138"/>
      <c r="AJ72" s="1296"/>
      <c r="AK72" s="1296"/>
      <c r="AL72" s="1296"/>
      <c r="AM72" s="1296"/>
      <c r="AN72" s="1296"/>
      <c r="AO72" s="1296"/>
      <c r="AP72" s="1296"/>
      <c r="AQ72" s="1296"/>
      <c r="AR72" s="1296"/>
      <c r="AS72" s="1296"/>
      <c r="AT72" s="1296"/>
      <c r="AU72" s="1296"/>
      <c r="AV72" s="1296"/>
      <c r="AW72" s="1296"/>
      <c r="AX72" s="1296"/>
      <c r="AY72" s="1296"/>
      <c r="AZ72" s="1296"/>
      <c r="BA72" s="1296"/>
      <c r="BB72" s="1296"/>
      <c r="BC72" s="1296"/>
      <c r="BD72" s="1296"/>
      <c r="BE72" s="1296"/>
      <c r="BF72" s="1296"/>
      <c r="BG72" s="1296"/>
      <c r="BH72" s="1296"/>
      <c r="BI72" s="1296"/>
      <c r="BJ72" s="1296"/>
      <c r="BK72" s="1296"/>
      <c r="BL72" s="1296"/>
      <c r="BM72" s="1296"/>
      <c r="BN72" s="1296"/>
      <c r="BO72" s="1296"/>
      <c r="BP72" s="1296"/>
      <c r="BQ72" s="1296"/>
      <c r="BR72" s="1296"/>
      <c r="BS72" s="1296"/>
      <c r="BT72" s="1296"/>
      <c r="BU72" s="1296"/>
      <c r="BV72" s="1296"/>
      <c r="BW72" s="1296"/>
      <c r="BX72" s="1296"/>
      <c r="BY72" s="1296"/>
      <c r="BZ72" s="1296"/>
      <c r="CA72" s="1296"/>
      <c r="CB72" s="1296"/>
      <c r="CC72" s="1296"/>
      <c r="CD72" s="1296"/>
      <c r="CE72" s="1296"/>
      <c r="CF72" s="1296"/>
      <c r="CG72" s="1296"/>
      <c r="CH72" s="1296"/>
      <c r="CI72" s="1296"/>
      <c r="CJ72" s="1296"/>
      <c r="CK72" s="1296"/>
    </row>
    <row r="73" spans="1:89" x14ac:dyDescent="0.25">
      <c r="A73" s="1296"/>
      <c r="B73" s="1726"/>
      <c r="C73" s="1195" t="s">
        <v>1845</v>
      </c>
      <c r="D73" s="1195" t="s">
        <v>1849</v>
      </c>
      <c r="E73" s="1196" t="s">
        <v>1718</v>
      </c>
      <c r="F73" s="1296"/>
      <c r="G73" s="1296"/>
      <c r="H73" s="1296"/>
      <c r="I73" s="1296"/>
      <c r="J73" s="1296"/>
      <c r="K73" s="1296"/>
      <c r="L73" s="1296"/>
      <c r="M73" s="1296"/>
      <c r="N73" s="1296"/>
      <c r="O73" s="1296"/>
      <c r="P73" s="1296"/>
      <c r="Q73" s="138"/>
      <c r="R73" s="1296"/>
      <c r="S73" s="1296"/>
      <c r="T73" s="1726"/>
      <c r="U73" s="1195" t="s">
        <v>1845</v>
      </c>
      <c r="V73" s="1195" t="s">
        <v>1849</v>
      </c>
      <c r="W73" s="1196" t="s">
        <v>1718</v>
      </c>
      <c r="X73" s="1296"/>
      <c r="Y73" s="1296"/>
      <c r="Z73" s="1296"/>
      <c r="AA73" s="1296"/>
      <c r="AB73" s="1296"/>
      <c r="AC73" s="1296"/>
      <c r="AD73" s="1296"/>
      <c r="AE73" s="1296"/>
      <c r="AF73" s="1296"/>
      <c r="AG73" s="1296"/>
      <c r="AH73" s="1296"/>
      <c r="AI73" s="138"/>
      <c r="AJ73" s="1296"/>
      <c r="AK73" s="1296"/>
      <c r="AL73" s="1296"/>
      <c r="AM73" s="1296"/>
      <c r="AN73" s="1296"/>
      <c r="AO73" s="1296"/>
      <c r="AP73" s="1296"/>
      <c r="AQ73" s="1296"/>
      <c r="AR73" s="1296"/>
      <c r="AS73" s="1296"/>
      <c r="AT73" s="1296"/>
      <c r="AU73" s="1296"/>
      <c r="AV73" s="1296"/>
      <c r="AW73" s="1296"/>
      <c r="AX73" s="1296"/>
      <c r="AY73" s="1296"/>
      <c r="AZ73" s="1296"/>
      <c r="BA73" s="1296"/>
      <c r="BB73" s="1296"/>
      <c r="BC73" s="1296"/>
      <c r="BD73" s="1296"/>
      <c r="BE73" s="1296"/>
      <c r="BF73" s="1296"/>
      <c r="BG73" s="1296"/>
      <c r="BH73" s="1296"/>
      <c r="BI73" s="1296"/>
      <c r="BJ73" s="1296"/>
      <c r="BK73" s="1296"/>
      <c r="BL73" s="1296"/>
      <c r="BM73" s="1296"/>
      <c r="BN73" s="1296"/>
      <c r="BO73" s="1296"/>
      <c r="BP73" s="1296"/>
      <c r="BQ73" s="1296"/>
      <c r="BR73" s="1296"/>
      <c r="BS73" s="1296"/>
      <c r="BT73" s="1296"/>
      <c r="BU73" s="1296"/>
      <c r="BV73" s="1296"/>
      <c r="BW73" s="1296"/>
      <c r="BX73" s="1296"/>
      <c r="BY73" s="1296"/>
      <c r="BZ73" s="1296"/>
      <c r="CA73" s="1296"/>
      <c r="CB73" s="1296"/>
      <c r="CC73" s="1296"/>
      <c r="CD73" s="1296"/>
      <c r="CE73" s="1296"/>
      <c r="CF73" s="1296"/>
      <c r="CG73" s="1296"/>
      <c r="CH73" s="1296"/>
      <c r="CI73" s="1296"/>
      <c r="CJ73" s="1296"/>
      <c r="CK73" s="1296"/>
    </row>
    <row r="74" spans="1:89" ht="15.75" thickBot="1" x14ac:dyDescent="0.3">
      <c r="A74" s="1296"/>
      <c r="B74" s="1725"/>
      <c r="C74" s="1197" t="s">
        <v>1845</v>
      </c>
      <c r="D74" s="1197" t="s">
        <v>1850</v>
      </c>
      <c r="E74" s="1198" t="s">
        <v>1851</v>
      </c>
      <c r="F74" s="1296"/>
      <c r="G74" s="1296"/>
      <c r="H74" s="1296"/>
      <c r="I74" s="1296"/>
      <c r="J74" s="1296"/>
      <c r="K74" s="1296"/>
      <c r="L74" s="1296"/>
      <c r="M74" s="1296"/>
      <c r="N74" s="1296"/>
      <c r="O74" s="1296"/>
      <c r="P74" s="1296"/>
      <c r="Q74" s="138"/>
      <c r="R74" s="1296"/>
      <c r="S74" s="1296"/>
      <c r="T74" s="1725"/>
      <c r="U74" s="1197" t="s">
        <v>1845</v>
      </c>
      <c r="V74" s="1197" t="s">
        <v>1850</v>
      </c>
      <c r="W74" s="1198" t="s">
        <v>1851</v>
      </c>
      <c r="X74" s="1296"/>
      <c r="Y74" s="1296"/>
      <c r="Z74" s="1296"/>
      <c r="AA74" s="1296"/>
      <c r="AB74" s="1296"/>
      <c r="AC74" s="1296"/>
      <c r="AD74" s="1296"/>
      <c r="AE74" s="1296"/>
      <c r="AF74" s="1296"/>
      <c r="AG74" s="1296"/>
      <c r="AH74" s="1296"/>
      <c r="AI74" s="138"/>
      <c r="AJ74" s="1296"/>
      <c r="AK74" s="1296"/>
      <c r="AL74" s="1296"/>
      <c r="AM74" s="1296"/>
      <c r="AN74" s="1296"/>
      <c r="AO74" s="1296"/>
      <c r="AP74" s="1296"/>
      <c r="AQ74" s="1296"/>
      <c r="AR74" s="1296"/>
      <c r="AS74" s="1296"/>
      <c r="AT74" s="1296"/>
      <c r="AU74" s="1296"/>
      <c r="AV74" s="1296"/>
      <c r="AW74" s="1296"/>
      <c r="AX74" s="1296"/>
      <c r="AY74" s="1296"/>
      <c r="AZ74" s="1296"/>
      <c r="BA74" s="1296"/>
      <c r="BB74" s="1296"/>
      <c r="BC74" s="1296"/>
      <c r="BD74" s="1296"/>
      <c r="BE74" s="1296"/>
      <c r="BF74" s="1296"/>
      <c r="BG74" s="1296"/>
      <c r="BH74" s="1296"/>
      <c r="BI74" s="1296"/>
      <c r="BJ74" s="1296"/>
      <c r="BK74" s="1296"/>
      <c r="BL74" s="1296"/>
      <c r="BM74" s="1296"/>
      <c r="BN74" s="1296"/>
      <c r="BO74" s="1296"/>
      <c r="BP74" s="1296"/>
      <c r="BQ74" s="1296"/>
      <c r="BR74" s="1296"/>
      <c r="BS74" s="1296"/>
      <c r="BT74" s="1296"/>
      <c r="BU74" s="1296"/>
      <c r="BV74" s="1296"/>
      <c r="BW74" s="1296"/>
      <c r="BX74" s="1296"/>
      <c r="BY74" s="1296"/>
      <c r="BZ74" s="1296"/>
      <c r="CA74" s="1296"/>
      <c r="CB74" s="1296"/>
      <c r="CC74" s="1296"/>
      <c r="CD74" s="1296"/>
      <c r="CE74" s="1296"/>
      <c r="CF74" s="1296"/>
      <c r="CG74" s="1296"/>
      <c r="CH74" s="1296"/>
      <c r="CI74" s="1296"/>
      <c r="CJ74" s="1296"/>
      <c r="CK74" s="1296"/>
    </row>
    <row r="75" spans="1:89" ht="15.75" customHeight="1" thickBot="1" x14ac:dyDescent="0.3">
      <c r="A75" s="1296"/>
      <c r="B75" s="1719" t="s">
        <v>1852</v>
      </c>
      <c r="C75" s="1258" t="s">
        <v>1853</v>
      </c>
      <c r="D75" s="1200" t="s">
        <v>1843</v>
      </c>
      <c r="E75" s="1200" t="s">
        <v>131</v>
      </c>
      <c r="F75" s="1200" t="s">
        <v>1844</v>
      </c>
      <c r="G75" s="1200" t="s">
        <v>1854</v>
      </c>
      <c r="H75" s="1201" t="s">
        <v>1855</v>
      </c>
      <c r="I75" s="1202" t="s">
        <v>767</v>
      </c>
      <c r="J75" s="1202" t="s">
        <v>768</v>
      </c>
      <c r="K75" s="1202" t="s">
        <v>769</v>
      </c>
      <c r="L75" s="1202" t="s">
        <v>770</v>
      </c>
      <c r="M75" s="1202" t="s">
        <v>204</v>
      </c>
      <c r="N75" s="1296"/>
      <c r="O75" s="1296"/>
      <c r="P75" s="1296"/>
      <c r="Q75" s="138"/>
      <c r="R75" s="1296"/>
      <c r="S75" s="1296"/>
      <c r="T75" s="1719" t="s">
        <v>1852</v>
      </c>
      <c r="U75" s="1258" t="s">
        <v>1853</v>
      </c>
      <c r="V75" s="1200" t="s">
        <v>1843</v>
      </c>
      <c r="W75" s="1200" t="s">
        <v>131</v>
      </c>
      <c r="X75" s="1200" t="s">
        <v>1844</v>
      </c>
      <c r="Y75" s="1200" t="s">
        <v>1854</v>
      </c>
      <c r="Z75" s="1201" t="s">
        <v>1855</v>
      </c>
      <c r="AA75" s="1202" t="s">
        <v>767</v>
      </c>
      <c r="AB75" s="1202" t="s">
        <v>768</v>
      </c>
      <c r="AC75" s="1202" t="s">
        <v>769</v>
      </c>
      <c r="AD75" s="1202" t="s">
        <v>770</v>
      </c>
      <c r="AE75" s="1202" t="s">
        <v>204</v>
      </c>
      <c r="AF75" s="1296"/>
      <c r="AG75" s="1296"/>
      <c r="AH75" s="1296"/>
      <c r="AI75" s="138"/>
      <c r="AJ75" s="1296"/>
      <c r="AK75" s="1296"/>
      <c r="AL75" s="1296"/>
      <c r="AM75" s="1296"/>
      <c r="AN75" s="1296"/>
      <c r="AO75" s="1296"/>
      <c r="AP75" s="1296"/>
      <c r="AQ75" s="1296"/>
      <c r="AR75" s="1296"/>
      <c r="AS75" s="1296"/>
      <c r="AT75" s="1296"/>
      <c r="AU75" s="1296"/>
      <c r="AV75" s="1296"/>
      <c r="AW75" s="1296"/>
      <c r="AX75" s="1296"/>
      <c r="AY75" s="1296"/>
      <c r="AZ75" s="1296"/>
      <c r="BA75" s="1296"/>
      <c r="BB75" s="1296"/>
      <c r="BC75" s="1296"/>
      <c r="BD75" s="1296"/>
      <c r="BE75" s="1296"/>
      <c r="BF75" s="1296"/>
      <c r="BG75" s="1296"/>
      <c r="BH75" s="1296"/>
      <c r="BI75" s="1296"/>
      <c r="BJ75" s="1296"/>
      <c r="BK75" s="1296"/>
      <c r="BL75" s="1296"/>
      <c r="BM75" s="1296"/>
      <c r="BN75" s="1296"/>
      <c r="BO75" s="1296"/>
      <c r="BP75" s="1296"/>
      <c r="BQ75" s="1296"/>
      <c r="BR75" s="1296"/>
      <c r="BS75" s="1296"/>
      <c r="BT75" s="1296"/>
      <c r="BU75" s="1296"/>
      <c r="BV75" s="1296"/>
      <c r="BW75" s="1296"/>
      <c r="BX75" s="1296"/>
      <c r="BY75" s="1296"/>
      <c r="BZ75" s="1296"/>
      <c r="CA75" s="1296"/>
      <c r="CB75" s="1296"/>
      <c r="CC75" s="1296"/>
      <c r="CD75" s="1296"/>
      <c r="CE75" s="1296"/>
      <c r="CF75" s="1296"/>
      <c r="CG75" s="1296"/>
      <c r="CH75" s="1296"/>
      <c r="CI75" s="1296"/>
      <c r="CJ75" s="1296"/>
      <c r="CK75" s="1296"/>
    </row>
    <row r="76" spans="1:89" x14ac:dyDescent="0.25">
      <c r="A76" s="1296"/>
      <c r="B76" s="1721"/>
      <c r="C76" s="1199">
        <v>1</v>
      </c>
      <c r="D76" s="1196" t="s">
        <v>1856</v>
      </c>
      <c r="E76" s="1196" t="s">
        <v>1444</v>
      </c>
      <c r="F76" s="1196" t="str">
        <f>'Required Info to Submit'!E23</f>
        <v/>
      </c>
      <c r="G76" s="1393" t="str">
        <f>IF(F76="","",'Required Info to Submit'!K23)</f>
        <v/>
      </c>
      <c r="H76" s="1394" t="str">
        <f>IF(F76="","",'Required Info to Submit'!L23)</f>
        <v/>
      </c>
      <c r="I76" s="1196" t="str">
        <f>'Required Info to Submit'!F23</f>
        <v/>
      </c>
      <c r="J76" s="1196" t="str">
        <f>'Required Info to Submit'!G23</f>
        <v/>
      </c>
      <c r="K76" s="1196" t="str">
        <f>'Required Info to Submit'!H23</f>
        <v/>
      </c>
      <c r="L76" s="1196" t="str">
        <f>'Required Info to Submit'!I23</f>
        <v/>
      </c>
      <c r="M76" s="1196" t="str">
        <f>'Required Info to Submit'!J23</f>
        <v/>
      </c>
      <c r="N76" s="1296"/>
      <c r="O76" s="1296"/>
      <c r="P76" s="1296"/>
      <c r="Q76" s="138"/>
      <c r="R76" s="1296"/>
      <c r="S76" s="1296"/>
      <c r="T76" s="1721"/>
      <c r="U76" s="1199">
        <v>1</v>
      </c>
      <c r="V76" s="1196" t="s">
        <v>1856</v>
      </c>
      <c r="W76" s="1196" t="s">
        <v>1444</v>
      </c>
      <c r="X76" s="1196" t="str">
        <f>'Required Info to Submit'!E23</f>
        <v/>
      </c>
      <c r="Y76" s="1393" t="str">
        <f>IF(X76="","",'Required Info to Submit'!K23)</f>
        <v/>
      </c>
      <c r="Z76" s="1394" t="str">
        <f>IF(X76="","",'Required Info to Submit'!L23)</f>
        <v/>
      </c>
      <c r="AA76" s="1196" t="str">
        <f>'Required Info to Submit'!F23</f>
        <v/>
      </c>
      <c r="AB76" s="1196" t="str">
        <f>'Required Info to Submit'!G23</f>
        <v/>
      </c>
      <c r="AC76" s="1196" t="str">
        <f>'Required Info to Submit'!H23</f>
        <v/>
      </c>
      <c r="AD76" s="1196" t="str">
        <f>'Required Info to Submit'!I23</f>
        <v/>
      </c>
      <c r="AE76" s="1196" t="str">
        <f>'Required Info to Submit'!J23</f>
        <v/>
      </c>
      <c r="AF76" s="1296"/>
      <c r="AG76" s="1296"/>
      <c r="AH76" s="1296"/>
      <c r="AI76" s="138"/>
      <c r="AJ76" s="1296"/>
      <c r="AK76" s="1296"/>
      <c r="AL76" s="1296"/>
      <c r="AM76" s="1296"/>
      <c r="AN76" s="1296"/>
      <c r="AO76" s="1296"/>
      <c r="AP76" s="1296"/>
      <c r="AQ76" s="1296"/>
      <c r="AR76" s="1296"/>
      <c r="AS76" s="1296"/>
      <c r="AT76" s="1296"/>
      <c r="AU76" s="1296"/>
      <c r="AV76" s="1296"/>
      <c r="AW76" s="1296"/>
      <c r="AX76" s="1296"/>
      <c r="AY76" s="1296"/>
      <c r="AZ76" s="1296"/>
      <c r="BA76" s="1296"/>
      <c r="BB76" s="1296"/>
      <c r="BC76" s="1296"/>
      <c r="BD76" s="1296"/>
      <c r="BE76" s="1296"/>
      <c r="BF76" s="1296"/>
      <c r="BG76" s="1296"/>
      <c r="BH76" s="1296"/>
      <c r="BI76" s="1296"/>
      <c r="BJ76" s="1296"/>
      <c r="BK76" s="1296"/>
      <c r="BL76" s="1296"/>
      <c r="BM76" s="1296"/>
      <c r="BN76" s="1296"/>
      <c r="BO76" s="1296"/>
      <c r="BP76" s="1296"/>
      <c r="BQ76" s="1296"/>
      <c r="BR76" s="1296"/>
      <c r="BS76" s="1296"/>
      <c r="BT76" s="1296"/>
      <c r="BU76" s="1296"/>
      <c r="BV76" s="1296"/>
      <c r="BW76" s="1296"/>
      <c r="BX76" s="1296"/>
      <c r="BY76" s="1296"/>
      <c r="BZ76" s="1296"/>
      <c r="CA76" s="1296"/>
      <c r="CB76" s="1296"/>
      <c r="CC76" s="1296"/>
      <c r="CD76" s="1296"/>
      <c r="CE76" s="1296"/>
      <c r="CF76" s="1296"/>
      <c r="CG76" s="1296"/>
      <c r="CH76" s="1296"/>
      <c r="CI76" s="1296"/>
      <c r="CJ76" s="1296"/>
      <c r="CK76" s="1296"/>
    </row>
    <row r="77" spans="1:89" x14ac:dyDescent="0.25">
      <c r="A77" s="1296"/>
      <c r="B77" s="1721"/>
      <c r="C77" s="1205">
        <v>2</v>
      </c>
      <c r="D77" s="1196" t="s">
        <v>1856</v>
      </c>
      <c r="E77" s="1196" t="s">
        <v>1444</v>
      </c>
      <c r="F77" s="1196" t="str">
        <f>'Required Info to Submit'!E24</f>
        <v/>
      </c>
      <c r="G77" s="1393" t="str">
        <f>IF(F77="","",'Required Info to Submit'!K24)</f>
        <v/>
      </c>
      <c r="H77" s="1394" t="str">
        <f>IF(F77="","",'Required Info to Submit'!L24)</f>
        <v/>
      </c>
      <c r="I77" s="1196" t="str">
        <f>'Required Info to Submit'!F24</f>
        <v/>
      </c>
      <c r="J77" s="1196" t="str">
        <f>'Required Info to Submit'!G24</f>
        <v/>
      </c>
      <c r="K77" s="1196" t="str">
        <f>'Required Info to Submit'!H24</f>
        <v/>
      </c>
      <c r="L77" s="1196" t="str">
        <f>'Required Info to Submit'!I24</f>
        <v/>
      </c>
      <c r="M77" s="1196" t="str">
        <f>'Required Info to Submit'!J24</f>
        <v/>
      </c>
      <c r="N77" s="1296"/>
      <c r="O77" s="1296"/>
      <c r="P77" s="1296"/>
      <c r="Q77" s="138"/>
      <c r="R77" s="1296"/>
      <c r="S77" s="1296"/>
      <c r="T77" s="1721"/>
      <c r="U77" s="1205">
        <v>2</v>
      </c>
      <c r="V77" s="1196" t="s">
        <v>1856</v>
      </c>
      <c r="W77" s="1196" t="s">
        <v>1444</v>
      </c>
      <c r="X77" s="1196" t="str">
        <f>'Required Info to Submit'!E24</f>
        <v/>
      </c>
      <c r="Y77" s="1393" t="str">
        <f>IF(X77="","",'Required Info to Submit'!K24)</f>
        <v/>
      </c>
      <c r="Z77" s="1394" t="str">
        <f>IF(X77="","",'Required Info to Submit'!L24)</f>
        <v/>
      </c>
      <c r="AA77" s="1196" t="str">
        <f>'Required Info to Submit'!F24</f>
        <v/>
      </c>
      <c r="AB77" s="1196" t="str">
        <f>'Required Info to Submit'!G24</f>
        <v/>
      </c>
      <c r="AC77" s="1196" t="str">
        <f>'Required Info to Submit'!H24</f>
        <v/>
      </c>
      <c r="AD77" s="1196" t="str">
        <f>'Required Info to Submit'!I24</f>
        <v/>
      </c>
      <c r="AE77" s="1196" t="str">
        <f>'Required Info to Submit'!J24</f>
        <v/>
      </c>
      <c r="AF77" s="1296"/>
      <c r="AG77" s="1296"/>
      <c r="AH77" s="1296"/>
      <c r="AI77" s="138"/>
      <c r="AJ77" s="1296"/>
      <c r="AK77" s="1296"/>
      <c r="AL77" s="1296"/>
      <c r="AM77" s="1296"/>
      <c r="AN77" s="1296"/>
      <c r="AO77" s="1296"/>
      <c r="AP77" s="1296"/>
      <c r="AQ77" s="1296"/>
      <c r="AR77" s="1296"/>
      <c r="AS77" s="1296"/>
      <c r="AT77" s="1296"/>
      <c r="AU77" s="1296"/>
      <c r="AV77" s="1296"/>
      <c r="AW77" s="1296"/>
      <c r="AX77" s="1296"/>
      <c r="AY77" s="1296"/>
      <c r="AZ77" s="1296"/>
      <c r="BA77" s="1296"/>
      <c r="BB77" s="1296"/>
      <c r="BC77" s="1296"/>
      <c r="BD77" s="1296"/>
      <c r="BE77" s="1296"/>
      <c r="BF77" s="1296"/>
      <c r="BG77" s="1296"/>
      <c r="BH77" s="1296"/>
      <c r="BI77" s="1296"/>
      <c r="BJ77" s="1296"/>
      <c r="BK77" s="1296"/>
      <c r="BL77" s="1296"/>
      <c r="BM77" s="1296"/>
      <c r="BN77" s="1296"/>
      <c r="BO77" s="1296"/>
      <c r="BP77" s="1296"/>
      <c r="BQ77" s="1296"/>
      <c r="BR77" s="1296"/>
      <c r="BS77" s="1296"/>
      <c r="BT77" s="1296"/>
      <c r="BU77" s="1296"/>
      <c r="BV77" s="1296"/>
      <c r="BW77" s="1296"/>
      <c r="BX77" s="1296"/>
      <c r="BY77" s="1296"/>
      <c r="BZ77" s="1296"/>
      <c r="CA77" s="1296"/>
      <c r="CB77" s="1296"/>
      <c r="CC77" s="1296"/>
      <c r="CD77" s="1296"/>
      <c r="CE77" s="1296"/>
      <c r="CF77" s="1296"/>
      <c r="CG77" s="1296"/>
      <c r="CH77" s="1296"/>
      <c r="CI77" s="1296"/>
      <c r="CJ77" s="1296"/>
      <c r="CK77" s="1296"/>
    </row>
    <row r="78" spans="1:89" x14ac:dyDescent="0.25">
      <c r="A78" s="1296"/>
      <c r="B78" s="1721"/>
      <c r="C78" s="1205">
        <v>3</v>
      </c>
      <c r="D78" s="1196" t="s">
        <v>1856</v>
      </c>
      <c r="E78" s="1196" t="s">
        <v>1444</v>
      </c>
      <c r="F78" s="1196" t="str">
        <f>'Required Info to Submit'!E25</f>
        <v/>
      </c>
      <c r="G78" s="1393" t="str">
        <f>IF(F78="","",'Required Info to Submit'!K25)</f>
        <v/>
      </c>
      <c r="H78" s="1394" t="str">
        <f>IF(F78="","",'Required Info to Submit'!L25)</f>
        <v/>
      </c>
      <c r="I78" s="1196" t="str">
        <f>'Required Info to Submit'!F25</f>
        <v/>
      </c>
      <c r="J78" s="1196" t="str">
        <f>'Required Info to Submit'!G25</f>
        <v/>
      </c>
      <c r="K78" s="1196" t="str">
        <f>'Required Info to Submit'!H25</f>
        <v/>
      </c>
      <c r="L78" s="1196" t="str">
        <f>'Required Info to Submit'!I25</f>
        <v/>
      </c>
      <c r="M78" s="1196" t="str">
        <f>'Required Info to Submit'!J25</f>
        <v/>
      </c>
      <c r="N78" s="1296"/>
      <c r="O78" s="1296"/>
      <c r="P78" s="1296"/>
      <c r="Q78" s="138"/>
      <c r="R78" s="1296"/>
      <c r="S78" s="1296"/>
      <c r="T78" s="1721"/>
      <c r="U78" s="1205">
        <v>3</v>
      </c>
      <c r="V78" s="1196" t="s">
        <v>1856</v>
      </c>
      <c r="W78" s="1196" t="s">
        <v>1444</v>
      </c>
      <c r="X78" s="1196" t="str">
        <f>'Required Info to Submit'!E25</f>
        <v/>
      </c>
      <c r="Y78" s="1393" t="str">
        <f>IF(X78="","",'Required Info to Submit'!K25)</f>
        <v/>
      </c>
      <c r="Z78" s="1394" t="str">
        <f>IF(X78="","",'Required Info to Submit'!L25)</f>
        <v/>
      </c>
      <c r="AA78" s="1196" t="str">
        <f>'Required Info to Submit'!F25</f>
        <v/>
      </c>
      <c r="AB78" s="1196" t="str">
        <f>'Required Info to Submit'!G25</f>
        <v/>
      </c>
      <c r="AC78" s="1196" t="str">
        <f>'Required Info to Submit'!H25</f>
        <v/>
      </c>
      <c r="AD78" s="1196" t="str">
        <f>'Required Info to Submit'!I25</f>
        <v/>
      </c>
      <c r="AE78" s="1196" t="str">
        <f>'Required Info to Submit'!J25</f>
        <v/>
      </c>
      <c r="AF78" s="1296"/>
      <c r="AG78" s="1296"/>
      <c r="AH78" s="1296"/>
      <c r="AI78" s="138"/>
      <c r="AJ78" s="1296"/>
      <c r="AK78" s="1296"/>
      <c r="AL78" s="1296"/>
      <c r="AM78" s="1296"/>
      <c r="AN78" s="1296"/>
      <c r="AO78" s="1296"/>
      <c r="AP78" s="1296"/>
      <c r="AQ78" s="1296"/>
      <c r="AR78" s="1296"/>
      <c r="AS78" s="1296"/>
      <c r="AT78" s="1296"/>
      <c r="AU78" s="1296"/>
      <c r="AV78" s="1296"/>
      <c r="AW78" s="1296"/>
      <c r="AX78" s="1296"/>
      <c r="AY78" s="1296"/>
      <c r="AZ78" s="1296"/>
      <c r="BA78" s="1296"/>
      <c r="BB78" s="1296"/>
      <c r="BC78" s="1296"/>
      <c r="BD78" s="1296"/>
      <c r="BE78" s="1296"/>
      <c r="BF78" s="1296"/>
      <c r="BG78" s="1296"/>
      <c r="BH78" s="1296"/>
      <c r="BI78" s="1296"/>
      <c r="BJ78" s="1296"/>
      <c r="BK78" s="1296"/>
      <c r="BL78" s="1296"/>
      <c r="BM78" s="1296"/>
      <c r="BN78" s="1296"/>
      <c r="BO78" s="1296"/>
      <c r="BP78" s="1296"/>
      <c r="BQ78" s="1296"/>
      <c r="BR78" s="1296"/>
      <c r="BS78" s="1296"/>
      <c r="BT78" s="1296"/>
      <c r="BU78" s="1296"/>
      <c r="BV78" s="1296"/>
      <c r="BW78" s="1296"/>
      <c r="BX78" s="1296"/>
      <c r="BY78" s="1296"/>
      <c r="BZ78" s="1296"/>
      <c r="CA78" s="1296"/>
      <c r="CB78" s="1296"/>
      <c r="CC78" s="1296"/>
      <c r="CD78" s="1296"/>
      <c r="CE78" s="1296"/>
      <c r="CF78" s="1296"/>
      <c r="CG78" s="1296"/>
      <c r="CH78" s="1296"/>
      <c r="CI78" s="1296"/>
      <c r="CJ78" s="1296"/>
      <c r="CK78" s="1296"/>
    </row>
    <row r="79" spans="1:89" x14ac:dyDescent="0.25">
      <c r="A79" s="1296"/>
      <c r="B79" s="1721"/>
      <c r="C79" s="1205">
        <v>4</v>
      </c>
      <c r="D79" s="1196" t="s">
        <v>1856</v>
      </c>
      <c r="E79" s="1196" t="s">
        <v>1444</v>
      </c>
      <c r="F79" s="1196" t="str">
        <f>'Required Info to Submit'!E26</f>
        <v/>
      </c>
      <c r="G79" s="1393" t="str">
        <f>IF(F79="","",'Required Info to Submit'!K26)</f>
        <v/>
      </c>
      <c r="H79" s="1394" t="str">
        <f>IF(F79="","",'Required Info to Submit'!L26)</f>
        <v/>
      </c>
      <c r="I79" s="1196" t="str">
        <f>'Required Info to Submit'!F26</f>
        <v/>
      </c>
      <c r="J79" s="1196" t="str">
        <f>'Required Info to Submit'!G26</f>
        <v/>
      </c>
      <c r="K79" s="1196" t="str">
        <f>'Required Info to Submit'!H26</f>
        <v/>
      </c>
      <c r="L79" s="1196" t="str">
        <f>'Required Info to Submit'!I26</f>
        <v/>
      </c>
      <c r="M79" s="1196" t="str">
        <f>'Required Info to Submit'!J26</f>
        <v/>
      </c>
      <c r="N79" s="1296"/>
      <c r="O79" s="1296"/>
      <c r="P79" s="1296"/>
      <c r="Q79" s="138"/>
      <c r="R79" s="1296"/>
      <c r="S79" s="1296"/>
      <c r="T79" s="1721"/>
      <c r="U79" s="1205">
        <v>4</v>
      </c>
      <c r="V79" s="1196" t="s">
        <v>1856</v>
      </c>
      <c r="W79" s="1196" t="s">
        <v>1444</v>
      </c>
      <c r="X79" s="1196" t="str">
        <f>'Required Info to Submit'!E26</f>
        <v/>
      </c>
      <c r="Y79" s="1393" t="str">
        <f>IF(X79="","",'Required Info to Submit'!K26)</f>
        <v/>
      </c>
      <c r="Z79" s="1394" t="str">
        <f>IF(X79="","",'Required Info to Submit'!L26)</f>
        <v/>
      </c>
      <c r="AA79" s="1196" t="str">
        <f>'Required Info to Submit'!F26</f>
        <v/>
      </c>
      <c r="AB79" s="1196" t="str">
        <f>'Required Info to Submit'!G26</f>
        <v/>
      </c>
      <c r="AC79" s="1196" t="str">
        <f>'Required Info to Submit'!H26</f>
        <v/>
      </c>
      <c r="AD79" s="1196" t="str">
        <f>'Required Info to Submit'!I26</f>
        <v/>
      </c>
      <c r="AE79" s="1196" t="str">
        <f>'Required Info to Submit'!J26</f>
        <v/>
      </c>
      <c r="AF79" s="1296"/>
      <c r="AG79" s="1296"/>
      <c r="AH79" s="1296"/>
      <c r="AI79" s="138"/>
      <c r="AJ79" s="1296"/>
      <c r="AK79" s="1296"/>
      <c r="AL79" s="1296"/>
      <c r="AM79" s="1296"/>
      <c r="AN79" s="1296"/>
      <c r="AO79" s="1296"/>
      <c r="AP79" s="1296"/>
      <c r="AQ79" s="1296"/>
      <c r="AR79" s="1296"/>
      <c r="AS79" s="1296"/>
      <c r="AT79" s="1296"/>
      <c r="AU79" s="1296"/>
      <c r="AV79" s="1296"/>
      <c r="AW79" s="1296"/>
      <c r="AX79" s="1296"/>
      <c r="AY79" s="1296"/>
      <c r="AZ79" s="1296"/>
      <c r="BA79" s="1296"/>
      <c r="BB79" s="1296"/>
      <c r="BC79" s="1296"/>
      <c r="BD79" s="1296"/>
      <c r="BE79" s="1296"/>
      <c r="BF79" s="1296"/>
      <c r="BG79" s="1296"/>
      <c r="BH79" s="1296"/>
      <c r="BI79" s="1296"/>
      <c r="BJ79" s="1296"/>
      <c r="BK79" s="1296"/>
      <c r="BL79" s="1296"/>
      <c r="BM79" s="1296"/>
      <c r="BN79" s="1296"/>
      <c r="BO79" s="1296"/>
      <c r="BP79" s="1296"/>
      <c r="BQ79" s="1296"/>
      <c r="BR79" s="1296"/>
      <c r="BS79" s="1296"/>
      <c r="BT79" s="1296"/>
      <c r="BU79" s="1296"/>
      <c r="BV79" s="1296"/>
      <c r="BW79" s="1296"/>
      <c r="BX79" s="1296"/>
      <c r="BY79" s="1296"/>
      <c r="BZ79" s="1296"/>
      <c r="CA79" s="1296"/>
      <c r="CB79" s="1296"/>
      <c r="CC79" s="1296"/>
      <c r="CD79" s="1296"/>
      <c r="CE79" s="1296"/>
      <c r="CF79" s="1296"/>
      <c r="CG79" s="1296"/>
      <c r="CH79" s="1296"/>
      <c r="CI79" s="1296"/>
      <c r="CJ79" s="1296"/>
      <c r="CK79" s="1296"/>
    </row>
    <row r="80" spans="1:89" x14ac:dyDescent="0.25">
      <c r="A80" s="1296"/>
      <c r="B80" s="1721"/>
      <c r="C80" s="1205">
        <v>5</v>
      </c>
      <c r="D80" s="1196" t="s">
        <v>1856</v>
      </c>
      <c r="E80" s="1196" t="s">
        <v>1444</v>
      </c>
      <c r="F80" s="1196" t="str">
        <f>'Required Info to Submit'!E27</f>
        <v/>
      </c>
      <c r="G80" s="1393" t="str">
        <f>IF(F80="","",'Required Info to Submit'!K27)</f>
        <v/>
      </c>
      <c r="H80" s="1394" t="str">
        <f>IF(F80="","",'Required Info to Submit'!L27)</f>
        <v/>
      </c>
      <c r="I80" s="1196" t="str">
        <f>'Required Info to Submit'!F27</f>
        <v/>
      </c>
      <c r="J80" s="1196" t="str">
        <f>'Required Info to Submit'!G27</f>
        <v/>
      </c>
      <c r="K80" s="1196" t="str">
        <f>'Required Info to Submit'!H27</f>
        <v/>
      </c>
      <c r="L80" s="1196" t="str">
        <f>'Required Info to Submit'!I27</f>
        <v/>
      </c>
      <c r="M80" s="1196" t="str">
        <f>'Required Info to Submit'!J27</f>
        <v/>
      </c>
      <c r="N80" s="1296"/>
      <c r="O80" s="1296"/>
      <c r="P80" s="1296"/>
      <c r="Q80" s="138"/>
      <c r="R80" s="1296"/>
      <c r="S80" s="1296"/>
      <c r="T80" s="1721"/>
      <c r="U80" s="1205">
        <v>5</v>
      </c>
      <c r="V80" s="1196" t="s">
        <v>1856</v>
      </c>
      <c r="W80" s="1196" t="s">
        <v>1444</v>
      </c>
      <c r="X80" s="1196" t="str">
        <f>'Required Info to Submit'!E27</f>
        <v/>
      </c>
      <c r="Y80" s="1393" t="str">
        <f>IF(X80="","",'Required Info to Submit'!K27)</f>
        <v/>
      </c>
      <c r="Z80" s="1394" t="str">
        <f>IF(X80="","",'Required Info to Submit'!L27)</f>
        <v/>
      </c>
      <c r="AA80" s="1196" t="str">
        <f>'Required Info to Submit'!F27</f>
        <v/>
      </c>
      <c r="AB80" s="1196" t="str">
        <f>'Required Info to Submit'!G27</f>
        <v/>
      </c>
      <c r="AC80" s="1196" t="str">
        <f>'Required Info to Submit'!H27</f>
        <v/>
      </c>
      <c r="AD80" s="1196" t="str">
        <f>'Required Info to Submit'!I27</f>
        <v/>
      </c>
      <c r="AE80" s="1196" t="str">
        <f>'Required Info to Submit'!J27</f>
        <v/>
      </c>
      <c r="AF80" s="1296"/>
      <c r="AG80" s="1296"/>
      <c r="AH80" s="1296"/>
      <c r="AI80" s="138"/>
      <c r="AJ80" s="1296"/>
      <c r="AK80" s="1296"/>
      <c r="AL80" s="1296"/>
      <c r="AM80" s="1296"/>
      <c r="AN80" s="1296"/>
      <c r="AO80" s="1296"/>
      <c r="AP80" s="1296"/>
      <c r="AQ80" s="1296"/>
      <c r="AR80" s="1296"/>
      <c r="AS80" s="1296"/>
      <c r="AT80" s="1296"/>
      <c r="AU80" s="1296"/>
      <c r="AV80" s="1296"/>
      <c r="AW80" s="1296"/>
      <c r="AX80" s="1296"/>
      <c r="AY80" s="1296"/>
      <c r="AZ80" s="1296"/>
      <c r="BA80" s="1296"/>
      <c r="BB80" s="1296"/>
      <c r="BC80" s="1296"/>
      <c r="BD80" s="1296"/>
      <c r="BE80" s="1296"/>
      <c r="BF80" s="1296"/>
      <c r="BG80" s="1296"/>
      <c r="BH80" s="1296"/>
      <c r="BI80" s="1296"/>
      <c r="BJ80" s="1296"/>
      <c r="BK80" s="1296"/>
      <c r="BL80" s="1296"/>
      <c r="BM80" s="1296"/>
      <c r="BN80" s="1296"/>
      <c r="BO80" s="1296"/>
      <c r="BP80" s="1296"/>
      <c r="BQ80" s="1296"/>
      <c r="BR80" s="1296"/>
      <c r="BS80" s="1296"/>
      <c r="BT80" s="1296"/>
      <c r="BU80" s="1296"/>
      <c r="BV80" s="1296"/>
      <c r="BW80" s="1296"/>
      <c r="BX80" s="1296"/>
      <c r="BY80" s="1296"/>
      <c r="BZ80" s="1296"/>
      <c r="CA80" s="1296"/>
      <c r="CB80" s="1296"/>
      <c r="CC80" s="1296"/>
      <c r="CD80" s="1296"/>
      <c r="CE80" s="1296"/>
      <c r="CF80" s="1296"/>
      <c r="CG80" s="1296"/>
      <c r="CH80" s="1296"/>
      <c r="CI80" s="1296"/>
      <c r="CJ80" s="1296"/>
      <c r="CK80" s="1296"/>
    </row>
    <row r="81" spans="1:89" x14ac:dyDescent="0.25">
      <c r="A81" s="1296"/>
      <c r="B81" s="1721"/>
      <c r="C81" s="1205">
        <v>6</v>
      </c>
      <c r="D81" s="1196" t="s">
        <v>1856</v>
      </c>
      <c r="E81" s="1196" t="s">
        <v>1444</v>
      </c>
      <c r="F81" s="1196" t="str">
        <f>'Required Info to Submit'!E28</f>
        <v/>
      </c>
      <c r="G81" s="1393" t="str">
        <f>IF(F81="","",'Required Info to Submit'!K28)</f>
        <v/>
      </c>
      <c r="H81" s="1394" t="str">
        <f>IF(F81="","",'Required Info to Submit'!L28)</f>
        <v/>
      </c>
      <c r="I81" s="1196" t="str">
        <f>'Required Info to Submit'!F28</f>
        <v/>
      </c>
      <c r="J81" s="1196" t="str">
        <f>'Required Info to Submit'!G28</f>
        <v/>
      </c>
      <c r="K81" s="1196" t="str">
        <f>'Required Info to Submit'!H28</f>
        <v/>
      </c>
      <c r="L81" s="1196" t="str">
        <f>'Required Info to Submit'!I28</f>
        <v/>
      </c>
      <c r="M81" s="1196" t="str">
        <f>'Required Info to Submit'!J28</f>
        <v/>
      </c>
      <c r="N81" s="1296"/>
      <c r="O81" s="1296"/>
      <c r="P81" s="1296"/>
      <c r="Q81" s="138"/>
      <c r="R81" s="1296"/>
      <c r="S81" s="1296"/>
      <c r="T81" s="1721"/>
      <c r="U81" s="1205">
        <v>6</v>
      </c>
      <c r="V81" s="1196" t="s">
        <v>1856</v>
      </c>
      <c r="W81" s="1196" t="s">
        <v>1444</v>
      </c>
      <c r="X81" s="1196" t="str">
        <f>'Required Info to Submit'!E28</f>
        <v/>
      </c>
      <c r="Y81" s="1393" t="str">
        <f>IF(X81="","",'Required Info to Submit'!K28)</f>
        <v/>
      </c>
      <c r="Z81" s="1394" t="str">
        <f>IF(X81="","",'Required Info to Submit'!L28)</f>
        <v/>
      </c>
      <c r="AA81" s="1196" t="str">
        <f>'Required Info to Submit'!F28</f>
        <v/>
      </c>
      <c r="AB81" s="1196" t="str">
        <f>'Required Info to Submit'!G28</f>
        <v/>
      </c>
      <c r="AC81" s="1196" t="str">
        <f>'Required Info to Submit'!H28</f>
        <v/>
      </c>
      <c r="AD81" s="1196" t="str">
        <f>'Required Info to Submit'!I28</f>
        <v/>
      </c>
      <c r="AE81" s="1196" t="str">
        <f>'Required Info to Submit'!J28</f>
        <v/>
      </c>
      <c r="AF81" s="1296"/>
      <c r="AG81" s="1296"/>
      <c r="AH81" s="1296"/>
      <c r="AI81" s="138"/>
      <c r="AJ81" s="1296"/>
      <c r="AK81" s="1296"/>
      <c r="AL81" s="1296"/>
      <c r="AM81" s="1296"/>
      <c r="AN81" s="1296"/>
      <c r="AO81" s="1296"/>
      <c r="AP81" s="1296"/>
      <c r="AQ81" s="1296"/>
      <c r="AR81" s="1296"/>
      <c r="AS81" s="1296"/>
      <c r="AT81" s="1296"/>
      <c r="AU81" s="1296"/>
      <c r="AV81" s="1296"/>
      <c r="AW81" s="1296"/>
      <c r="AX81" s="1296"/>
      <c r="AY81" s="1296"/>
      <c r="AZ81" s="1296"/>
      <c r="BA81" s="1296"/>
      <c r="BB81" s="1296"/>
      <c r="BC81" s="1296"/>
      <c r="BD81" s="1296"/>
      <c r="BE81" s="1296"/>
      <c r="BF81" s="1296"/>
      <c r="BG81" s="1296"/>
      <c r="BH81" s="1296"/>
      <c r="BI81" s="1296"/>
      <c r="BJ81" s="1296"/>
      <c r="BK81" s="1296"/>
      <c r="BL81" s="1296"/>
      <c r="BM81" s="1296"/>
      <c r="BN81" s="1296"/>
      <c r="BO81" s="1296"/>
      <c r="BP81" s="1296"/>
      <c r="BQ81" s="1296"/>
      <c r="BR81" s="1296"/>
      <c r="BS81" s="1296"/>
      <c r="BT81" s="1296"/>
      <c r="BU81" s="1296"/>
      <c r="BV81" s="1296"/>
      <c r="BW81" s="1296"/>
      <c r="BX81" s="1296"/>
      <c r="BY81" s="1296"/>
      <c r="BZ81" s="1296"/>
      <c r="CA81" s="1296"/>
      <c r="CB81" s="1296"/>
      <c r="CC81" s="1296"/>
      <c r="CD81" s="1296"/>
      <c r="CE81" s="1296"/>
      <c r="CF81" s="1296"/>
      <c r="CG81" s="1296"/>
      <c r="CH81" s="1296"/>
      <c r="CI81" s="1296"/>
      <c r="CJ81" s="1296"/>
      <c r="CK81" s="1296"/>
    </row>
    <row r="82" spans="1:89" x14ac:dyDescent="0.25">
      <c r="A82" s="1296"/>
      <c r="B82" s="1721"/>
      <c r="C82" s="1205">
        <v>7</v>
      </c>
      <c r="D82" s="1196" t="s">
        <v>1856</v>
      </c>
      <c r="E82" s="1196" t="s">
        <v>1444</v>
      </c>
      <c r="F82" s="1196" t="str">
        <f>'Required Info to Submit'!E29</f>
        <v/>
      </c>
      <c r="G82" s="1393" t="str">
        <f>IF(F82="","",'Required Info to Submit'!K29)</f>
        <v/>
      </c>
      <c r="H82" s="1394" t="str">
        <f>IF(F82="","",'Required Info to Submit'!L29)</f>
        <v/>
      </c>
      <c r="I82" s="1196" t="str">
        <f>'Required Info to Submit'!F29</f>
        <v/>
      </c>
      <c r="J82" s="1196" t="str">
        <f>'Required Info to Submit'!G29</f>
        <v/>
      </c>
      <c r="K82" s="1196" t="str">
        <f>'Required Info to Submit'!H29</f>
        <v/>
      </c>
      <c r="L82" s="1196" t="str">
        <f>'Required Info to Submit'!I29</f>
        <v/>
      </c>
      <c r="M82" s="1196" t="str">
        <f>'Required Info to Submit'!J29</f>
        <v/>
      </c>
      <c r="N82" s="1296"/>
      <c r="O82" s="1296"/>
      <c r="P82" s="1296"/>
      <c r="Q82" s="138"/>
      <c r="R82" s="1296"/>
      <c r="S82" s="1296"/>
      <c r="T82" s="1721"/>
      <c r="U82" s="1205">
        <v>7</v>
      </c>
      <c r="V82" s="1196" t="s">
        <v>1856</v>
      </c>
      <c r="W82" s="1196" t="s">
        <v>1444</v>
      </c>
      <c r="X82" s="1196" t="str">
        <f>'Required Info to Submit'!E29</f>
        <v/>
      </c>
      <c r="Y82" s="1393" t="str">
        <f>IF(X82="","",'Required Info to Submit'!K29)</f>
        <v/>
      </c>
      <c r="Z82" s="1394" t="str">
        <f>IF(X82="","",'Required Info to Submit'!L29)</f>
        <v/>
      </c>
      <c r="AA82" s="1196" t="str">
        <f>'Required Info to Submit'!F29</f>
        <v/>
      </c>
      <c r="AB82" s="1196" t="str">
        <f>'Required Info to Submit'!G29</f>
        <v/>
      </c>
      <c r="AC82" s="1196" t="str">
        <f>'Required Info to Submit'!H29</f>
        <v/>
      </c>
      <c r="AD82" s="1196" t="str">
        <f>'Required Info to Submit'!I29</f>
        <v/>
      </c>
      <c r="AE82" s="1196" t="str">
        <f>'Required Info to Submit'!J29</f>
        <v/>
      </c>
      <c r="AF82" s="1296"/>
      <c r="AG82" s="1296"/>
      <c r="AH82" s="1296"/>
      <c r="AI82" s="138"/>
      <c r="AJ82" s="1296"/>
      <c r="AK82" s="1296"/>
      <c r="AL82" s="1296"/>
      <c r="AM82" s="1296"/>
      <c r="AN82" s="1296"/>
      <c r="AO82" s="1296"/>
      <c r="AP82" s="1296"/>
      <c r="AQ82" s="1296"/>
      <c r="AR82" s="1296"/>
      <c r="AS82" s="1296"/>
      <c r="AT82" s="1296"/>
      <c r="AU82" s="1296"/>
      <c r="AV82" s="1296"/>
      <c r="AW82" s="1296"/>
      <c r="AX82" s="1296"/>
      <c r="AY82" s="1296"/>
      <c r="AZ82" s="1296"/>
      <c r="BA82" s="1296"/>
      <c r="BB82" s="1296"/>
      <c r="BC82" s="1296"/>
      <c r="BD82" s="1296"/>
      <c r="BE82" s="1296"/>
      <c r="BF82" s="1296"/>
      <c r="BG82" s="1296"/>
      <c r="BH82" s="1296"/>
      <c r="BI82" s="1296"/>
      <c r="BJ82" s="1296"/>
      <c r="BK82" s="1296"/>
      <c r="BL82" s="1296"/>
      <c r="BM82" s="1296"/>
      <c r="BN82" s="1296"/>
      <c r="BO82" s="1296"/>
      <c r="BP82" s="1296"/>
      <c r="BQ82" s="1296"/>
      <c r="BR82" s="1296"/>
      <c r="BS82" s="1296"/>
      <c r="BT82" s="1296"/>
      <c r="BU82" s="1296"/>
      <c r="BV82" s="1296"/>
      <c r="BW82" s="1296"/>
      <c r="BX82" s="1296"/>
      <c r="BY82" s="1296"/>
      <c r="BZ82" s="1296"/>
      <c r="CA82" s="1296"/>
      <c r="CB82" s="1296"/>
      <c r="CC82" s="1296"/>
      <c r="CD82" s="1296"/>
      <c r="CE82" s="1296"/>
      <c r="CF82" s="1296"/>
      <c r="CG82" s="1296"/>
      <c r="CH82" s="1296"/>
      <c r="CI82" s="1296"/>
      <c r="CJ82" s="1296"/>
      <c r="CK82" s="1296"/>
    </row>
    <row r="83" spans="1:89" x14ac:dyDescent="0.25">
      <c r="A83" s="1296"/>
      <c r="B83" s="1721"/>
      <c r="C83" s="1205">
        <v>8</v>
      </c>
      <c r="D83" s="1196" t="s">
        <v>1856</v>
      </c>
      <c r="E83" s="1196" t="s">
        <v>1444</v>
      </c>
      <c r="F83" s="1196" t="str">
        <f>'Required Info to Submit'!E30</f>
        <v/>
      </c>
      <c r="G83" s="1393" t="str">
        <f>IF(F83="","",'Required Info to Submit'!K30)</f>
        <v/>
      </c>
      <c r="H83" s="1394" t="str">
        <f>IF(F83="","",'Required Info to Submit'!L30)</f>
        <v/>
      </c>
      <c r="I83" s="1196" t="str">
        <f>'Required Info to Submit'!F30</f>
        <v/>
      </c>
      <c r="J83" s="1196" t="str">
        <f>'Required Info to Submit'!G30</f>
        <v/>
      </c>
      <c r="K83" s="1196" t="str">
        <f>'Required Info to Submit'!H30</f>
        <v/>
      </c>
      <c r="L83" s="1196" t="str">
        <f>'Required Info to Submit'!I30</f>
        <v/>
      </c>
      <c r="M83" s="1196" t="str">
        <f>'Required Info to Submit'!J30</f>
        <v/>
      </c>
      <c r="N83" s="1296"/>
      <c r="O83" s="1296"/>
      <c r="P83" s="1296"/>
      <c r="Q83" s="138"/>
      <c r="R83" s="1296"/>
      <c r="S83" s="1296"/>
      <c r="T83" s="1721"/>
      <c r="U83" s="1205">
        <v>8</v>
      </c>
      <c r="V83" s="1196" t="s">
        <v>1856</v>
      </c>
      <c r="W83" s="1196" t="s">
        <v>1444</v>
      </c>
      <c r="X83" s="1196" t="str">
        <f>'Required Info to Submit'!E30</f>
        <v/>
      </c>
      <c r="Y83" s="1393" t="str">
        <f>IF(X83="","",'Required Info to Submit'!K30)</f>
        <v/>
      </c>
      <c r="Z83" s="1394" t="str">
        <f>IF(X83="","",'Required Info to Submit'!L30)</f>
        <v/>
      </c>
      <c r="AA83" s="1196" t="str">
        <f>'Required Info to Submit'!F30</f>
        <v/>
      </c>
      <c r="AB83" s="1196" t="str">
        <f>'Required Info to Submit'!G30</f>
        <v/>
      </c>
      <c r="AC83" s="1196" t="str">
        <f>'Required Info to Submit'!H30</f>
        <v/>
      </c>
      <c r="AD83" s="1196" t="str">
        <f>'Required Info to Submit'!I30</f>
        <v/>
      </c>
      <c r="AE83" s="1196" t="str">
        <f>'Required Info to Submit'!J30</f>
        <v/>
      </c>
      <c r="AF83" s="1296"/>
      <c r="AG83" s="1296"/>
      <c r="AH83" s="1296"/>
      <c r="AI83" s="138"/>
      <c r="AJ83" s="1296"/>
      <c r="AK83" s="1296"/>
      <c r="AL83" s="1296"/>
      <c r="AM83" s="1296"/>
      <c r="AN83" s="1296"/>
      <c r="AO83" s="1296"/>
      <c r="AP83" s="1296"/>
      <c r="AQ83" s="1296"/>
      <c r="AR83" s="1296"/>
      <c r="AS83" s="1296"/>
      <c r="AT83" s="1296"/>
      <c r="AU83" s="1296"/>
      <c r="AV83" s="1296"/>
      <c r="AW83" s="1296"/>
      <c r="AX83" s="1296"/>
      <c r="AY83" s="1296"/>
      <c r="AZ83" s="1296"/>
      <c r="BA83" s="1296"/>
      <c r="BB83" s="1296"/>
      <c r="BC83" s="1296"/>
      <c r="BD83" s="1296"/>
      <c r="BE83" s="1296"/>
      <c r="BF83" s="1296"/>
      <c r="BG83" s="1296"/>
      <c r="BH83" s="1296"/>
      <c r="BI83" s="1296"/>
      <c r="BJ83" s="1296"/>
      <c r="BK83" s="1296"/>
      <c r="BL83" s="1296"/>
      <c r="BM83" s="1296"/>
      <c r="BN83" s="1296"/>
      <c r="BO83" s="1296"/>
      <c r="BP83" s="1296"/>
      <c r="BQ83" s="1296"/>
      <c r="BR83" s="1296"/>
      <c r="BS83" s="1296"/>
      <c r="BT83" s="1296"/>
      <c r="BU83" s="1296"/>
      <c r="BV83" s="1296"/>
      <c r="BW83" s="1296"/>
      <c r="BX83" s="1296"/>
      <c r="BY83" s="1296"/>
      <c r="BZ83" s="1296"/>
      <c r="CA83" s="1296"/>
      <c r="CB83" s="1296"/>
      <c r="CC83" s="1296"/>
      <c r="CD83" s="1296"/>
      <c r="CE83" s="1296"/>
      <c r="CF83" s="1296"/>
      <c r="CG83" s="1296"/>
      <c r="CH83" s="1296"/>
      <c r="CI83" s="1296"/>
      <c r="CJ83" s="1296"/>
      <c r="CK83" s="1296"/>
    </row>
    <row r="84" spans="1:89" x14ac:dyDescent="0.25">
      <c r="A84" s="1296"/>
      <c r="B84" s="1721"/>
      <c r="C84" s="1205">
        <v>9</v>
      </c>
      <c r="D84" s="1196" t="s">
        <v>1856</v>
      </c>
      <c r="E84" s="1196" t="s">
        <v>1444</v>
      </c>
      <c r="F84" s="1196" t="str">
        <f>'Required Info to Submit'!E31</f>
        <v/>
      </c>
      <c r="G84" s="1393" t="str">
        <f>IF(F84="","",'Required Info to Submit'!K31)</f>
        <v/>
      </c>
      <c r="H84" s="1394" t="str">
        <f>IF(F84="","",'Required Info to Submit'!L31)</f>
        <v/>
      </c>
      <c r="I84" s="1196" t="str">
        <f>'Required Info to Submit'!F31</f>
        <v/>
      </c>
      <c r="J84" s="1196" t="str">
        <f>'Required Info to Submit'!G31</f>
        <v/>
      </c>
      <c r="K84" s="1196" t="str">
        <f>'Required Info to Submit'!H31</f>
        <v/>
      </c>
      <c r="L84" s="1196" t="str">
        <f>'Required Info to Submit'!I31</f>
        <v/>
      </c>
      <c r="M84" s="1196" t="str">
        <f>'Required Info to Submit'!J31</f>
        <v/>
      </c>
      <c r="N84" s="1296"/>
      <c r="O84" s="1296"/>
      <c r="P84" s="1296"/>
      <c r="Q84" s="138"/>
      <c r="R84" s="1296"/>
      <c r="S84" s="1296"/>
      <c r="T84" s="1721"/>
      <c r="U84" s="1205">
        <v>9</v>
      </c>
      <c r="V84" s="1196" t="s">
        <v>1856</v>
      </c>
      <c r="W84" s="1196" t="s">
        <v>1444</v>
      </c>
      <c r="X84" s="1196" t="str">
        <f>'Required Info to Submit'!E31</f>
        <v/>
      </c>
      <c r="Y84" s="1393" t="str">
        <f>IF(X84="","",'Required Info to Submit'!K31)</f>
        <v/>
      </c>
      <c r="Z84" s="1394" t="str">
        <f>IF(X84="","",'Required Info to Submit'!L31)</f>
        <v/>
      </c>
      <c r="AA84" s="1196" t="str">
        <f>'Required Info to Submit'!F31</f>
        <v/>
      </c>
      <c r="AB84" s="1196" t="str">
        <f>'Required Info to Submit'!G31</f>
        <v/>
      </c>
      <c r="AC84" s="1196" t="str">
        <f>'Required Info to Submit'!H31</f>
        <v/>
      </c>
      <c r="AD84" s="1196" t="str">
        <f>'Required Info to Submit'!I31</f>
        <v/>
      </c>
      <c r="AE84" s="1196" t="str">
        <f>'Required Info to Submit'!J31</f>
        <v/>
      </c>
      <c r="AF84" s="1296"/>
      <c r="AG84" s="1296"/>
      <c r="AH84" s="1296"/>
      <c r="AI84" s="138"/>
      <c r="AJ84" s="1296"/>
      <c r="AK84" s="1296"/>
      <c r="AL84" s="1296"/>
      <c r="AM84" s="1296"/>
      <c r="AN84" s="1296"/>
      <c r="AO84" s="1296"/>
      <c r="AP84" s="1296"/>
      <c r="AQ84" s="1296"/>
      <c r="AR84" s="1296"/>
      <c r="AS84" s="1296"/>
      <c r="AT84" s="1296"/>
      <c r="AU84" s="1296"/>
      <c r="AV84" s="1296"/>
      <c r="AW84" s="1296"/>
      <c r="AX84" s="1296"/>
      <c r="AY84" s="1296"/>
      <c r="AZ84" s="1296"/>
      <c r="BA84" s="1296"/>
      <c r="BB84" s="1296"/>
      <c r="BC84" s="1296"/>
      <c r="BD84" s="1296"/>
      <c r="BE84" s="1296"/>
      <c r="BF84" s="1296"/>
      <c r="BG84" s="1296"/>
      <c r="BH84" s="1296"/>
      <c r="BI84" s="1296"/>
      <c r="BJ84" s="1296"/>
      <c r="BK84" s="1296"/>
      <c r="BL84" s="1296"/>
      <c r="BM84" s="1296"/>
      <c r="BN84" s="1296"/>
      <c r="BO84" s="1296"/>
      <c r="BP84" s="1296"/>
      <c r="BQ84" s="1296"/>
      <c r="BR84" s="1296"/>
      <c r="BS84" s="1296"/>
      <c r="BT84" s="1296"/>
      <c r="BU84" s="1296"/>
      <c r="BV84" s="1296"/>
      <c r="BW84" s="1296"/>
      <c r="BX84" s="1296"/>
      <c r="BY84" s="1296"/>
      <c r="BZ84" s="1296"/>
      <c r="CA84" s="1296"/>
      <c r="CB84" s="1296"/>
      <c r="CC84" s="1296"/>
      <c r="CD84" s="1296"/>
      <c r="CE84" s="1296"/>
      <c r="CF84" s="1296"/>
      <c r="CG84" s="1296"/>
      <c r="CH84" s="1296"/>
      <c r="CI84" s="1296"/>
      <c r="CJ84" s="1296"/>
      <c r="CK84" s="1296"/>
    </row>
    <row r="85" spans="1:89" ht="15.75" thickBot="1" x14ac:dyDescent="0.3">
      <c r="A85" s="1296"/>
      <c r="B85" s="1722"/>
      <c r="C85" s="1207">
        <v>10</v>
      </c>
      <c r="D85" s="1198" t="s">
        <v>1856</v>
      </c>
      <c r="E85" s="1198" t="s">
        <v>1444</v>
      </c>
      <c r="F85" s="1198" t="str">
        <f>'Required Info to Submit'!E32</f>
        <v/>
      </c>
      <c r="G85" s="1395" t="str">
        <f>IF(F85="","",'Required Info to Submit'!K32)</f>
        <v/>
      </c>
      <c r="H85" s="1395" t="str">
        <f>IF(F85="","",'Required Info to Submit'!L32)</f>
        <v/>
      </c>
      <c r="I85" s="1198" t="str">
        <f>'Required Info to Submit'!F32</f>
        <v/>
      </c>
      <c r="J85" s="1198" t="str">
        <f>'Required Info to Submit'!G32</f>
        <v/>
      </c>
      <c r="K85" s="1198" t="str">
        <f>'Required Info to Submit'!H32</f>
        <v/>
      </c>
      <c r="L85" s="1198" t="str">
        <f>'Required Info to Submit'!I32</f>
        <v/>
      </c>
      <c r="M85" s="1198" t="str">
        <f>'Required Info to Submit'!J32</f>
        <v/>
      </c>
      <c r="N85" s="256"/>
      <c r="O85" s="256"/>
      <c r="P85" s="256"/>
      <c r="Q85" s="257"/>
      <c r="R85" s="1296"/>
      <c r="S85" s="1296"/>
      <c r="T85" s="1722"/>
      <c r="U85" s="1207">
        <v>10</v>
      </c>
      <c r="V85" s="1198" t="s">
        <v>1856</v>
      </c>
      <c r="W85" s="1198" t="s">
        <v>1444</v>
      </c>
      <c r="X85" s="1198" t="str">
        <f>'Required Info to Submit'!E32</f>
        <v/>
      </c>
      <c r="Y85" s="1395" t="str">
        <f>IF(X85="","",'Required Info to Submit'!K32)</f>
        <v/>
      </c>
      <c r="Z85" s="1395" t="str">
        <f>IF(X85="","",'Required Info to Submit'!L32)</f>
        <v/>
      </c>
      <c r="AA85" s="1198" t="str">
        <f>'Required Info to Submit'!F32</f>
        <v/>
      </c>
      <c r="AB85" s="1198" t="str">
        <f>'Required Info to Submit'!G32</f>
        <v/>
      </c>
      <c r="AC85" s="1198" t="str">
        <f>'Required Info to Submit'!H32</f>
        <v/>
      </c>
      <c r="AD85" s="1198" t="str">
        <f>'Required Info to Submit'!I32</f>
        <v/>
      </c>
      <c r="AE85" s="1198" t="str">
        <f>'Required Info to Submit'!J32</f>
        <v/>
      </c>
      <c r="AF85" s="256"/>
      <c r="AG85" s="256"/>
      <c r="AH85" s="256"/>
      <c r="AI85" s="257"/>
      <c r="AJ85" s="1296"/>
      <c r="AK85" s="1296"/>
      <c r="AL85" s="1296"/>
      <c r="AM85" s="1296"/>
      <c r="AN85" s="1296"/>
      <c r="AO85" s="1296"/>
      <c r="AP85" s="1296"/>
      <c r="AQ85" s="1296"/>
      <c r="AR85" s="1296"/>
      <c r="AS85" s="1296"/>
      <c r="AT85" s="1296"/>
      <c r="AU85" s="1296"/>
      <c r="AV85" s="1296"/>
      <c r="AW85" s="1296"/>
      <c r="AX85" s="1296"/>
      <c r="AY85" s="1296"/>
      <c r="AZ85" s="1296"/>
      <c r="BA85" s="1296"/>
      <c r="BB85" s="1296"/>
      <c r="BC85" s="1296"/>
      <c r="BD85" s="1296"/>
      <c r="BE85" s="1296"/>
      <c r="BF85" s="1296"/>
      <c r="BG85" s="1296"/>
      <c r="BH85" s="1296"/>
      <c r="BI85" s="1296"/>
      <c r="BJ85" s="1296"/>
      <c r="BK85" s="1296"/>
      <c r="BL85" s="1296"/>
      <c r="BM85" s="1296"/>
      <c r="BN85" s="1296"/>
      <c r="BO85" s="1296"/>
      <c r="BP85" s="1296"/>
      <c r="BQ85" s="1296"/>
      <c r="BR85" s="1296"/>
      <c r="BS85" s="1296"/>
      <c r="BT85" s="1296"/>
      <c r="BU85" s="1296"/>
      <c r="BV85" s="1296"/>
      <c r="BW85" s="1296"/>
      <c r="BX85" s="1296"/>
      <c r="BY85" s="1296"/>
      <c r="BZ85" s="1296"/>
      <c r="CA85" s="1296"/>
      <c r="CB85" s="1296"/>
      <c r="CC85" s="1296"/>
      <c r="CD85" s="1296"/>
      <c r="CE85" s="1296"/>
      <c r="CF85" s="1296"/>
      <c r="CG85" s="1296"/>
      <c r="CH85" s="1296"/>
      <c r="CI85" s="1296"/>
      <c r="CJ85" s="1296"/>
      <c r="CK85" s="1296"/>
    </row>
    <row r="86" spans="1:89" x14ac:dyDescent="0.25">
      <c r="A86" s="1296"/>
      <c r="B86" s="1296"/>
      <c r="C86" s="1296"/>
      <c r="D86" s="1296"/>
      <c r="E86" s="1296"/>
      <c r="F86" s="1296"/>
      <c r="G86" s="1296"/>
      <c r="H86" s="1296"/>
      <c r="I86" s="1296"/>
      <c r="J86" s="1296"/>
      <c r="K86" s="1296"/>
      <c r="L86" s="1296"/>
      <c r="M86" s="1296"/>
      <c r="N86" s="1296"/>
      <c r="O86" s="1296"/>
      <c r="P86" s="1296"/>
      <c r="Q86" s="1296"/>
      <c r="R86" s="1296"/>
      <c r="S86" s="1296"/>
      <c r="T86" s="79"/>
      <c r="U86" s="1296"/>
      <c r="V86" s="1296"/>
      <c r="W86" s="1296"/>
      <c r="X86" s="1296"/>
      <c r="Y86" s="1296"/>
      <c r="Z86" s="1296"/>
      <c r="AA86" s="1296"/>
      <c r="AB86" s="1296"/>
      <c r="AC86" s="1296"/>
      <c r="AD86" s="1296"/>
      <c r="AE86" s="1296"/>
      <c r="AF86" s="1296"/>
      <c r="AG86" s="1296"/>
      <c r="AH86" s="1296"/>
      <c r="AI86" s="1296"/>
      <c r="AJ86" s="1296"/>
      <c r="AK86" s="1296"/>
      <c r="AL86" s="1296"/>
      <c r="AM86" s="1296"/>
      <c r="AN86" s="1296"/>
      <c r="AO86" s="1296"/>
      <c r="AP86" s="1296"/>
      <c r="AQ86" s="1296"/>
      <c r="AR86" s="1296"/>
      <c r="AS86" s="1296"/>
      <c r="AT86" s="1296"/>
      <c r="AU86" s="1296"/>
      <c r="AV86" s="1296"/>
      <c r="AW86" s="1296"/>
      <c r="AX86" s="1296"/>
      <c r="AY86" s="1296"/>
      <c r="AZ86" s="1296"/>
      <c r="BA86" s="1296"/>
      <c r="BB86" s="1296"/>
      <c r="BC86" s="1296"/>
      <c r="BD86" s="1296"/>
      <c r="BE86" s="1296"/>
      <c r="BF86" s="1296"/>
      <c r="BG86" s="1296"/>
      <c r="BH86" s="1296"/>
      <c r="BI86" s="1296"/>
      <c r="BJ86" s="1296"/>
      <c r="BK86" s="1296"/>
      <c r="BL86" s="1296"/>
      <c r="BM86" s="1296"/>
      <c r="BN86" s="1296"/>
      <c r="BO86" s="1296"/>
      <c r="BP86" s="1296"/>
      <c r="BQ86" s="1296"/>
      <c r="BR86" s="1296"/>
      <c r="BS86" s="1296"/>
      <c r="BT86" s="1296"/>
      <c r="BU86" s="1296"/>
      <c r="BV86" s="1296"/>
      <c r="BW86" s="1296"/>
      <c r="BX86" s="1296"/>
      <c r="BY86" s="1296"/>
      <c r="BZ86" s="1296"/>
      <c r="CA86" s="1296"/>
      <c r="CB86" s="1296"/>
      <c r="CC86" s="1296"/>
      <c r="CD86" s="1296"/>
      <c r="CE86" s="1296"/>
      <c r="CF86" s="1296"/>
      <c r="CG86" s="1296"/>
      <c r="CH86" s="1296"/>
      <c r="CI86" s="1296"/>
      <c r="CJ86" s="1296"/>
      <c r="CK86" s="1296"/>
    </row>
    <row r="87" spans="1:89" ht="15.75" thickBot="1" x14ac:dyDescent="0.3">
      <c r="A87" s="1296"/>
      <c r="B87" s="1296"/>
      <c r="C87" s="1296"/>
      <c r="D87" s="1296"/>
      <c r="E87" s="1296"/>
      <c r="F87" s="1296"/>
      <c r="G87" s="1296"/>
      <c r="H87" s="1296"/>
      <c r="I87" s="1296"/>
      <c r="J87" s="1296"/>
      <c r="K87" s="1296"/>
      <c r="L87" s="1296"/>
      <c r="M87" s="1296"/>
      <c r="N87" s="1296"/>
      <c r="O87" s="1296"/>
      <c r="P87" s="1296"/>
      <c r="Q87" s="1296"/>
      <c r="R87" s="1296"/>
      <c r="S87" s="1296"/>
      <c r="T87" s="1296"/>
      <c r="U87" s="1296"/>
      <c r="V87" s="1296"/>
      <c r="W87" s="1296"/>
      <c r="X87" s="1296"/>
      <c r="Y87" s="1296"/>
      <c r="Z87" s="1296"/>
      <c r="AA87" s="1296"/>
      <c r="AB87" s="1296"/>
      <c r="AC87" s="1296"/>
      <c r="AD87" s="1296"/>
      <c r="AE87" s="1296"/>
      <c r="AF87" s="1296"/>
      <c r="AG87" s="1296"/>
      <c r="AH87" s="1296"/>
      <c r="AI87" s="1296"/>
      <c r="AJ87" s="1296"/>
      <c r="AK87" s="1296"/>
      <c r="AL87" s="1296"/>
      <c r="AM87" s="1296"/>
      <c r="AN87" s="1296"/>
      <c r="AO87" s="1296"/>
      <c r="AP87" s="1296"/>
      <c r="AQ87" s="1296"/>
      <c r="AR87" s="1296"/>
      <c r="AS87" s="1296"/>
      <c r="AT87" s="1296"/>
      <c r="AU87" s="1296"/>
      <c r="AV87" s="1296"/>
      <c r="AW87" s="1296"/>
      <c r="AX87" s="1296"/>
      <c r="AY87" s="1296"/>
      <c r="AZ87" s="1296"/>
      <c r="BA87" s="1296"/>
      <c r="BB87" s="1296"/>
      <c r="BC87" s="1296"/>
      <c r="BD87" s="1296"/>
      <c r="BE87" s="1296"/>
      <c r="BF87" s="1296"/>
      <c r="BG87" s="1296"/>
      <c r="BH87" s="1296"/>
      <c r="BI87" s="1296"/>
      <c r="BJ87" s="1296"/>
      <c r="BK87" s="1296"/>
      <c r="BL87" s="1296"/>
      <c r="BM87" s="1296"/>
      <c r="BN87" s="1296"/>
      <c r="BO87" s="1296"/>
      <c r="BP87" s="1296"/>
      <c r="BQ87" s="1296"/>
      <c r="BR87" s="1296"/>
      <c r="BS87" s="1296"/>
      <c r="BT87" s="1296"/>
      <c r="BU87" s="1296"/>
      <c r="BV87" s="1296"/>
      <c r="BW87" s="1296"/>
      <c r="BX87" s="1296"/>
      <c r="BY87" s="1296"/>
      <c r="BZ87" s="1296"/>
      <c r="CA87" s="1296"/>
      <c r="CB87" s="1296"/>
      <c r="CC87" s="1296"/>
      <c r="CD87" s="1296"/>
      <c r="CE87" s="1296"/>
      <c r="CF87" s="1296"/>
      <c r="CG87" s="1296"/>
      <c r="CH87" s="1296"/>
      <c r="CI87" s="1296"/>
      <c r="CJ87" s="1296"/>
      <c r="CK87" s="1296"/>
    </row>
    <row r="88" spans="1:89" ht="39.75" customHeight="1" thickBot="1" x14ac:dyDescent="0.3">
      <c r="A88" s="1296"/>
      <c r="B88" s="1182"/>
      <c r="C88" s="1177" t="s">
        <v>1400</v>
      </c>
      <c r="D88" s="1177" t="s">
        <v>1510</v>
      </c>
      <c r="E88" s="1177" t="s">
        <v>767</v>
      </c>
      <c r="F88" s="1177" t="s">
        <v>1515</v>
      </c>
      <c r="G88" s="1177" t="s">
        <v>1833</v>
      </c>
      <c r="H88" s="1178" t="s">
        <v>1834</v>
      </c>
      <c r="I88" s="1178" t="s">
        <v>1835</v>
      </c>
      <c r="J88" s="1177" t="s">
        <v>1857</v>
      </c>
      <c r="K88" s="1177" t="s">
        <v>1836</v>
      </c>
      <c r="L88" s="1178" t="s">
        <v>1414</v>
      </c>
      <c r="M88" s="1178" t="s">
        <v>1398</v>
      </c>
      <c r="N88" s="1177" t="s">
        <v>1399</v>
      </c>
      <c r="O88" s="1177" t="s">
        <v>722</v>
      </c>
      <c r="P88" s="1177" t="s">
        <v>723</v>
      </c>
      <c r="Q88" s="1178" t="s">
        <v>1514</v>
      </c>
      <c r="R88" s="1296"/>
      <c r="S88" s="1296"/>
      <c r="T88" s="1182"/>
      <c r="U88" s="1177" t="s">
        <v>1400</v>
      </c>
      <c r="V88" s="1177" t="s">
        <v>1510</v>
      </c>
      <c r="W88" s="1177" t="s">
        <v>767</v>
      </c>
      <c r="X88" s="1177" t="s">
        <v>1515</v>
      </c>
      <c r="Y88" s="1177" t="s">
        <v>1833</v>
      </c>
      <c r="Z88" s="1178" t="s">
        <v>1834</v>
      </c>
      <c r="AA88" s="1178" t="s">
        <v>1835</v>
      </c>
      <c r="AB88" s="1177" t="s">
        <v>1857</v>
      </c>
      <c r="AC88" s="1177" t="s">
        <v>1836</v>
      </c>
      <c r="AD88" s="1178" t="s">
        <v>1414</v>
      </c>
      <c r="AE88" s="1178" t="s">
        <v>1398</v>
      </c>
      <c r="AF88" s="1177" t="s">
        <v>1399</v>
      </c>
      <c r="AG88" s="1177" t="s">
        <v>722</v>
      </c>
      <c r="AH88" s="1177" t="s">
        <v>723</v>
      </c>
      <c r="AI88" s="1178" t="s">
        <v>1514</v>
      </c>
      <c r="AJ88" s="1296"/>
      <c r="AK88" s="1296"/>
      <c r="AL88" s="1296"/>
      <c r="AM88" s="1296"/>
      <c r="AN88" s="1296"/>
      <c r="AO88" s="1296"/>
      <c r="AP88" s="1296"/>
      <c r="AQ88" s="1296"/>
      <c r="AR88" s="1296"/>
      <c r="AS88" s="1296"/>
      <c r="AT88" s="1296"/>
      <c r="AU88" s="1296"/>
      <c r="AV88" s="1296"/>
      <c r="AW88" s="1296"/>
      <c r="AX88" s="1296"/>
      <c r="AY88" s="1296"/>
      <c r="AZ88" s="1296"/>
      <c r="BA88" s="1296"/>
      <c r="BB88" s="1296"/>
      <c r="BC88" s="1296"/>
      <c r="BD88" s="1296"/>
      <c r="BE88" s="1296"/>
      <c r="BF88" s="1296"/>
      <c r="BG88" s="1296"/>
      <c r="BH88" s="1296"/>
      <c r="BI88" s="1296"/>
      <c r="BJ88" s="1296"/>
      <c r="BK88" s="1296"/>
      <c r="BL88" s="1296"/>
      <c r="BM88" s="1296"/>
      <c r="BN88" s="1296"/>
      <c r="BO88" s="1296"/>
      <c r="BP88" s="1296"/>
      <c r="BQ88" s="1296"/>
      <c r="BR88" s="1296"/>
      <c r="BS88" s="1296"/>
      <c r="BT88" s="1296"/>
      <c r="BU88" s="1296"/>
      <c r="BV88" s="1296"/>
      <c r="BW88" s="1296"/>
      <c r="BX88" s="1296"/>
      <c r="BY88" s="1296"/>
      <c r="BZ88" s="1296"/>
      <c r="CA88" s="1296"/>
      <c r="CB88" s="1296"/>
      <c r="CC88" s="1296"/>
      <c r="CD88" s="1296"/>
      <c r="CE88" s="1296"/>
      <c r="CF88" s="1296"/>
      <c r="CG88" s="1296"/>
      <c r="CH88" s="1296"/>
      <c r="CI88" s="1296"/>
      <c r="CJ88" s="1296"/>
      <c r="CK88" s="1296"/>
    </row>
    <row r="89" spans="1:89" ht="72" customHeight="1" thickBot="1" x14ac:dyDescent="0.3">
      <c r="A89" s="1296"/>
      <c r="B89" s="1184" t="s">
        <v>1837</v>
      </c>
      <c r="C89" s="1185" t="s">
        <v>1541</v>
      </c>
      <c r="D89" s="1186">
        <v>5501</v>
      </c>
      <c r="E89" s="1181" t="s">
        <v>1909</v>
      </c>
      <c r="F89" s="1181" t="s">
        <v>1544</v>
      </c>
      <c r="G89" s="1179" t="str" cm="1">
        <f t="array" aca="1" ref="G89" ca="1">INDIRECT("'Incentives Worksheet'!P"&amp;'Configurable Tab'!H9+3)</f>
        <v>Same as Payout Cycle</v>
      </c>
      <c r="H89" s="1179" t="str" cm="1">
        <f t="array" aca="1" ref="H89" ca="1">IF(ISBLANK(INDIRECT("'Incentives Worksheet'!H"&amp;'Configurable Tab'!H9+3)),"",INDIRECT("'Incentives Worksheet'!H"&amp;'Configurable Tab'!H9+3))</f>
        <v/>
      </c>
      <c r="I89" s="1179" t="str" cm="1">
        <f t="array" aca="1" ref="I89" ca="1">IF(INDIRECT("'Incentives Worksheet'!R"&amp;'Configurable Tab'!H9+3)="USF Calendar","Fiscal",INDIRECT("'Incentives Worksheet'!R"&amp;'Configurable Tab'!H9+3))</f>
        <v>Fiscal</v>
      </c>
      <c r="J89" s="1179" t="str" cm="1">
        <f t="array" aca="1" ref="J89" ca="1">IF(INDIRECT("'Incentives Worksheet'!L"&amp;'Configurable Tab'!H9+9)="All"," Select All Products","Unselect All Products")</f>
        <v xml:space="preserve"> Select All Products</v>
      </c>
      <c r="K89" s="1179" t="str" cm="1">
        <f t="array" aca="1" ref="K89" ca="1">IF(INDIRECT("'Incentives Worksheet'!T"&amp;'Configurable Tab'!H9+3)="Yes","Post to GL","")</f>
        <v/>
      </c>
      <c r="L89" s="1179" t="str" cm="1">
        <f t="array" aca="1" ref="L89" ca="1">IF(ISBLANK(INDIRECT("'Incentives Worksheet'!L"&amp;'Configurable Tab'!H9+3)),"",INDIRECT("'Incentives Worksheet'!L"&amp;'Configurable Tab'!H9+3))</f>
        <v/>
      </c>
      <c r="M89" s="1179" t="str" cm="1">
        <f t="array" aca="1" ref="M89" ca="1">IF(ISBLANK(INDIRECT("'Incentives Worksheet'!J"&amp;'Configurable Tab'!H9+3)),"",INDIRECT("'Incentives Worksheet'!J"&amp;'Configurable Tab'!H9+3))</f>
        <v/>
      </c>
      <c r="N89" s="1179" t="str" cm="1">
        <f t="array" aca="1" ref="N89" ca="1">IF(ISBLANK(INDIRECT("'Incentives Worksheet'!N"&amp;'Configurable Tab'!H9+3)),"",INDIRECT("'Incentives Worksheet'!N"&amp;'Configurable Tab'!H9+3))</f>
        <v/>
      </c>
      <c r="O89" s="1180" t="str" cm="1">
        <f t="array" aca="1" ref="O89" ca="1">INDIRECT("'Incentives Worksheet'!D"&amp;'Configurable Tab'!H9+6)</f>
        <v/>
      </c>
      <c r="P89" s="1180" t="str" cm="1">
        <f t="array" aca="1" ref="P89" ca="1">INDIRECT("'Incentives Worksheet'!D"&amp;'Configurable Tab'!H9+8)</f>
        <v/>
      </c>
      <c r="Q89" s="1179" t="str" cm="1">
        <f t="array" aca="1" ref="Q89" ca="1">IF(INDIRECT("'Incentives Worksheet'!D"&amp;'Configurable Tab'!H9+10)="No","Update tracking dates",INDIRECT("'Incentives Worksheet'!D"&amp;'Configurable Tab'!H9+10))</f>
        <v>Yes</v>
      </c>
      <c r="R89" s="1296"/>
      <c r="S89" s="1296"/>
      <c r="T89" s="1184" t="s">
        <v>1837</v>
      </c>
      <c r="U89" s="1185" t="s">
        <v>1541</v>
      </c>
      <c r="V89" s="1186">
        <v>5502</v>
      </c>
      <c r="W89" s="1181" t="s">
        <v>1909</v>
      </c>
      <c r="X89" s="1181" t="s">
        <v>1544</v>
      </c>
      <c r="Y89" s="1179" t="str" cm="1">
        <f t="array" aca="1" ref="Y89" ca="1">INDIRECT("'Incentives Worksheet'!P"&amp;'Configurable Tab'!H10+3)</f>
        <v>Same as Payout Cycle</v>
      </c>
      <c r="Z89" s="1179" t="str" cm="1">
        <f t="array" aca="1" ref="Z89" ca="1">IF(ISBLANK(INDIRECT("'Incentives Worksheet'!H"&amp;'Configurable Tab'!H10+3)),"",INDIRECT("'Incentives Worksheet'!H"&amp;'Configurable Tab'!H10+3))</f>
        <v/>
      </c>
      <c r="AA89" s="1179" t="str" cm="1">
        <f t="array" aca="1" ref="AA89" ca="1">IF(INDIRECT("'Incentives Worksheet'!R"&amp;'Configurable Tab'!H10+3)="USF Calendar","Fiscal",INDIRECT("'Incentives Worksheet'!R"&amp;'Configurable Tab'!H10+3))</f>
        <v>Fiscal</v>
      </c>
      <c r="AB89" s="1179" t="str" cm="1">
        <f t="array" aca="1" ref="AB89" ca="1">IF(INDIRECT("'Incentives Worksheet'!L"&amp;'Configurable Tab'!H10+9)="All"," Select All Products","Unselect All Products")</f>
        <v xml:space="preserve"> Select All Products</v>
      </c>
      <c r="AC89" s="1179" t="str" cm="1">
        <f t="array" aca="1" ref="AC89" ca="1">IF(INDIRECT("'Incentives Worksheet'!T"&amp;'Configurable Tab'!H10+3)="Yes","Post to GL","")</f>
        <v/>
      </c>
      <c r="AD89" s="1179" t="str" cm="1">
        <f t="array" aca="1" ref="AD89" ca="1">IF(ISBLANK(INDIRECT("'Incentives Worksheet'!L"&amp;'Configurable Tab'!H10+3)),"",INDIRECT("'Incentives Worksheet'!L"&amp;'Configurable Tab'!H10+3))</f>
        <v/>
      </c>
      <c r="AE89" s="1179" t="str" cm="1">
        <f t="array" aca="1" ref="AE89" ca="1">IF(ISBLANK(INDIRECT("'Incentives Worksheet'!J"&amp;'Configurable Tab'!H10+3)),"",INDIRECT("'Incentives Worksheet'!J"&amp;'Configurable Tab'!H10+3))</f>
        <v/>
      </c>
      <c r="AF89" s="1179" t="str" cm="1">
        <f t="array" aca="1" ref="AF89" ca="1">IF(ISBLANK(INDIRECT("'Incentives Worksheet'!N"&amp;'Configurable Tab'!H10+3)),"",INDIRECT("'Incentives Worksheet'!N"&amp;'Configurable Tab'!H10+3))</f>
        <v/>
      </c>
      <c r="AG89" s="1180" t="str" cm="1">
        <f t="array" aca="1" ref="AG89" ca="1">INDIRECT("'Incentives Worksheet'!D"&amp;'Configurable Tab'!H10+6)</f>
        <v/>
      </c>
      <c r="AH89" s="1180" t="str" cm="1">
        <f t="array" aca="1" ref="AH89" ca="1">INDIRECT("'Incentives Worksheet'!D"&amp;'Configurable Tab'!H10+8)</f>
        <v/>
      </c>
      <c r="AI89" s="1179" t="str" cm="1">
        <f t="array" aca="1" ref="AI89" ca="1">IF(INDIRECT("'Incentives Worksheet'!D"&amp;'Configurable Tab'!H10+10)="No","Update tracking dates",INDIRECT("'Incentives Worksheet'!D"&amp;'Configurable Tab'!H10+10))</f>
        <v>Yes</v>
      </c>
      <c r="AJ89" s="1296"/>
      <c r="AK89" s="1296"/>
      <c r="AL89" s="1296"/>
      <c r="AM89" s="1296"/>
      <c r="AN89" s="1296"/>
      <c r="AO89" s="1296"/>
      <c r="AP89" s="1296"/>
      <c r="AQ89" s="1296"/>
      <c r="AR89" s="1296"/>
      <c r="AS89" s="1296"/>
      <c r="AT89" s="1296"/>
      <c r="AU89" s="1296"/>
      <c r="AV89" s="1296"/>
      <c r="AW89" s="1296"/>
      <c r="AX89" s="1296"/>
      <c r="AY89" s="1296"/>
      <c r="AZ89" s="1296"/>
      <c r="BA89" s="1296"/>
      <c r="BB89" s="1296"/>
      <c r="BC89" s="1296"/>
      <c r="BD89" s="1296"/>
      <c r="BE89" s="1296"/>
      <c r="BF89" s="1296"/>
      <c r="BG89" s="1296"/>
      <c r="BH89" s="1296"/>
      <c r="BI89" s="1296"/>
      <c r="BJ89" s="1296"/>
      <c r="BK89" s="1296"/>
      <c r="BL89" s="1296"/>
      <c r="BM89" s="1296"/>
      <c r="BN89" s="1296"/>
      <c r="BO89" s="1296"/>
      <c r="BP89" s="1296"/>
      <c r="BQ89" s="1296"/>
      <c r="BR89" s="1296"/>
      <c r="BS89" s="1296"/>
      <c r="BT89" s="1296"/>
      <c r="BU89" s="1296"/>
      <c r="BV89" s="1296"/>
      <c r="BW89" s="1296"/>
      <c r="BX89" s="1296"/>
      <c r="BY89" s="1296"/>
      <c r="BZ89" s="1296"/>
      <c r="CA89" s="1296"/>
      <c r="CB89" s="1296"/>
      <c r="CC89" s="1296"/>
      <c r="CD89" s="1296"/>
      <c r="CE89" s="1296"/>
      <c r="CF89" s="1296"/>
      <c r="CG89" s="1296"/>
      <c r="CH89" s="1296"/>
      <c r="CI89" s="1296"/>
      <c r="CJ89" s="1296"/>
      <c r="CK89" s="1296"/>
    </row>
    <row r="90" spans="1:89" ht="90.75" customHeight="1" thickBot="1" x14ac:dyDescent="0.3">
      <c r="A90" s="1296"/>
      <c r="B90" s="1719" t="s">
        <v>1869</v>
      </c>
      <c r="C90" s="1210" t="s">
        <v>1870</v>
      </c>
      <c r="D90" s="1178" t="s">
        <v>1376</v>
      </c>
      <c r="E90" s="1177" t="s">
        <v>1861</v>
      </c>
      <c r="F90" s="1177" t="s">
        <v>1871</v>
      </c>
      <c r="G90" s="1211" t="s">
        <v>1864</v>
      </c>
      <c r="H90" s="1259" t="s">
        <v>1864</v>
      </c>
      <c r="I90" s="1212"/>
      <c r="J90" s="1212"/>
      <c r="K90" s="1212"/>
      <c r="L90" s="1212"/>
      <c r="M90" s="1212"/>
      <c r="N90" s="1212"/>
      <c r="O90" s="1212"/>
      <c r="P90" s="1212"/>
      <c r="Q90" s="1213"/>
      <c r="R90" s="1296"/>
      <c r="S90" s="1296"/>
      <c r="T90" s="1719" t="s">
        <v>1869</v>
      </c>
      <c r="U90" s="1210" t="s">
        <v>1870</v>
      </c>
      <c r="V90" s="1178" t="s">
        <v>1376</v>
      </c>
      <c r="W90" s="1177" t="s">
        <v>1861</v>
      </c>
      <c r="X90" s="1177" t="s">
        <v>1871</v>
      </c>
      <c r="Y90" s="1215" t="s">
        <v>1864</v>
      </c>
      <c r="Z90" s="1259" t="s">
        <v>1864</v>
      </c>
      <c r="AA90" s="1212"/>
      <c r="AB90" s="1212"/>
      <c r="AC90" s="1212"/>
      <c r="AD90" s="1212"/>
      <c r="AE90" s="1212"/>
      <c r="AF90" s="1212"/>
      <c r="AG90" s="1212"/>
      <c r="AH90" s="1212"/>
      <c r="AI90" s="1213"/>
      <c r="AJ90" s="1296"/>
      <c r="AK90" s="1296"/>
      <c r="AL90" s="1296"/>
      <c r="AM90" s="1296"/>
      <c r="AN90" s="1296"/>
      <c r="AO90" s="1296"/>
      <c r="AP90" s="1296"/>
      <c r="AQ90" s="1296"/>
      <c r="AR90" s="1296"/>
      <c r="AS90" s="1296"/>
      <c r="AT90" s="1296"/>
      <c r="AU90" s="1296"/>
      <c r="AV90" s="1296"/>
      <c r="AW90" s="1296"/>
      <c r="AX90" s="1296"/>
      <c r="AY90" s="1296"/>
      <c r="AZ90" s="1296"/>
      <c r="BA90" s="1296"/>
      <c r="BB90" s="1296"/>
      <c r="BC90" s="1296"/>
      <c r="BD90" s="1296"/>
      <c r="BE90" s="1296"/>
      <c r="BF90" s="1296"/>
      <c r="BG90" s="1296"/>
      <c r="BH90" s="1296"/>
      <c r="BI90" s="1296"/>
      <c r="BJ90" s="1296"/>
      <c r="BK90" s="1296"/>
      <c r="BL90" s="1296"/>
      <c r="BM90" s="1296"/>
      <c r="BN90" s="1296"/>
      <c r="BO90" s="1296"/>
      <c r="BP90" s="1296"/>
      <c r="BQ90" s="1296"/>
      <c r="BR90" s="1296"/>
      <c r="BS90" s="1296"/>
      <c r="BT90" s="1296"/>
      <c r="BU90" s="1296"/>
      <c r="BV90" s="1296"/>
      <c r="BW90" s="1296"/>
      <c r="BX90" s="1296"/>
      <c r="BY90" s="1296"/>
      <c r="BZ90" s="1296"/>
      <c r="CA90" s="1296"/>
      <c r="CB90" s="1296"/>
      <c r="CC90" s="1296"/>
      <c r="CD90" s="1296"/>
      <c r="CE90" s="1296"/>
      <c r="CF90" s="1296"/>
      <c r="CG90" s="1296"/>
      <c r="CH90" s="1296"/>
      <c r="CI90" s="1296"/>
      <c r="CJ90" s="1296"/>
      <c r="CK90" s="1296"/>
    </row>
    <row r="91" spans="1:89" ht="15.75" thickBot="1" x14ac:dyDescent="0.3">
      <c r="A91" s="1296"/>
      <c r="B91" s="1726"/>
      <c r="C91" s="1260" t="str" cm="1">
        <f t="array" aca="1" ref="C91" ca="1">INDIRECT("'Incentives Worksheet'!T"&amp;'Configurable Tab'!H9+6)</f>
        <v>Average</v>
      </c>
      <c r="D91" s="1245" t="str" cm="1">
        <f t="array" aca="1" ref="D91" ca="1">IF(INDIRECT("'Incentives Worksheet'!J"&amp;'Configurable Tab'!H9+9)="All","All Customers","Individual")</f>
        <v>All Customers</v>
      </c>
      <c r="E91" s="1245" t="str" cm="1">
        <f t="array" aca="1" ref="E91" ca="1">IF(INDIRECT("'Incentives Worksheet'!L"&amp;'Configurable Tab'!H9+6)&lt;&gt;0,INDIRECT("'Incentives Worksheet'!L"&amp;'Configurable Tab'!H9+6),"")</f>
        <v/>
      </c>
      <c r="F91" s="1245" t="s">
        <v>1901</v>
      </c>
      <c r="G91" s="1247" t="str" cm="1">
        <f t="array" aca="1" ref="G91" ca="1">INDIRECT("'Incentives Worksheet'!N"&amp;'Configurable Tab'!H9+6)</f>
        <v>%</v>
      </c>
      <c r="H91" s="1188"/>
      <c r="I91" s="1188"/>
      <c r="J91" s="1188"/>
      <c r="K91" s="1188"/>
      <c r="L91" s="1188"/>
      <c r="M91" s="1188"/>
      <c r="N91" s="1188"/>
      <c r="O91" s="1188"/>
      <c r="P91" s="1188"/>
      <c r="Q91" s="138"/>
      <c r="R91" s="1296"/>
      <c r="S91" s="1296"/>
      <c r="T91" s="1726"/>
      <c r="U91" s="1245" t="str" cm="1">
        <f t="array" aca="1" ref="U91" ca="1">INDIRECT("'Incentives Worksheet'!T"&amp;'Configurable Tab'!H10+6)</f>
        <v>Average</v>
      </c>
      <c r="V91" s="1246" t="str" cm="1">
        <f t="array" aca="1" ref="V91" ca="1">IF(INDIRECT("'Incentives Worksheet'!J"&amp;'Configurable Tab'!H10+9)="All","All Customers","Individual")</f>
        <v>All Customers</v>
      </c>
      <c r="W91" s="1246" t="str" cm="1">
        <f t="array" aca="1" ref="W91" ca="1">IF(INDIRECT("'Incentives Worksheet'!L"&amp;'Configurable Tab'!H10+6)&lt;&gt;0,INDIRECT("'Incentives Worksheet'!L"&amp;'Configurable Tab'!H10+6),"")</f>
        <v/>
      </c>
      <c r="X91" s="1246" t="s">
        <v>1901</v>
      </c>
      <c r="Y91" s="1247" t="str" cm="1">
        <f t="array" aca="1" ref="Y91" ca="1">INDIRECT("'Incentives Worksheet'!N"&amp;'Configurable Tab'!H10+6)</f>
        <v>%</v>
      </c>
      <c r="Z91" s="1188"/>
      <c r="AA91" s="1188"/>
      <c r="AB91" s="1188"/>
      <c r="AC91" s="1188"/>
      <c r="AD91" s="1188"/>
      <c r="AE91" s="1188"/>
      <c r="AF91" s="1188"/>
      <c r="AG91" s="1188"/>
      <c r="AH91" s="1188"/>
      <c r="AI91" s="138"/>
      <c r="AJ91" s="1296"/>
      <c r="AK91" s="1296"/>
      <c r="AL91" s="1296"/>
      <c r="AM91" s="1296"/>
      <c r="AN91" s="1296"/>
      <c r="AO91" s="1296"/>
      <c r="AP91" s="1296"/>
      <c r="AQ91" s="1296"/>
      <c r="AR91" s="1296"/>
      <c r="AS91" s="1296"/>
      <c r="AT91" s="1296"/>
      <c r="AU91" s="1296"/>
      <c r="AV91" s="1296"/>
      <c r="AW91" s="1296"/>
      <c r="AX91" s="1296"/>
      <c r="AY91" s="1296"/>
      <c r="AZ91" s="1296"/>
      <c r="BA91" s="1296"/>
      <c r="BB91" s="1296"/>
      <c r="BC91" s="1296"/>
      <c r="BD91" s="1296"/>
      <c r="BE91" s="1296"/>
      <c r="BF91" s="1296"/>
      <c r="BG91" s="1296"/>
      <c r="BH91" s="1296"/>
      <c r="BI91" s="1296"/>
      <c r="BJ91" s="1296"/>
      <c r="BK91" s="1296"/>
      <c r="BL91" s="1296"/>
      <c r="BM91" s="1296"/>
      <c r="BN91" s="1296"/>
      <c r="BO91" s="1296"/>
      <c r="BP91" s="1296"/>
      <c r="BQ91" s="1296"/>
      <c r="BR91" s="1296"/>
      <c r="BS91" s="1296"/>
      <c r="BT91" s="1296"/>
      <c r="BU91" s="1296"/>
      <c r="BV91" s="1296"/>
      <c r="BW91" s="1296"/>
      <c r="BX91" s="1296"/>
      <c r="BY91" s="1296"/>
      <c r="BZ91" s="1296"/>
      <c r="CA91" s="1296"/>
      <c r="CB91" s="1296"/>
      <c r="CC91" s="1296"/>
      <c r="CD91" s="1296"/>
      <c r="CE91" s="1296"/>
      <c r="CF91" s="1296"/>
      <c r="CG91" s="1296"/>
      <c r="CH91" s="1296"/>
      <c r="CI91" s="1296"/>
      <c r="CJ91" s="1296"/>
      <c r="CK91" s="1296"/>
    </row>
    <row r="92" spans="1:89" x14ac:dyDescent="0.25">
      <c r="A92" s="1296"/>
      <c r="B92" s="1721"/>
      <c r="C92" s="1220" t="s">
        <v>1868</v>
      </c>
      <c r="D92" s="1221" t="s">
        <v>126</v>
      </c>
      <c r="E92" s="1222" t="s">
        <v>128</v>
      </c>
      <c r="F92" s="1223" t="s">
        <v>1110</v>
      </c>
      <c r="G92" s="1188"/>
      <c r="H92" s="1188"/>
      <c r="I92" s="1188"/>
      <c r="J92" s="1188"/>
      <c r="K92" s="1188"/>
      <c r="L92" s="1188"/>
      <c r="M92" s="1188"/>
      <c r="N92" s="1188"/>
      <c r="O92" s="1188"/>
      <c r="P92" s="1188"/>
      <c r="Q92" s="1189"/>
      <c r="R92" s="1296"/>
      <c r="S92" s="1296"/>
      <c r="T92" s="1726"/>
      <c r="U92" s="1248" t="s">
        <v>1868</v>
      </c>
      <c r="V92" s="1249" t="s">
        <v>126</v>
      </c>
      <c r="W92" s="1227" t="s">
        <v>128</v>
      </c>
      <c r="X92" s="1227" t="s">
        <v>1110</v>
      </c>
      <c r="Y92" s="1188"/>
      <c r="Z92" s="1188"/>
      <c r="AA92" s="1188"/>
      <c r="AB92" s="1188"/>
      <c r="AC92" s="1188"/>
      <c r="AD92" s="1188"/>
      <c r="AE92" s="1188"/>
      <c r="AF92" s="1188"/>
      <c r="AG92" s="1188"/>
      <c r="AH92" s="1188"/>
      <c r="AI92" s="1189"/>
      <c r="AJ92" s="1296"/>
      <c r="AK92" s="1296"/>
      <c r="AL92" s="1296"/>
      <c r="AM92" s="1296"/>
      <c r="AN92" s="1296"/>
      <c r="AO92" s="1296"/>
      <c r="AP92" s="1296"/>
      <c r="AQ92" s="1296"/>
      <c r="AR92" s="1296"/>
      <c r="AS92" s="1296"/>
      <c r="AT92" s="1296"/>
      <c r="AU92" s="1296"/>
      <c r="AV92" s="1296"/>
      <c r="AW92" s="1296"/>
      <c r="AX92" s="1296"/>
      <c r="AY92" s="1296"/>
      <c r="AZ92" s="1296"/>
      <c r="BA92" s="1296"/>
      <c r="BB92" s="1296"/>
      <c r="BC92" s="1296"/>
      <c r="BD92" s="1296"/>
      <c r="BE92" s="1296"/>
      <c r="BF92" s="1296"/>
      <c r="BG92" s="1296"/>
      <c r="BH92" s="1296"/>
      <c r="BI92" s="1296"/>
      <c r="BJ92" s="1296"/>
      <c r="BK92" s="1296"/>
      <c r="BL92" s="1296"/>
      <c r="BM92" s="1296"/>
      <c r="BN92" s="1296"/>
      <c r="BO92" s="1296"/>
      <c r="BP92" s="1296"/>
      <c r="BQ92" s="1296"/>
      <c r="BR92" s="1296"/>
      <c r="BS92" s="1296"/>
      <c r="BT92" s="1296"/>
      <c r="BU92" s="1296"/>
      <c r="BV92" s="1296"/>
      <c r="BW92" s="1296"/>
      <c r="BX92" s="1296"/>
      <c r="BY92" s="1296"/>
      <c r="BZ92" s="1296"/>
      <c r="CA92" s="1296"/>
      <c r="CB92" s="1296"/>
      <c r="CC92" s="1296"/>
      <c r="CD92" s="1296"/>
      <c r="CE92" s="1296"/>
      <c r="CF92" s="1296"/>
      <c r="CG92" s="1296"/>
      <c r="CH92" s="1296"/>
      <c r="CI92" s="1296"/>
      <c r="CJ92" s="1296"/>
      <c r="CK92" s="1296"/>
    </row>
    <row r="93" spans="1:89" x14ac:dyDescent="0.25">
      <c r="A93" s="1296"/>
      <c r="B93" s="1721"/>
      <c r="C93" s="1228">
        <v>0</v>
      </c>
      <c r="D93" s="1229" t="str" cm="1">
        <f t="array" aca="1" ref="D93" ca="1">IF(INDIRECT("'Incentives Worksheet'!H"&amp;'Configurable Tab'!H9+6)&lt;&gt;0,0,"")</f>
        <v/>
      </c>
      <c r="E93" s="1230" t="str" cm="1">
        <f t="array" aca="1" ref="E93" ca="1">IF(INDIRECT("'Incentives Worksheet'!H"&amp;'Configurable Tab'!H9+6)&lt;&gt;0,INDIRECT("'Incentives Worksheet'!H"&amp;'Configurable Tab'!H9+6)-0.01,"")</f>
        <v/>
      </c>
      <c r="F93" s="1231" t="str" cm="1">
        <f t="array" aca="1" ref="F93" ca="1">IF(INDIRECT("'Incentives Worksheet'!H"&amp;'Configurable Tab'!H9+6)&lt;&gt;0,0,"")</f>
        <v/>
      </c>
      <c r="G93" s="1188"/>
      <c r="H93" s="1188"/>
      <c r="I93" s="1188"/>
      <c r="J93" s="1188"/>
      <c r="K93" s="1188"/>
      <c r="L93" s="1188"/>
      <c r="M93" s="1188"/>
      <c r="N93" s="1188"/>
      <c r="O93" s="1188"/>
      <c r="P93" s="1188"/>
      <c r="Q93" s="1189"/>
      <c r="R93" s="1296"/>
      <c r="S93" s="1296"/>
      <c r="T93" s="1721"/>
      <c r="U93" s="1232">
        <v>0</v>
      </c>
      <c r="V93" s="1204" t="str" cm="1">
        <f t="array" aca="1" ref="V93" ca="1">IF(INDIRECT("'Incentives Worksheet'!H"&amp;'Configurable Tab'!H10+6)&lt;&gt;0,0,"")</f>
        <v/>
      </c>
      <c r="W93" s="1261" t="str" cm="1">
        <f t="array" aca="1" ref="W93" ca="1">IF(INDIRECT("'Incentives Worksheet'!H"&amp;'Configurable Tab'!H10+6)&lt;&gt;0,INDIRECT("'Incentives Worksheet'!H"&amp;'Configurable Tab'!H10+6)-0.01,"")</f>
        <v/>
      </c>
      <c r="X93" s="1233" t="str" cm="1">
        <f t="array" aca="1" ref="X93" ca="1">IF(INDIRECT("'Incentives Worksheet'!H"&amp;'Configurable Tab'!H10+6)&lt;&gt;0,0,"")</f>
        <v/>
      </c>
      <c r="Y93" s="1188"/>
      <c r="Z93" s="1188"/>
      <c r="AA93" s="1188"/>
      <c r="AB93" s="1188"/>
      <c r="AC93" s="1188"/>
      <c r="AD93" s="1188"/>
      <c r="AE93" s="1188"/>
      <c r="AF93" s="1188"/>
      <c r="AG93" s="1188"/>
      <c r="AH93" s="1188"/>
      <c r="AI93" s="1189"/>
      <c r="AJ93" s="1296"/>
      <c r="AK93" s="1296"/>
      <c r="AL93" s="1296"/>
      <c r="AM93" s="1296"/>
      <c r="AN93" s="1296"/>
      <c r="AO93" s="1296"/>
      <c r="AP93" s="1296"/>
      <c r="AQ93" s="1296"/>
      <c r="AR93" s="1296"/>
      <c r="AS93" s="1296"/>
      <c r="AT93" s="1296"/>
      <c r="AU93" s="1296"/>
      <c r="AV93" s="1296"/>
      <c r="AW93" s="1296"/>
      <c r="AX93" s="1296"/>
      <c r="AY93" s="1296"/>
      <c r="AZ93" s="1296"/>
      <c r="BA93" s="1296"/>
      <c r="BB93" s="1296"/>
      <c r="BC93" s="1296"/>
      <c r="BD93" s="1296"/>
      <c r="BE93" s="1296"/>
      <c r="BF93" s="1296"/>
      <c r="BG93" s="1296"/>
      <c r="BH93" s="1296"/>
      <c r="BI93" s="1296"/>
      <c r="BJ93" s="1296"/>
      <c r="BK93" s="1296"/>
      <c r="BL93" s="1296"/>
      <c r="BM93" s="1296"/>
      <c r="BN93" s="1296"/>
      <c r="BO93" s="1296"/>
      <c r="BP93" s="1296"/>
      <c r="BQ93" s="1296"/>
      <c r="BR93" s="1296"/>
      <c r="BS93" s="1296"/>
      <c r="BT93" s="1296"/>
      <c r="BU93" s="1296"/>
      <c r="BV93" s="1296"/>
      <c r="BW93" s="1296"/>
      <c r="BX93" s="1296"/>
      <c r="BY93" s="1296"/>
      <c r="BZ93" s="1296"/>
      <c r="CA93" s="1296"/>
      <c r="CB93" s="1296"/>
      <c r="CC93" s="1296"/>
      <c r="CD93" s="1296"/>
      <c r="CE93" s="1296"/>
      <c r="CF93" s="1296"/>
      <c r="CG93" s="1296"/>
      <c r="CH93" s="1296"/>
      <c r="CI93" s="1296"/>
      <c r="CJ93" s="1296"/>
      <c r="CK93" s="1296"/>
    </row>
    <row r="94" spans="1:89" ht="15.75" thickBot="1" x14ac:dyDescent="0.3">
      <c r="A94" s="1296"/>
      <c r="B94" s="1721"/>
      <c r="C94" s="1234">
        <v>1</v>
      </c>
      <c r="D94" s="1253" t="str" cm="1">
        <f t="array" aca="1" ref="D94" ca="1">IF(INDIRECT("'Incentives Worksheet'!H"&amp;'Configurable Tab'!H9+6)="","",INDIRECT("'Incentives Worksheet'!H"&amp;'Configurable Tab'!H9+6))</f>
        <v/>
      </c>
      <c r="E94" s="1236" t="str" cm="1">
        <f t="array" aca="1" ref="E94" ca="1">IF(INDIRECT("'Incentives Worksheet'!J"&amp;'Configurable Tab'!H9+6)="","",INDIRECT("'Incentives Worksheet'!J"&amp;'Configurable Tab'!H9+6))</f>
        <v/>
      </c>
      <c r="F94" s="1254" t="str" cm="1">
        <f t="array" aca="1" ref="F94" ca="1">IF(INDIRECT("'Incentives Worksheet'!L"&amp;'Configurable Tab'!H9+6)="","",INDIRECT("'Incentives Worksheet'!L"&amp;'Configurable Tab'!H9+6))</f>
        <v/>
      </c>
      <c r="G94" s="1188"/>
      <c r="H94" s="1188"/>
      <c r="I94" s="1188"/>
      <c r="J94" s="1188"/>
      <c r="K94" s="1188"/>
      <c r="L94" s="1188"/>
      <c r="M94" s="1188"/>
      <c r="N94" s="1188"/>
      <c r="O94" s="1188"/>
      <c r="P94" s="1188"/>
      <c r="Q94" s="1189"/>
      <c r="R94" s="1296"/>
      <c r="S94" s="1296"/>
      <c r="T94" s="1721"/>
      <c r="U94" s="1234">
        <v>1</v>
      </c>
      <c r="V94" s="1253" t="str" cm="1">
        <f t="array" aca="1" ref="V94" ca="1">IF(INDIRECT("'Incentives Worksheet'!H"&amp;'Configurable Tab'!H10+6)="","",INDIRECT("'Incentives Worksheet'!H"&amp;'Configurable Tab'!H10+6))</f>
        <v/>
      </c>
      <c r="W94" s="1236" t="str" cm="1">
        <f t="array" aca="1" ref="W94" ca="1">IF(INDIRECT("'Incentives Worksheet'!J"&amp;'Configurable Tab'!H10+6)="","",INDIRECT("'Incentives Worksheet'!J"&amp;'Configurable Tab'!H10+6))</f>
        <v/>
      </c>
      <c r="X94" s="1254" t="str" cm="1">
        <f t="array" aca="1" ref="X94" ca="1">IF(INDIRECT("'Incentives Worksheet'!L"&amp;'Configurable Tab'!H10+6)="","",INDIRECT("'Incentives Worksheet'!L"&amp;'Configurable Tab'!H10+6))</f>
        <v/>
      </c>
      <c r="Y94" s="1188"/>
      <c r="Z94" s="1188"/>
      <c r="AA94" s="1188"/>
      <c r="AB94" s="1188"/>
      <c r="AC94" s="1188"/>
      <c r="AD94" s="1188"/>
      <c r="AE94" s="1188"/>
      <c r="AF94" s="1188"/>
      <c r="AG94" s="1188"/>
      <c r="AH94" s="1188"/>
      <c r="AI94" s="1189"/>
      <c r="AJ94" s="1296"/>
      <c r="AK94" s="1296"/>
      <c r="AL94" s="1296"/>
      <c r="AM94" s="1296"/>
      <c r="AN94" s="1296"/>
      <c r="AO94" s="1296"/>
      <c r="AP94" s="1296"/>
      <c r="AQ94" s="1296"/>
      <c r="AR94" s="1296"/>
      <c r="AS94" s="1296"/>
      <c r="AT94" s="1296"/>
      <c r="AU94" s="1296"/>
      <c r="AV94" s="1296"/>
      <c r="AW94" s="1296"/>
      <c r="AX94" s="1296"/>
      <c r="AY94" s="1296"/>
      <c r="AZ94" s="1296"/>
      <c r="BA94" s="1296"/>
      <c r="BB94" s="1296"/>
      <c r="BC94" s="1296"/>
      <c r="BD94" s="1296"/>
      <c r="BE94" s="1296"/>
      <c r="BF94" s="1296"/>
      <c r="BG94" s="1296"/>
      <c r="BH94" s="1296"/>
      <c r="BI94" s="1296"/>
      <c r="BJ94" s="1296"/>
      <c r="BK94" s="1296"/>
      <c r="BL94" s="1296"/>
      <c r="BM94" s="1296"/>
      <c r="BN94" s="1296"/>
      <c r="BO94" s="1296"/>
      <c r="BP94" s="1296"/>
      <c r="BQ94" s="1296"/>
      <c r="BR94" s="1296"/>
      <c r="BS94" s="1296"/>
      <c r="BT94" s="1296"/>
      <c r="BU94" s="1296"/>
      <c r="BV94" s="1296"/>
      <c r="BW94" s="1296"/>
      <c r="BX94" s="1296"/>
      <c r="BY94" s="1296"/>
      <c r="BZ94" s="1296"/>
      <c r="CA94" s="1296"/>
      <c r="CB94" s="1296"/>
      <c r="CC94" s="1296"/>
      <c r="CD94" s="1296"/>
      <c r="CE94" s="1296"/>
      <c r="CF94" s="1296"/>
      <c r="CG94" s="1296"/>
      <c r="CH94" s="1296"/>
      <c r="CI94" s="1296"/>
      <c r="CJ94" s="1296"/>
      <c r="CK94" s="1296"/>
    </row>
    <row r="95" spans="1:89" ht="15.75" customHeight="1" thickBot="1" x14ac:dyDescent="0.3">
      <c r="A95" s="1296"/>
      <c r="B95" s="1719" t="s">
        <v>1842</v>
      </c>
      <c r="C95" s="1241" t="s">
        <v>1843</v>
      </c>
      <c r="D95" s="1242" t="s">
        <v>131</v>
      </c>
      <c r="E95" s="1242" t="s">
        <v>1844</v>
      </c>
      <c r="F95" s="1296"/>
      <c r="G95" s="1296"/>
      <c r="H95" s="1296"/>
      <c r="I95" s="1296"/>
      <c r="J95" s="1296"/>
      <c r="K95" s="1296"/>
      <c r="L95" s="1296"/>
      <c r="M95" s="1296"/>
      <c r="N95" s="1296"/>
      <c r="O95" s="1296"/>
      <c r="P95" s="1296"/>
      <c r="Q95" s="138"/>
      <c r="R95" s="1296"/>
      <c r="S95" s="1296"/>
      <c r="T95" s="1719" t="s">
        <v>1842</v>
      </c>
      <c r="U95" s="1241" t="s">
        <v>1843</v>
      </c>
      <c r="V95" s="1242" t="s">
        <v>131</v>
      </c>
      <c r="W95" s="1242" t="s">
        <v>1844</v>
      </c>
      <c r="X95" s="1296"/>
      <c r="Y95" s="1296"/>
      <c r="Z95" s="1296"/>
      <c r="AA95" s="1296"/>
      <c r="AB95" s="1296"/>
      <c r="AC95" s="1296"/>
      <c r="AD95" s="1296"/>
      <c r="AE95" s="1296"/>
      <c r="AF95" s="1296"/>
      <c r="AG95" s="1296"/>
      <c r="AH95" s="1296"/>
      <c r="AI95" s="138"/>
      <c r="AJ95" s="1296"/>
      <c r="AK95" s="1296"/>
      <c r="AL95" s="1296"/>
      <c r="AM95" s="1296"/>
      <c r="AN95" s="1296"/>
      <c r="AO95" s="1296"/>
      <c r="AP95" s="1296"/>
      <c r="AQ95" s="1296"/>
      <c r="AR95" s="1296"/>
      <c r="AS95" s="1296"/>
      <c r="AT95" s="1296"/>
      <c r="AU95" s="1296"/>
      <c r="AV95" s="1296"/>
      <c r="AW95" s="1296"/>
      <c r="AX95" s="1296"/>
      <c r="AY95" s="1296"/>
      <c r="AZ95" s="1296"/>
      <c r="BA95" s="1296"/>
      <c r="BB95" s="1296"/>
      <c r="BC95" s="1296"/>
      <c r="BD95" s="1296"/>
      <c r="BE95" s="1296"/>
      <c r="BF95" s="1296"/>
      <c r="BG95" s="1296"/>
      <c r="BH95" s="1296"/>
      <c r="BI95" s="1296"/>
      <c r="BJ95" s="1296"/>
      <c r="BK95" s="1296"/>
      <c r="BL95" s="1296"/>
      <c r="BM95" s="1296"/>
      <c r="BN95" s="1296"/>
      <c r="BO95" s="1296"/>
      <c r="BP95" s="1296"/>
      <c r="BQ95" s="1296"/>
      <c r="BR95" s="1296"/>
      <c r="BS95" s="1296"/>
      <c r="BT95" s="1296"/>
      <c r="BU95" s="1296"/>
      <c r="BV95" s="1296"/>
      <c r="BW95" s="1296"/>
      <c r="BX95" s="1296"/>
      <c r="BY95" s="1296"/>
      <c r="BZ95" s="1296"/>
      <c r="CA95" s="1296"/>
      <c r="CB95" s="1296"/>
      <c r="CC95" s="1296"/>
      <c r="CD95" s="1296"/>
      <c r="CE95" s="1296"/>
      <c r="CF95" s="1296"/>
      <c r="CG95" s="1296"/>
      <c r="CH95" s="1296"/>
      <c r="CI95" s="1296"/>
      <c r="CJ95" s="1296"/>
      <c r="CK95" s="1296"/>
    </row>
    <row r="96" spans="1:89" x14ac:dyDescent="0.25">
      <c r="A96" s="1296"/>
      <c r="B96" s="1726"/>
      <c r="C96" s="1193" t="s">
        <v>1845</v>
      </c>
      <c r="D96" s="1193" t="s">
        <v>1846</v>
      </c>
      <c r="E96" s="1194"/>
      <c r="F96" s="1296"/>
      <c r="G96" s="1296"/>
      <c r="H96" s="1296"/>
      <c r="I96" s="1296"/>
      <c r="J96" s="1296"/>
      <c r="K96" s="1296"/>
      <c r="L96" s="1296"/>
      <c r="M96" s="1296"/>
      <c r="N96" s="1296"/>
      <c r="O96" s="1296"/>
      <c r="P96" s="1296"/>
      <c r="Q96" s="138"/>
      <c r="R96" s="1296"/>
      <c r="S96" s="1296"/>
      <c r="T96" s="1726"/>
      <c r="U96" s="1193" t="s">
        <v>1845</v>
      </c>
      <c r="V96" s="1193" t="s">
        <v>1846</v>
      </c>
      <c r="W96" s="1194"/>
      <c r="X96" s="1296"/>
      <c r="Y96" s="1296"/>
      <c r="Z96" s="1296"/>
      <c r="AA96" s="1296"/>
      <c r="AB96" s="1296"/>
      <c r="AC96" s="1296"/>
      <c r="AD96" s="1296"/>
      <c r="AE96" s="1296"/>
      <c r="AF96" s="1296"/>
      <c r="AG96" s="1296"/>
      <c r="AH96" s="1296"/>
      <c r="AI96" s="138"/>
      <c r="AJ96" s="1296"/>
      <c r="AK96" s="1296"/>
      <c r="AL96" s="1296"/>
      <c r="AM96" s="1296"/>
      <c r="AN96" s="1296"/>
      <c r="AO96" s="1296"/>
      <c r="AP96" s="1296"/>
      <c r="AQ96" s="1296"/>
      <c r="AR96" s="1296"/>
      <c r="AS96" s="1296"/>
      <c r="AT96" s="1296"/>
      <c r="AU96" s="1296"/>
      <c r="AV96" s="1296"/>
      <c r="AW96" s="1296"/>
      <c r="AX96" s="1296"/>
      <c r="AY96" s="1296"/>
      <c r="AZ96" s="1296"/>
      <c r="BA96" s="1296"/>
      <c r="BB96" s="1296"/>
      <c r="BC96" s="1296"/>
      <c r="BD96" s="1296"/>
      <c r="BE96" s="1296"/>
      <c r="BF96" s="1296"/>
      <c r="BG96" s="1296"/>
      <c r="BH96" s="1296"/>
      <c r="BI96" s="1296"/>
      <c r="BJ96" s="1296"/>
      <c r="BK96" s="1296"/>
      <c r="BL96" s="1296"/>
      <c r="BM96" s="1296"/>
      <c r="BN96" s="1296"/>
      <c r="BO96" s="1296"/>
      <c r="BP96" s="1296"/>
      <c r="BQ96" s="1296"/>
      <c r="BR96" s="1296"/>
      <c r="BS96" s="1296"/>
      <c r="BT96" s="1296"/>
      <c r="BU96" s="1296"/>
      <c r="BV96" s="1296"/>
      <c r="BW96" s="1296"/>
      <c r="BX96" s="1296"/>
      <c r="BY96" s="1296"/>
      <c r="BZ96" s="1296"/>
      <c r="CA96" s="1296"/>
      <c r="CB96" s="1296"/>
      <c r="CC96" s="1296"/>
      <c r="CD96" s="1296"/>
      <c r="CE96" s="1296"/>
      <c r="CF96" s="1296"/>
      <c r="CG96" s="1296"/>
      <c r="CH96" s="1296"/>
      <c r="CI96" s="1296"/>
      <c r="CJ96" s="1296"/>
      <c r="CK96" s="1296"/>
    </row>
    <row r="97" spans="1:89" x14ac:dyDescent="0.25">
      <c r="A97" s="1296"/>
      <c r="B97" s="1726"/>
      <c r="C97" s="1195" t="s">
        <v>1845</v>
      </c>
      <c r="D97" s="1195" t="s">
        <v>1847</v>
      </c>
      <c r="E97" s="1196" t="s">
        <v>1848</v>
      </c>
      <c r="F97" s="1296"/>
      <c r="G97" s="1296"/>
      <c r="H97" s="1296"/>
      <c r="I97" s="1296"/>
      <c r="J97" s="1296"/>
      <c r="K97" s="1296"/>
      <c r="L97" s="1296"/>
      <c r="M97" s="1296"/>
      <c r="N97" s="1296"/>
      <c r="O97" s="1296"/>
      <c r="P97" s="1296"/>
      <c r="Q97" s="138"/>
      <c r="R97" s="1296"/>
      <c r="S97" s="1296"/>
      <c r="T97" s="1726"/>
      <c r="U97" s="1195" t="s">
        <v>1845</v>
      </c>
      <c r="V97" s="1195" t="s">
        <v>1847</v>
      </c>
      <c r="W97" s="1196" t="s">
        <v>1848</v>
      </c>
      <c r="X97" s="1296"/>
      <c r="Y97" s="1296"/>
      <c r="Z97" s="1296"/>
      <c r="AA97" s="1296"/>
      <c r="AB97" s="1296"/>
      <c r="AC97" s="1296"/>
      <c r="AD97" s="1296"/>
      <c r="AE97" s="1296"/>
      <c r="AF97" s="1296"/>
      <c r="AG97" s="1296"/>
      <c r="AH97" s="1296"/>
      <c r="AI97" s="138"/>
      <c r="AJ97" s="1296"/>
      <c r="AK97" s="1296"/>
      <c r="AL97" s="1296"/>
      <c r="AM97" s="1296"/>
      <c r="AN97" s="1296"/>
      <c r="AO97" s="1296"/>
      <c r="AP97" s="1296"/>
      <c r="AQ97" s="1296"/>
      <c r="AR97" s="1296"/>
      <c r="AS97" s="1296"/>
      <c r="AT97" s="1296"/>
      <c r="AU97" s="1296"/>
      <c r="AV97" s="1296"/>
      <c r="AW97" s="1296"/>
      <c r="AX97" s="1296"/>
      <c r="AY97" s="1296"/>
      <c r="AZ97" s="1296"/>
      <c r="BA97" s="1296"/>
      <c r="BB97" s="1296"/>
      <c r="BC97" s="1296"/>
      <c r="BD97" s="1296"/>
      <c r="BE97" s="1296"/>
      <c r="BF97" s="1296"/>
      <c r="BG97" s="1296"/>
      <c r="BH97" s="1296"/>
      <c r="BI97" s="1296"/>
      <c r="BJ97" s="1296"/>
      <c r="BK97" s="1296"/>
      <c r="BL97" s="1296"/>
      <c r="BM97" s="1296"/>
      <c r="BN97" s="1296"/>
      <c r="BO97" s="1296"/>
      <c r="BP97" s="1296"/>
      <c r="BQ97" s="1296"/>
      <c r="BR97" s="1296"/>
      <c r="BS97" s="1296"/>
      <c r="BT97" s="1296"/>
      <c r="BU97" s="1296"/>
      <c r="BV97" s="1296"/>
      <c r="BW97" s="1296"/>
      <c r="BX97" s="1296"/>
      <c r="BY97" s="1296"/>
      <c r="BZ97" s="1296"/>
      <c r="CA97" s="1296"/>
      <c r="CB97" s="1296"/>
      <c r="CC97" s="1296"/>
      <c r="CD97" s="1296"/>
      <c r="CE97" s="1296"/>
      <c r="CF97" s="1296"/>
      <c r="CG97" s="1296"/>
      <c r="CH97" s="1296"/>
      <c r="CI97" s="1296"/>
      <c r="CJ97" s="1296"/>
      <c r="CK97" s="1296"/>
    </row>
    <row r="98" spans="1:89" x14ac:dyDescent="0.25">
      <c r="A98" s="1296"/>
      <c r="B98" s="1726"/>
      <c r="C98" s="1195" t="s">
        <v>1845</v>
      </c>
      <c r="D98" s="1195" t="s">
        <v>1849</v>
      </c>
      <c r="E98" s="1196" t="s">
        <v>1718</v>
      </c>
      <c r="F98" s="1296"/>
      <c r="G98" s="1296"/>
      <c r="H98" s="1296"/>
      <c r="I98" s="1296"/>
      <c r="J98" s="1296"/>
      <c r="K98" s="1296"/>
      <c r="L98" s="1296"/>
      <c r="M98" s="1296"/>
      <c r="N98" s="1296"/>
      <c r="O98" s="1296"/>
      <c r="P98" s="1296"/>
      <c r="Q98" s="138"/>
      <c r="R98" s="1296"/>
      <c r="S98" s="1296"/>
      <c r="T98" s="1726"/>
      <c r="U98" s="1195" t="s">
        <v>1845</v>
      </c>
      <c r="V98" s="1195" t="s">
        <v>1849</v>
      </c>
      <c r="W98" s="1196" t="s">
        <v>1718</v>
      </c>
      <c r="X98" s="1296"/>
      <c r="Y98" s="1296"/>
      <c r="Z98" s="1296"/>
      <c r="AA98" s="1296"/>
      <c r="AB98" s="1296"/>
      <c r="AC98" s="1296"/>
      <c r="AD98" s="1296"/>
      <c r="AE98" s="1296"/>
      <c r="AF98" s="1296"/>
      <c r="AG98" s="1296"/>
      <c r="AH98" s="1296"/>
      <c r="AI98" s="138"/>
      <c r="AJ98" s="1296"/>
      <c r="AK98" s="1296"/>
      <c r="AL98" s="1296"/>
      <c r="AM98" s="1296"/>
      <c r="AN98" s="1296"/>
      <c r="AO98" s="1296"/>
      <c r="AP98" s="1296"/>
      <c r="AQ98" s="1296"/>
      <c r="AR98" s="1296"/>
      <c r="AS98" s="1296"/>
      <c r="AT98" s="1296"/>
      <c r="AU98" s="1296"/>
      <c r="AV98" s="1296"/>
      <c r="AW98" s="1296"/>
      <c r="AX98" s="1296"/>
      <c r="AY98" s="1296"/>
      <c r="AZ98" s="1296"/>
      <c r="BA98" s="1296"/>
      <c r="BB98" s="1296"/>
      <c r="BC98" s="1296"/>
      <c r="BD98" s="1296"/>
      <c r="BE98" s="1296"/>
      <c r="BF98" s="1296"/>
      <c r="BG98" s="1296"/>
      <c r="BH98" s="1296"/>
      <c r="BI98" s="1296"/>
      <c r="BJ98" s="1296"/>
      <c r="BK98" s="1296"/>
      <c r="BL98" s="1296"/>
      <c r="BM98" s="1296"/>
      <c r="BN98" s="1296"/>
      <c r="BO98" s="1296"/>
      <c r="BP98" s="1296"/>
      <c r="BQ98" s="1296"/>
      <c r="BR98" s="1296"/>
      <c r="BS98" s="1296"/>
      <c r="BT98" s="1296"/>
      <c r="BU98" s="1296"/>
      <c r="BV98" s="1296"/>
      <c r="BW98" s="1296"/>
      <c r="BX98" s="1296"/>
      <c r="BY98" s="1296"/>
      <c r="BZ98" s="1296"/>
      <c r="CA98" s="1296"/>
      <c r="CB98" s="1296"/>
      <c r="CC98" s="1296"/>
      <c r="CD98" s="1296"/>
      <c r="CE98" s="1296"/>
      <c r="CF98" s="1296"/>
      <c r="CG98" s="1296"/>
      <c r="CH98" s="1296"/>
      <c r="CI98" s="1296"/>
      <c r="CJ98" s="1296"/>
      <c r="CK98" s="1296"/>
    </row>
    <row r="99" spans="1:89" ht="15.75" thickBot="1" x14ac:dyDescent="0.3">
      <c r="A99" s="1296"/>
      <c r="B99" s="1725"/>
      <c r="C99" s="1197" t="s">
        <v>1845</v>
      </c>
      <c r="D99" s="1197" t="s">
        <v>1850</v>
      </c>
      <c r="E99" s="1198" t="s">
        <v>1851</v>
      </c>
      <c r="F99" s="1296"/>
      <c r="G99" s="1296"/>
      <c r="H99" s="1296"/>
      <c r="I99" s="1296"/>
      <c r="J99" s="1296"/>
      <c r="K99" s="1296"/>
      <c r="L99" s="1296"/>
      <c r="M99" s="1296"/>
      <c r="N99" s="1296"/>
      <c r="O99" s="1296"/>
      <c r="P99" s="1296"/>
      <c r="Q99" s="138"/>
      <c r="R99" s="1296"/>
      <c r="S99" s="1296"/>
      <c r="T99" s="1725"/>
      <c r="U99" s="1197" t="s">
        <v>1845</v>
      </c>
      <c r="V99" s="1197" t="s">
        <v>1850</v>
      </c>
      <c r="W99" s="1198" t="s">
        <v>1851</v>
      </c>
      <c r="X99" s="1296"/>
      <c r="Y99" s="1296"/>
      <c r="Z99" s="1296"/>
      <c r="AA99" s="1296"/>
      <c r="AB99" s="1296"/>
      <c r="AC99" s="1296"/>
      <c r="AD99" s="1296"/>
      <c r="AE99" s="1296"/>
      <c r="AF99" s="1296"/>
      <c r="AG99" s="1296"/>
      <c r="AH99" s="1296"/>
      <c r="AI99" s="138"/>
      <c r="AJ99" s="1296"/>
      <c r="AK99" s="1296"/>
      <c r="AL99" s="1296"/>
      <c r="AM99" s="1296"/>
      <c r="AN99" s="1296"/>
      <c r="AO99" s="1296"/>
      <c r="AP99" s="1296"/>
      <c r="AQ99" s="1296"/>
      <c r="AR99" s="1296"/>
      <c r="AS99" s="1296"/>
      <c r="AT99" s="1296"/>
      <c r="AU99" s="1296"/>
      <c r="AV99" s="1296"/>
      <c r="AW99" s="1296"/>
      <c r="AX99" s="1296"/>
      <c r="AY99" s="1296"/>
      <c r="AZ99" s="1296"/>
      <c r="BA99" s="1296"/>
      <c r="BB99" s="1296"/>
      <c r="BC99" s="1296"/>
      <c r="BD99" s="1296"/>
      <c r="BE99" s="1296"/>
      <c r="BF99" s="1296"/>
      <c r="BG99" s="1296"/>
      <c r="BH99" s="1296"/>
      <c r="BI99" s="1296"/>
      <c r="BJ99" s="1296"/>
      <c r="BK99" s="1296"/>
      <c r="BL99" s="1296"/>
      <c r="BM99" s="1296"/>
      <c r="BN99" s="1296"/>
      <c r="BO99" s="1296"/>
      <c r="BP99" s="1296"/>
      <c r="BQ99" s="1296"/>
      <c r="BR99" s="1296"/>
      <c r="BS99" s="1296"/>
      <c r="BT99" s="1296"/>
      <c r="BU99" s="1296"/>
      <c r="BV99" s="1296"/>
      <c r="BW99" s="1296"/>
      <c r="BX99" s="1296"/>
      <c r="BY99" s="1296"/>
      <c r="BZ99" s="1296"/>
      <c r="CA99" s="1296"/>
      <c r="CB99" s="1296"/>
      <c r="CC99" s="1296"/>
      <c r="CD99" s="1296"/>
      <c r="CE99" s="1296"/>
      <c r="CF99" s="1296"/>
      <c r="CG99" s="1296"/>
      <c r="CH99" s="1296"/>
      <c r="CI99" s="1296"/>
      <c r="CJ99" s="1296"/>
      <c r="CK99" s="1296"/>
    </row>
    <row r="100" spans="1:89" ht="15.75" customHeight="1" thickBot="1" x14ac:dyDescent="0.3">
      <c r="A100" s="1296"/>
      <c r="B100" s="1719" t="s">
        <v>1852</v>
      </c>
      <c r="C100" s="1258" t="s">
        <v>1853</v>
      </c>
      <c r="D100" s="1200" t="s">
        <v>1843</v>
      </c>
      <c r="E100" s="1200" t="s">
        <v>131</v>
      </c>
      <c r="F100" s="1200" t="s">
        <v>1844</v>
      </c>
      <c r="G100" s="1200" t="s">
        <v>1854</v>
      </c>
      <c r="H100" s="1201" t="s">
        <v>1855</v>
      </c>
      <c r="I100" s="1202" t="s">
        <v>767</v>
      </c>
      <c r="J100" s="1202" t="s">
        <v>768</v>
      </c>
      <c r="K100" s="1202" t="s">
        <v>769</v>
      </c>
      <c r="L100" s="1202" t="s">
        <v>770</v>
      </c>
      <c r="M100" s="1202" t="s">
        <v>204</v>
      </c>
      <c r="N100" s="1296"/>
      <c r="O100" s="1296"/>
      <c r="P100" s="1296"/>
      <c r="Q100" s="138"/>
      <c r="R100" s="1296"/>
      <c r="S100" s="1296"/>
      <c r="T100" s="1719" t="s">
        <v>1852</v>
      </c>
      <c r="U100" s="1258" t="s">
        <v>1853</v>
      </c>
      <c r="V100" s="1200" t="s">
        <v>1843</v>
      </c>
      <c r="W100" s="1200" t="s">
        <v>131</v>
      </c>
      <c r="X100" s="1200" t="s">
        <v>1844</v>
      </c>
      <c r="Y100" s="1200" t="s">
        <v>1854</v>
      </c>
      <c r="Z100" s="1201" t="s">
        <v>1855</v>
      </c>
      <c r="AA100" s="1202" t="s">
        <v>767</v>
      </c>
      <c r="AB100" s="1202" t="s">
        <v>768</v>
      </c>
      <c r="AC100" s="1202" t="s">
        <v>769</v>
      </c>
      <c r="AD100" s="1202" t="s">
        <v>770</v>
      </c>
      <c r="AE100" s="1202" t="s">
        <v>204</v>
      </c>
      <c r="AF100" s="1296"/>
      <c r="AG100" s="1296"/>
      <c r="AH100" s="1296"/>
      <c r="AI100" s="138"/>
      <c r="AJ100" s="1296"/>
      <c r="AK100" s="1296"/>
      <c r="AL100" s="1296"/>
      <c r="AM100" s="1296"/>
      <c r="AN100" s="1296"/>
      <c r="AO100" s="1296"/>
      <c r="AP100" s="1296"/>
      <c r="AQ100" s="1296"/>
      <c r="AR100" s="1296"/>
      <c r="AS100" s="1296"/>
      <c r="AT100" s="1296"/>
      <c r="AU100" s="1296"/>
      <c r="AV100" s="1296"/>
      <c r="AW100" s="1296"/>
      <c r="AX100" s="1296"/>
      <c r="AY100" s="1296"/>
      <c r="AZ100" s="1296"/>
      <c r="BA100" s="1296"/>
      <c r="BB100" s="1296"/>
      <c r="BC100" s="1296"/>
      <c r="BD100" s="1296"/>
      <c r="BE100" s="1296"/>
      <c r="BF100" s="1296"/>
      <c r="BG100" s="1296"/>
      <c r="BH100" s="1296"/>
      <c r="BI100" s="1296"/>
      <c r="BJ100" s="1296"/>
      <c r="BK100" s="1296"/>
      <c r="BL100" s="1296"/>
      <c r="BM100" s="1296"/>
      <c r="BN100" s="1296"/>
      <c r="BO100" s="1296"/>
      <c r="BP100" s="1296"/>
      <c r="BQ100" s="1296"/>
      <c r="BR100" s="1296"/>
      <c r="BS100" s="1296"/>
      <c r="BT100" s="1296"/>
      <c r="BU100" s="1296"/>
      <c r="BV100" s="1296"/>
      <c r="BW100" s="1296"/>
      <c r="BX100" s="1296"/>
      <c r="BY100" s="1296"/>
      <c r="BZ100" s="1296"/>
      <c r="CA100" s="1296"/>
      <c r="CB100" s="1296"/>
      <c r="CC100" s="1296"/>
      <c r="CD100" s="1296"/>
      <c r="CE100" s="1296"/>
      <c r="CF100" s="1296"/>
      <c r="CG100" s="1296"/>
      <c r="CH100" s="1296"/>
      <c r="CI100" s="1296"/>
      <c r="CJ100" s="1296"/>
      <c r="CK100" s="1296"/>
    </row>
    <row r="101" spans="1:89" x14ac:dyDescent="0.25">
      <c r="A101" s="1296"/>
      <c r="B101" s="1721"/>
      <c r="C101" s="1199">
        <v>1</v>
      </c>
      <c r="D101" s="1196" t="s">
        <v>1856</v>
      </c>
      <c r="E101" s="1196" t="s">
        <v>1444</v>
      </c>
      <c r="F101" s="1196" t="str">
        <f>'Required Info to Submit'!E23</f>
        <v/>
      </c>
      <c r="G101" s="1393" t="str">
        <f>IF(F101="","",'Required Info to Submit'!K23)</f>
        <v/>
      </c>
      <c r="H101" s="1394" t="str">
        <f>IF(F101="","",'Required Info to Submit'!L23)</f>
        <v/>
      </c>
      <c r="I101" s="1196" t="str">
        <f>'Required Info to Submit'!F23</f>
        <v/>
      </c>
      <c r="J101" s="1196" t="str">
        <f>'Required Info to Submit'!G23</f>
        <v/>
      </c>
      <c r="K101" s="1196" t="str">
        <f>'Required Info to Submit'!H23</f>
        <v/>
      </c>
      <c r="L101" s="1196" t="str">
        <f>'Required Info to Submit'!I23</f>
        <v/>
      </c>
      <c r="M101" s="1196" t="str">
        <f>'Required Info to Submit'!J23</f>
        <v/>
      </c>
      <c r="N101" s="1296"/>
      <c r="O101" s="1296"/>
      <c r="P101" s="1296"/>
      <c r="Q101" s="138"/>
      <c r="R101" s="1296"/>
      <c r="S101" s="1296"/>
      <c r="T101" s="1721"/>
      <c r="U101" s="1199">
        <v>1</v>
      </c>
      <c r="V101" s="1196" t="s">
        <v>1856</v>
      </c>
      <c r="W101" s="1196" t="s">
        <v>1444</v>
      </c>
      <c r="X101" s="1196" t="str">
        <f>'Required Info to Submit'!E23</f>
        <v/>
      </c>
      <c r="Y101" s="1393" t="str">
        <f>IF(X101="","",'Required Info to Submit'!K23)</f>
        <v/>
      </c>
      <c r="Z101" s="1394" t="str">
        <f>IF(X101="","",'Required Info to Submit'!L23)</f>
        <v/>
      </c>
      <c r="AA101" s="1196" t="str">
        <f>'Required Info to Submit'!F23</f>
        <v/>
      </c>
      <c r="AB101" s="1196" t="str">
        <f>'Required Info to Submit'!G23</f>
        <v/>
      </c>
      <c r="AC101" s="1196" t="str">
        <f>'Required Info to Submit'!H23</f>
        <v/>
      </c>
      <c r="AD101" s="1196" t="str">
        <f>'Required Info to Submit'!I23</f>
        <v/>
      </c>
      <c r="AE101" s="1196" t="str">
        <f>'Required Info to Submit'!J23</f>
        <v/>
      </c>
      <c r="AF101" s="1296"/>
      <c r="AG101" s="1296"/>
      <c r="AH101" s="1296"/>
      <c r="AI101" s="138"/>
      <c r="AJ101" s="1296"/>
      <c r="AK101" s="1296"/>
      <c r="AL101" s="1296"/>
      <c r="AM101" s="1296"/>
      <c r="AN101" s="1296"/>
      <c r="AO101" s="1296"/>
      <c r="AP101" s="1296"/>
      <c r="AQ101" s="1296"/>
      <c r="AR101" s="1296"/>
      <c r="AS101" s="1296"/>
      <c r="AT101" s="1296"/>
      <c r="AU101" s="1296"/>
      <c r="AV101" s="1296"/>
      <c r="AW101" s="1296"/>
      <c r="AX101" s="1296"/>
      <c r="AY101" s="1296"/>
      <c r="AZ101" s="1296"/>
      <c r="BA101" s="1296"/>
      <c r="BB101" s="1296"/>
      <c r="BC101" s="1296"/>
      <c r="BD101" s="1296"/>
      <c r="BE101" s="1296"/>
      <c r="BF101" s="1296"/>
      <c r="BG101" s="1296"/>
      <c r="BH101" s="1296"/>
      <c r="BI101" s="1296"/>
      <c r="BJ101" s="1296"/>
      <c r="BK101" s="1296"/>
      <c r="BL101" s="1296"/>
      <c r="BM101" s="1296"/>
      <c r="BN101" s="1296"/>
      <c r="BO101" s="1296"/>
      <c r="BP101" s="1296"/>
      <c r="BQ101" s="1296"/>
      <c r="BR101" s="1296"/>
      <c r="BS101" s="1296"/>
      <c r="BT101" s="1296"/>
      <c r="BU101" s="1296"/>
      <c r="BV101" s="1296"/>
      <c r="BW101" s="1296"/>
      <c r="BX101" s="1296"/>
      <c r="BY101" s="1296"/>
      <c r="BZ101" s="1296"/>
      <c r="CA101" s="1296"/>
      <c r="CB101" s="1296"/>
      <c r="CC101" s="1296"/>
      <c r="CD101" s="1296"/>
      <c r="CE101" s="1296"/>
      <c r="CF101" s="1296"/>
      <c r="CG101" s="1296"/>
      <c r="CH101" s="1296"/>
      <c r="CI101" s="1296"/>
      <c r="CJ101" s="1296"/>
      <c r="CK101" s="1296"/>
    </row>
    <row r="102" spans="1:89" x14ac:dyDescent="0.25">
      <c r="A102" s="1296"/>
      <c r="B102" s="1721"/>
      <c r="C102" s="1205">
        <v>2</v>
      </c>
      <c r="D102" s="1196" t="s">
        <v>1856</v>
      </c>
      <c r="E102" s="1196" t="s">
        <v>1444</v>
      </c>
      <c r="F102" s="1196" t="str">
        <f>'Required Info to Submit'!E24</f>
        <v/>
      </c>
      <c r="G102" s="1393" t="str">
        <f>IF(F102="","",'Required Info to Submit'!K24)</f>
        <v/>
      </c>
      <c r="H102" s="1394" t="str">
        <f>IF(F102="","",'Required Info to Submit'!L24)</f>
        <v/>
      </c>
      <c r="I102" s="1196" t="str">
        <f>'Required Info to Submit'!F24</f>
        <v/>
      </c>
      <c r="J102" s="1196" t="str">
        <f>'Required Info to Submit'!G24</f>
        <v/>
      </c>
      <c r="K102" s="1196" t="str">
        <f>'Required Info to Submit'!H24</f>
        <v/>
      </c>
      <c r="L102" s="1196" t="str">
        <f>'Required Info to Submit'!I24</f>
        <v/>
      </c>
      <c r="M102" s="1196" t="str">
        <f>'Required Info to Submit'!J24</f>
        <v/>
      </c>
      <c r="N102" s="1296"/>
      <c r="O102" s="1296"/>
      <c r="P102" s="1296"/>
      <c r="Q102" s="138"/>
      <c r="R102" s="1296"/>
      <c r="S102" s="1296"/>
      <c r="T102" s="1721"/>
      <c r="U102" s="1205">
        <v>2</v>
      </c>
      <c r="V102" s="1196" t="s">
        <v>1856</v>
      </c>
      <c r="W102" s="1196" t="s">
        <v>1444</v>
      </c>
      <c r="X102" s="1196" t="str">
        <f>'Required Info to Submit'!E24</f>
        <v/>
      </c>
      <c r="Y102" s="1393" t="str">
        <f>IF(X102="","",'Required Info to Submit'!K24)</f>
        <v/>
      </c>
      <c r="Z102" s="1394" t="str">
        <f>IF(X102="","",'Required Info to Submit'!L24)</f>
        <v/>
      </c>
      <c r="AA102" s="1196" t="str">
        <f>'Required Info to Submit'!F24</f>
        <v/>
      </c>
      <c r="AB102" s="1196" t="str">
        <f>'Required Info to Submit'!G24</f>
        <v/>
      </c>
      <c r="AC102" s="1196" t="str">
        <f>'Required Info to Submit'!H24</f>
        <v/>
      </c>
      <c r="AD102" s="1196" t="str">
        <f>'Required Info to Submit'!I24</f>
        <v/>
      </c>
      <c r="AE102" s="1196" t="str">
        <f>'Required Info to Submit'!J24</f>
        <v/>
      </c>
      <c r="AF102" s="1296"/>
      <c r="AG102" s="1296"/>
      <c r="AH102" s="1296"/>
      <c r="AI102" s="138"/>
      <c r="AJ102" s="1296"/>
      <c r="AK102" s="1296"/>
      <c r="AL102" s="1296"/>
      <c r="AM102" s="1296"/>
      <c r="AN102" s="1296"/>
      <c r="AO102" s="1296"/>
      <c r="AP102" s="1296"/>
      <c r="AQ102" s="1296"/>
      <c r="AR102" s="1296"/>
      <c r="AS102" s="1296"/>
      <c r="AT102" s="1296"/>
      <c r="AU102" s="1296"/>
      <c r="AV102" s="1296"/>
      <c r="AW102" s="1296"/>
      <c r="AX102" s="1296"/>
      <c r="AY102" s="1296"/>
      <c r="AZ102" s="1296"/>
      <c r="BA102" s="1296"/>
      <c r="BB102" s="1296"/>
      <c r="BC102" s="1296"/>
      <c r="BD102" s="1296"/>
      <c r="BE102" s="1296"/>
      <c r="BF102" s="1296"/>
      <c r="BG102" s="1296"/>
      <c r="BH102" s="1296"/>
      <c r="BI102" s="1296"/>
      <c r="BJ102" s="1296"/>
      <c r="BK102" s="1296"/>
      <c r="BL102" s="1296"/>
      <c r="BM102" s="1296"/>
      <c r="BN102" s="1296"/>
      <c r="BO102" s="1296"/>
      <c r="BP102" s="1296"/>
      <c r="BQ102" s="1296"/>
      <c r="BR102" s="1296"/>
      <c r="BS102" s="1296"/>
      <c r="BT102" s="1296"/>
      <c r="BU102" s="1296"/>
      <c r="BV102" s="1296"/>
      <c r="BW102" s="1296"/>
      <c r="BX102" s="1296"/>
      <c r="BY102" s="1296"/>
      <c r="BZ102" s="1296"/>
      <c r="CA102" s="1296"/>
      <c r="CB102" s="1296"/>
      <c r="CC102" s="1296"/>
      <c r="CD102" s="1296"/>
      <c r="CE102" s="1296"/>
      <c r="CF102" s="1296"/>
      <c r="CG102" s="1296"/>
      <c r="CH102" s="1296"/>
      <c r="CI102" s="1296"/>
      <c r="CJ102" s="1296"/>
      <c r="CK102" s="1296"/>
    </row>
    <row r="103" spans="1:89" x14ac:dyDescent="0.25">
      <c r="A103" s="1296"/>
      <c r="B103" s="1721"/>
      <c r="C103" s="1205">
        <v>3</v>
      </c>
      <c r="D103" s="1196" t="s">
        <v>1856</v>
      </c>
      <c r="E103" s="1196" t="s">
        <v>1444</v>
      </c>
      <c r="F103" s="1196" t="str">
        <f>'Required Info to Submit'!E25</f>
        <v/>
      </c>
      <c r="G103" s="1393" t="str">
        <f>IF(F103="","",'Required Info to Submit'!K25)</f>
        <v/>
      </c>
      <c r="H103" s="1394" t="str">
        <f>IF(F103="","",'Required Info to Submit'!L25)</f>
        <v/>
      </c>
      <c r="I103" s="1196" t="str">
        <f>'Required Info to Submit'!F25</f>
        <v/>
      </c>
      <c r="J103" s="1196" t="str">
        <f>'Required Info to Submit'!G25</f>
        <v/>
      </c>
      <c r="K103" s="1196" t="str">
        <f>'Required Info to Submit'!H25</f>
        <v/>
      </c>
      <c r="L103" s="1196" t="str">
        <f>'Required Info to Submit'!I25</f>
        <v/>
      </c>
      <c r="M103" s="1196" t="str">
        <f>'Required Info to Submit'!J25</f>
        <v/>
      </c>
      <c r="N103" s="1296"/>
      <c r="O103" s="1296"/>
      <c r="P103" s="1296"/>
      <c r="Q103" s="138"/>
      <c r="R103" s="1296"/>
      <c r="S103" s="1296"/>
      <c r="T103" s="1721"/>
      <c r="U103" s="1205">
        <v>3</v>
      </c>
      <c r="V103" s="1196" t="s">
        <v>1856</v>
      </c>
      <c r="W103" s="1196" t="s">
        <v>1444</v>
      </c>
      <c r="X103" s="1196" t="str">
        <f>'Required Info to Submit'!E25</f>
        <v/>
      </c>
      <c r="Y103" s="1393" t="str">
        <f>IF(X103="","",'Required Info to Submit'!K25)</f>
        <v/>
      </c>
      <c r="Z103" s="1394" t="str">
        <f>IF(X103="","",'Required Info to Submit'!L25)</f>
        <v/>
      </c>
      <c r="AA103" s="1196" t="str">
        <f>'Required Info to Submit'!F25</f>
        <v/>
      </c>
      <c r="AB103" s="1196" t="str">
        <f>'Required Info to Submit'!G25</f>
        <v/>
      </c>
      <c r="AC103" s="1196" t="str">
        <f>'Required Info to Submit'!H25</f>
        <v/>
      </c>
      <c r="AD103" s="1196" t="str">
        <f>'Required Info to Submit'!I25</f>
        <v/>
      </c>
      <c r="AE103" s="1196" t="str">
        <f>'Required Info to Submit'!J25</f>
        <v/>
      </c>
      <c r="AF103" s="1296"/>
      <c r="AG103" s="1296"/>
      <c r="AH103" s="1296"/>
      <c r="AI103" s="138"/>
      <c r="AJ103" s="1296"/>
      <c r="AK103" s="1296"/>
      <c r="AL103" s="1296"/>
      <c r="AM103" s="1296"/>
      <c r="AN103" s="1296"/>
      <c r="AO103" s="1296"/>
      <c r="AP103" s="1296"/>
      <c r="AQ103" s="1296"/>
      <c r="AR103" s="1296"/>
      <c r="AS103" s="1296"/>
      <c r="AT103" s="1296"/>
      <c r="AU103" s="1296"/>
      <c r="AV103" s="1296"/>
      <c r="AW103" s="1296"/>
      <c r="AX103" s="1296"/>
      <c r="AY103" s="1296"/>
      <c r="AZ103" s="1296"/>
      <c r="BA103" s="1296"/>
      <c r="BB103" s="1296"/>
      <c r="BC103" s="1296"/>
      <c r="BD103" s="1296"/>
      <c r="BE103" s="1296"/>
      <c r="BF103" s="1296"/>
      <c r="BG103" s="1296"/>
      <c r="BH103" s="1296"/>
      <c r="BI103" s="1296"/>
      <c r="BJ103" s="1296"/>
      <c r="BK103" s="1296"/>
      <c r="BL103" s="1296"/>
      <c r="BM103" s="1296"/>
      <c r="BN103" s="1296"/>
      <c r="BO103" s="1296"/>
      <c r="BP103" s="1296"/>
      <c r="BQ103" s="1296"/>
      <c r="BR103" s="1296"/>
      <c r="BS103" s="1296"/>
      <c r="BT103" s="1296"/>
      <c r="BU103" s="1296"/>
      <c r="BV103" s="1296"/>
      <c r="BW103" s="1296"/>
      <c r="BX103" s="1296"/>
      <c r="BY103" s="1296"/>
      <c r="BZ103" s="1296"/>
      <c r="CA103" s="1296"/>
      <c r="CB103" s="1296"/>
      <c r="CC103" s="1296"/>
      <c r="CD103" s="1296"/>
      <c r="CE103" s="1296"/>
      <c r="CF103" s="1296"/>
      <c r="CG103" s="1296"/>
      <c r="CH103" s="1296"/>
      <c r="CI103" s="1296"/>
      <c r="CJ103" s="1296"/>
      <c r="CK103" s="1296"/>
    </row>
    <row r="104" spans="1:89" x14ac:dyDescent="0.25">
      <c r="A104" s="1296"/>
      <c r="B104" s="1721"/>
      <c r="C104" s="1205">
        <v>4</v>
      </c>
      <c r="D104" s="1196" t="s">
        <v>1856</v>
      </c>
      <c r="E104" s="1196" t="s">
        <v>1444</v>
      </c>
      <c r="F104" s="1196" t="str">
        <f>'Required Info to Submit'!E26</f>
        <v/>
      </c>
      <c r="G104" s="1393" t="str">
        <f>IF(F104="","",'Required Info to Submit'!K26)</f>
        <v/>
      </c>
      <c r="H104" s="1394" t="str">
        <f>IF(F104="","",'Required Info to Submit'!L26)</f>
        <v/>
      </c>
      <c r="I104" s="1196" t="str">
        <f>'Required Info to Submit'!F26</f>
        <v/>
      </c>
      <c r="J104" s="1196" t="str">
        <f>'Required Info to Submit'!G26</f>
        <v/>
      </c>
      <c r="K104" s="1196" t="str">
        <f>'Required Info to Submit'!H26</f>
        <v/>
      </c>
      <c r="L104" s="1196" t="str">
        <f>'Required Info to Submit'!I26</f>
        <v/>
      </c>
      <c r="M104" s="1196" t="str">
        <f>'Required Info to Submit'!J26</f>
        <v/>
      </c>
      <c r="N104" s="1296"/>
      <c r="O104" s="1296"/>
      <c r="P104" s="1296"/>
      <c r="Q104" s="138"/>
      <c r="R104" s="1296"/>
      <c r="S104" s="1296"/>
      <c r="T104" s="1721"/>
      <c r="U104" s="1205">
        <v>4</v>
      </c>
      <c r="V104" s="1196" t="s">
        <v>1856</v>
      </c>
      <c r="W104" s="1196" t="s">
        <v>1444</v>
      </c>
      <c r="X104" s="1196" t="str">
        <f>'Required Info to Submit'!E26</f>
        <v/>
      </c>
      <c r="Y104" s="1393" t="str">
        <f>IF(X104="","",'Required Info to Submit'!K26)</f>
        <v/>
      </c>
      <c r="Z104" s="1394" t="str">
        <f>IF(X104="","",'Required Info to Submit'!L26)</f>
        <v/>
      </c>
      <c r="AA104" s="1196" t="str">
        <f>'Required Info to Submit'!F26</f>
        <v/>
      </c>
      <c r="AB104" s="1196" t="str">
        <f>'Required Info to Submit'!G26</f>
        <v/>
      </c>
      <c r="AC104" s="1196" t="str">
        <f>'Required Info to Submit'!H26</f>
        <v/>
      </c>
      <c r="AD104" s="1196" t="str">
        <f>'Required Info to Submit'!I26</f>
        <v/>
      </c>
      <c r="AE104" s="1196" t="str">
        <f>'Required Info to Submit'!J26</f>
        <v/>
      </c>
      <c r="AF104" s="1296"/>
      <c r="AG104" s="1296"/>
      <c r="AH104" s="1296"/>
      <c r="AI104" s="138"/>
      <c r="AJ104" s="1296"/>
      <c r="AK104" s="1296"/>
      <c r="AL104" s="1296"/>
      <c r="AM104" s="1296"/>
      <c r="AN104" s="1296"/>
      <c r="AO104" s="1296"/>
      <c r="AP104" s="1296"/>
      <c r="AQ104" s="1296"/>
      <c r="AR104" s="1296"/>
      <c r="AS104" s="1296"/>
      <c r="AT104" s="1296"/>
      <c r="AU104" s="1296"/>
      <c r="AV104" s="1296"/>
      <c r="AW104" s="1296"/>
      <c r="AX104" s="1296"/>
      <c r="AY104" s="1296"/>
      <c r="AZ104" s="1296"/>
      <c r="BA104" s="1296"/>
      <c r="BB104" s="1296"/>
      <c r="BC104" s="1296"/>
      <c r="BD104" s="1296"/>
      <c r="BE104" s="1296"/>
      <c r="BF104" s="1296"/>
      <c r="BG104" s="1296"/>
      <c r="BH104" s="1296"/>
      <c r="BI104" s="1296"/>
      <c r="BJ104" s="1296"/>
      <c r="BK104" s="1296"/>
      <c r="BL104" s="1296"/>
      <c r="BM104" s="1296"/>
      <c r="BN104" s="1296"/>
      <c r="BO104" s="1296"/>
      <c r="BP104" s="1296"/>
      <c r="BQ104" s="1296"/>
      <c r="BR104" s="1296"/>
      <c r="BS104" s="1296"/>
      <c r="BT104" s="1296"/>
      <c r="BU104" s="1296"/>
      <c r="BV104" s="1296"/>
      <c r="BW104" s="1296"/>
      <c r="BX104" s="1296"/>
      <c r="BY104" s="1296"/>
      <c r="BZ104" s="1296"/>
      <c r="CA104" s="1296"/>
      <c r="CB104" s="1296"/>
      <c r="CC104" s="1296"/>
      <c r="CD104" s="1296"/>
      <c r="CE104" s="1296"/>
      <c r="CF104" s="1296"/>
      <c r="CG104" s="1296"/>
      <c r="CH104" s="1296"/>
      <c r="CI104" s="1296"/>
      <c r="CJ104" s="1296"/>
      <c r="CK104" s="1296"/>
    </row>
    <row r="105" spans="1:89" x14ac:dyDescent="0.25">
      <c r="A105" s="1296"/>
      <c r="B105" s="1721"/>
      <c r="C105" s="1205">
        <v>5</v>
      </c>
      <c r="D105" s="1196" t="s">
        <v>1856</v>
      </c>
      <c r="E105" s="1196" t="s">
        <v>1444</v>
      </c>
      <c r="F105" s="1196" t="str">
        <f>'Required Info to Submit'!E27</f>
        <v/>
      </c>
      <c r="G105" s="1393" t="str">
        <f>IF(F105="","",'Required Info to Submit'!K27)</f>
        <v/>
      </c>
      <c r="H105" s="1394" t="str">
        <f>IF(F105="","",'Required Info to Submit'!L27)</f>
        <v/>
      </c>
      <c r="I105" s="1196" t="str">
        <f>'Required Info to Submit'!F27</f>
        <v/>
      </c>
      <c r="J105" s="1196" t="str">
        <f>'Required Info to Submit'!G27</f>
        <v/>
      </c>
      <c r="K105" s="1196" t="str">
        <f>'Required Info to Submit'!H27</f>
        <v/>
      </c>
      <c r="L105" s="1196" t="str">
        <f>'Required Info to Submit'!I27</f>
        <v/>
      </c>
      <c r="M105" s="1196" t="str">
        <f>'Required Info to Submit'!J27</f>
        <v/>
      </c>
      <c r="N105" s="1296"/>
      <c r="O105" s="1296"/>
      <c r="P105" s="1296"/>
      <c r="Q105" s="138"/>
      <c r="R105" s="1296"/>
      <c r="S105" s="1296"/>
      <c r="T105" s="1721"/>
      <c r="U105" s="1205">
        <v>5</v>
      </c>
      <c r="V105" s="1196" t="s">
        <v>1856</v>
      </c>
      <c r="W105" s="1196" t="s">
        <v>1444</v>
      </c>
      <c r="X105" s="1196" t="str">
        <f>'Required Info to Submit'!E27</f>
        <v/>
      </c>
      <c r="Y105" s="1393" t="str">
        <f>IF(X105="","",'Required Info to Submit'!K27)</f>
        <v/>
      </c>
      <c r="Z105" s="1394" t="str">
        <f>IF(X105="","",'Required Info to Submit'!L27)</f>
        <v/>
      </c>
      <c r="AA105" s="1196" t="str">
        <f>'Required Info to Submit'!F27</f>
        <v/>
      </c>
      <c r="AB105" s="1196" t="str">
        <f>'Required Info to Submit'!G27</f>
        <v/>
      </c>
      <c r="AC105" s="1196" t="str">
        <f>'Required Info to Submit'!H27</f>
        <v/>
      </c>
      <c r="AD105" s="1196" t="str">
        <f>'Required Info to Submit'!I27</f>
        <v/>
      </c>
      <c r="AE105" s="1196" t="str">
        <f>'Required Info to Submit'!J27</f>
        <v/>
      </c>
      <c r="AF105" s="1296"/>
      <c r="AG105" s="1296"/>
      <c r="AH105" s="1296"/>
      <c r="AI105" s="138"/>
      <c r="AJ105" s="1296"/>
      <c r="AK105" s="1296"/>
      <c r="AL105" s="1296"/>
      <c r="AM105" s="1296"/>
      <c r="AN105" s="1296"/>
      <c r="AO105" s="1296"/>
      <c r="AP105" s="1296"/>
      <c r="AQ105" s="1296"/>
      <c r="AR105" s="1296"/>
      <c r="AS105" s="1296"/>
      <c r="AT105" s="1296"/>
      <c r="AU105" s="1296"/>
      <c r="AV105" s="1296"/>
      <c r="AW105" s="1296"/>
      <c r="AX105" s="1296"/>
      <c r="AY105" s="1296"/>
      <c r="AZ105" s="1296"/>
      <c r="BA105" s="1296"/>
      <c r="BB105" s="1296"/>
      <c r="BC105" s="1296"/>
      <c r="BD105" s="1296"/>
      <c r="BE105" s="1296"/>
      <c r="BF105" s="1296"/>
      <c r="BG105" s="1296"/>
      <c r="BH105" s="1296"/>
      <c r="BI105" s="1296"/>
      <c r="BJ105" s="1296"/>
      <c r="BK105" s="1296"/>
      <c r="BL105" s="1296"/>
      <c r="BM105" s="1296"/>
      <c r="BN105" s="1296"/>
      <c r="BO105" s="1296"/>
      <c r="BP105" s="1296"/>
      <c r="BQ105" s="1296"/>
      <c r="BR105" s="1296"/>
      <c r="BS105" s="1296"/>
      <c r="BT105" s="1296"/>
      <c r="BU105" s="1296"/>
      <c r="BV105" s="1296"/>
      <c r="BW105" s="1296"/>
      <c r="BX105" s="1296"/>
      <c r="BY105" s="1296"/>
      <c r="BZ105" s="1296"/>
      <c r="CA105" s="1296"/>
      <c r="CB105" s="1296"/>
      <c r="CC105" s="1296"/>
      <c r="CD105" s="1296"/>
      <c r="CE105" s="1296"/>
      <c r="CF105" s="1296"/>
      <c r="CG105" s="1296"/>
      <c r="CH105" s="1296"/>
      <c r="CI105" s="1296"/>
      <c r="CJ105" s="1296"/>
      <c r="CK105" s="1296"/>
    </row>
    <row r="106" spans="1:89" x14ac:dyDescent="0.25">
      <c r="A106" s="1296"/>
      <c r="B106" s="1721"/>
      <c r="C106" s="1205">
        <v>6</v>
      </c>
      <c r="D106" s="1196" t="s">
        <v>1856</v>
      </c>
      <c r="E106" s="1196" t="s">
        <v>1444</v>
      </c>
      <c r="F106" s="1196" t="str">
        <f>'Required Info to Submit'!E28</f>
        <v/>
      </c>
      <c r="G106" s="1393" t="str">
        <f>IF(F106="","",'Required Info to Submit'!K28)</f>
        <v/>
      </c>
      <c r="H106" s="1394" t="str">
        <f>IF(F106="","",'Required Info to Submit'!L28)</f>
        <v/>
      </c>
      <c r="I106" s="1196" t="str">
        <f>'Required Info to Submit'!F28</f>
        <v/>
      </c>
      <c r="J106" s="1196" t="str">
        <f>'Required Info to Submit'!G28</f>
        <v/>
      </c>
      <c r="K106" s="1196" t="str">
        <f>'Required Info to Submit'!H28</f>
        <v/>
      </c>
      <c r="L106" s="1196" t="str">
        <f>'Required Info to Submit'!I28</f>
        <v/>
      </c>
      <c r="M106" s="1196" t="str">
        <f>'Required Info to Submit'!J28</f>
        <v/>
      </c>
      <c r="N106" s="1296"/>
      <c r="O106" s="1296"/>
      <c r="P106" s="1296"/>
      <c r="Q106" s="138"/>
      <c r="R106" s="1296"/>
      <c r="S106" s="1296"/>
      <c r="T106" s="1721"/>
      <c r="U106" s="1205">
        <v>6</v>
      </c>
      <c r="V106" s="1196" t="s">
        <v>1856</v>
      </c>
      <c r="W106" s="1196" t="s">
        <v>1444</v>
      </c>
      <c r="X106" s="1196" t="str">
        <f>'Required Info to Submit'!E28</f>
        <v/>
      </c>
      <c r="Y106" s="1393" t="str">
        <f>IF(X106="","",'Required Info to Submit'!K28)</f>
        <v/>
      </c>
      <c r="Z106" s="1394" t="str">
        <f>IF(X106="","",'Required Info to Submit'!L28)</f>
        <v/>
      </c>
      <c r="AA106" s="1196" t="str">
        <f>'Required Info to Submit'!F28</f>
        <v/>
      </c>
      <c r="AB106" s="1196" t="str">
        <f>'Required Info to Submit'!G28</f>
        <v/>
      </c>
      <c r="AC106" s="1196" t="str">
        <f>'Required Info to Submit'!H28</f>
        <v/>
      </c>
      <c r="AD106" s="1196" t="str">
        <f>'Required Info to Submit'!I28</f>
        <v/>
      </c>
      <c r="AE106" s="1196" t="str">
        <f>'Required Info to Submit'!J28</f>
        <v/>
      </c>
      <c r="AF106" s="1296"/>
      <c r="AG106" s="1296"/>
      <c r="AH106" s="1296"/>
      <c r="AI106" s="138"/>
      <c r="AJ106" s="1296"/>
      <c r="AK106" s="1296"/>
      <c r="AL106" s="1296"/>
      <c r="AM106" s="1296"/>
      <c r="AN106" s="1296"/>
      <c r="AO106" s="1296"/>
      <c r="AP106" s="1296"/>
      <c r="AQ106" s="1296"/>
      <c r="AR106" s="1296"/>
      <c r="AS106" s="1296"/>
      <c r="AT106" s="1296"/>
      <c r="AU106" s="1296"/>
      <c r="AV106" s="1296"/>
      <c r="AW106" s="1296"/>
      <c r="AX106" s="1296"/>
      <c r="AY106" s="1296"/>
      <c r="AZ106" s="1296"/>
      <c r="BA106" s="1296"/>
      <c r="BB106" s="1296"/>
      <c r="BC106" s="1296"/>
      <c r="BD106" s="1296"/>
      <c r="BE106" s="1296"/>
      <c r="BF106" s="1296"/>
      <c r="BG106" s="1296"/>
      <c r="BH106" s="1296"/>
      <c r="BI106" s="1296"/>
      <c r="BJ106" s="1296"/>
      <c r="BK106" s="1296"/>
      <c r="BL106" s="1296"/>
      <c r="BM106" s="1296"/>
      <c r="BN106" s="1296"/>
      <c r="BO106" s="1296"/>
      <c r="BP106" s="1296"/>
      <c r="BQ106" s="1296"/>
      <c r="BR106" s="1296"/>
      <c r="BS106" s="1296"/>
      <c r="BT106" s="1296"/>
      <c r="BU106" s="1296"/>
      <c r="BV106" s="1296"/>
      <c r="BW106" s="1296"/>
      <c r="BX106" s="1296"/>
      <c r="BY106" s="1296"/>
      <c r="BZ106" s="1296"/>
      <c r="CA106" s="1296"/>
      <c r="CB106" s="1296"/>
      <c r="CC106" s="1296"/>
      <c r="CD106" s="1296"/>
      <c r="CE106" s="1296"/>
      <c r="CF106" s="1296"/>
      <c r="CG106" s="1296"/>
      <c r="CH106" s="1296"/>
      <c r="CI106" s="1296"/>
      <c r="CJ106" s="1296"/>
      <c r="CK106" s="1296"/>
    </row>
    <row r="107" spans="1:89" x14ac:dyDescent="0.25">
      <c r="A107" s="1296"/>
      <c r="B107" s="1721"/>
      <c r="C107" s="1205">
        <v>7</v>
      </c>
      <c r="D107" s="1196" t="s">
        <v>1856</v>
      </c>
      <c r="E107" s="1196" t="s">
        <v>1444</v>
      </c>
      <c r="F107" s="1196" t="str">
        <f>'Required Info to Submit'!E29</f>
        <v/>
      </c>
      <c r="G107" s="1393" t="str">
        <f>IF(F107="","",'Required Info to Submit'!K29)</f>
        <v/>
      </c>
      <c r="H107" s="1394" t="str">
        <f>IF(F107="","",'Required Info to Submit'!L29)</f>
        <v/>
      </c>
      <c r="I107" s="1196" t="str">
        <f>'Required Info to Submit'!F29</f>
        <v/>
      </c>
      <c r="J107" s="1196" t="str">
        <f>'Required Info to Submit'!G29</f>
        <v/>
      </c>
      <c r="K107" s="1196" t="str">
        <f>'Required Info to Submit'!H29</f>
        <v/>
      </c>
      <c r="L107" s="1196" t="str">
        <f>'Required Info to Submit'!I29</f>
        <v/>
      </c>
      <c r="M107" s="1196" t="str">
        <f>'Required Info to Submit'!J29</f>
        <v/>
      </c>
      <c r="N107" s="1296"/>
      <c r="O107" s="1296"/>
      <c r="P107" s="1296"/>
      <c r="Q107" s="138"/>
      <c r="R107" s="1296"/>
      <c r="S107" s="1296"/>
      <c r="T107" s="1721"/>
      <c r="U107" s="1205">
        <v>7</v>
      </c>
      <c r="V107" s="1196" t="s">
        <v>1856</v>
      </c>
      <c r="W107" s="1196" t="s">
        <v>1444</v>
      </c>
      <c r="X107" s="1196" t="str">
        <f>'Required Info to Submit'!E29</f>
        <v/>
      </c>
      <c r="Y107" s="1393" t="str">
        <f>IF(X107="","",'Required Info to Submit'!K29)</f>
        <v/>
      </c>
      <c r="Z107" s="1394" t="str">
        <f>IF(X107="","",'Required Info to Submit'!L29)</f>
        <v/>
      </c>
      <c r="AA107" s="1196" t="str">
        <f>'Required Info to Submit'!F29</f>
        <v/>
      </c>
      <c r="AB107" s="1196" t="str">
        <f>'Required Info to Submit'!G29</f>
        <v/>
      </c>
      <c r="AC107" s="1196" t="str">
        <f>'Required Info to Submit'!H29</f>
        <v/>
      </c>
      <c r="AD107" s="1196" t="str">
        <f>'Required Info to Submit'!I29</f>
        <v/>
      </c>
      <c r="AE107" s="1196" t="str">
        <f>'Required Info to Submit'!J29</f>
        <v/>
      </c>
      <c r="AF107" s="1296"/>
      <c r="AG107" s="1296"/>
      <c r="AH107" s="1296"/>
      <c r="AI107" s="138"/>
      <c r="AJ107" s="1296"/>
      <c r="AK107" s="1296"/>
      <c r="AL107" s="1296"/>
      <c r="AM107" s="1296"/>
      <c r="AN107" s="1296"/>
      <c r="AO107" s="1296"/>
      <c r="AP107" s="1296"/>
      <c r="AQ107" s="1296"/>
      <c r="AR107" s="1296"/>
      <c r="AS107" s="1296"/>
      <c r="AT107" s="1296"/>
      <c r="AU107" s="1296"/>
      <c r="AV107" s="1296"/>
      <c r="AW107" s="1296"/>
      <c r="AX107" s="1296"/>
      <c r="AY107" s="1296"/>
      <c r="AZ107" s="1296"/>
      <c r="BA107" s="1296"/>
      <c r="BB107" s="1296"/>
      <c r="BC107" s="1296"/>
      <c r="BD107" s="1296"/>
      <c r="BE107" s="1296"/>
      <c r="BF107" s="1296"/>
      <c r="BG107" s="1296"/>
      <c r="BH107" s="1296"/>
      <c r="BI107" s="1296"/>
      <c r="BJ107" s="1296"/>
      <c r="BK107" s="1296"/>
      <c r="BL107" s="1296"/>
      <c r="BM107" s="1296"/>
      <c r="BN107" s="1296"/>
      <c r="BO107" s="1296"/>
      <c r="BP107" s="1296"/>
      <c r="BQ107" s="1296"/>
      <c r="BR107" s="1296"/>
      <c r="BS107" s="1296"/>
      <c r="BT107" s="1296"/>
      <c r="BU107" s="1296"/>
      <c r="BV107" s="1296"/>
      <c r="BW107" s="1296"/>
      <c r="BX107" s="1296"/>
      <c r="BY107" s="1296"/>
      <c r="BZ107" s="1296"/>
      <c r="CA107" s="1296"/>
      <c r="CB107" s="1296"/>
      <c r="CC107" s="1296"/>
      <c r="CD107" s="1296"/>
      <c r="CE107" s="1296"/>
      <c r="CF107" s="1296"/>
      <c r="CG107" s="1296"/>
      <c r="CH107" s="1296"/>
      <c r="CI107" s="1296"/>
      <c r="CJ107" s="1296"/>
      <c r="CK107" s="1296"/>
    </row>
    <row r="108" spans="1:89" x14ac:dyDescent="0.25">
      <c r="A108" s="1296"/>
      <c r="B108" s="1721"/>
      <c r="C108" s="1205">
        <v>8</v>
      </c>
      <c r="D108" s="1196" t="s">
        <v>1856</v>
      </c>
      <c r="E108" s="1196" t="s">
        <v>1444</v>
      </c>
      <c r="F108" s="1196" t="str">
        <f>'Required Info to Submit'!E30</f>
        <v/>
      </c>
      <c r="G108" s="1393" t="str">
        <f>IF(F108="","",'Required Info to Submit'!K30)</f>
        <v/>
      </c>
      <c r="H108" s="1394" t="str">
        <f>IF(F108="","",'Required Info to Submit'!L30)</f>
        <v/>
      </c>
      <c r="I108" s="1196" t="str">
        <f>'Required Info to Submit'!F30</f>
        <v/>
      </c>
      <c r="J108" s="1196" t="str">
        <f>'Required Info to Submit'!G30</f>
        <v/>
      </c>
      <c r="K108" s="1196" t="str">
        <f>'Required Info to Submit'!H30</f>
        <v/>
      </c>
      <c r="L108" s="1196" t="str">
        <f>'Required Info to Submit'!I30</f>
        <v/>
      </c>
      <c r="M108" s="1196" t="str">
        <f>'Required Info to Submit'!J30</f>
        <v/>
      </c>
      <c r="N108" s="1296"/>
      <c r="O108" s="1296"/>
      <c r="P108" s="1296"/>
      <c r="Q108" s="138"/>
      <c r="R108" s="1296"/>
      <c r="S108" s="1296"/>
      <c r="T108" s="1721"/>
      <c r="U108" s="1205">
        <v>8</v>
      </c>
      <c r="V108" s="1196" t="s">
        <v>1856</v>
      </c>
      <c r="W108" s="1196" t="s">
        <v>1444</v>
      </c>
      <c r="X108" s="1196" t="str">
        <f>'Required Info to Submit'!E30</f>
        <v/>
      </c>
      <c r="Y108" s="1393" t="str">
        <f>IF(X108="","",'Required Info to Submit'!K30)</f>
        <v/>
      </c>
      <c r="Z108" s="1394" t="str">
        <f>IF(X108="","",'Required Info to Submit'!L30)</f>
        <v/>
      </c>
      <c r="AA108" s="1196" t="str">
        <f>'Required Info to Submit'!F30</f>
        <v/>
      </c>
      <c r="AB108" s="1196" t="str">
        <f>'Required Info to Submit'!G30</f>
        <v/>
      </c>
      <c r="AC108" s="1196" t="str">
        <f>'Required Info to Submit'!H30</f>
        <v/>
      </c>
      <c r="AD108" s="1196" t="str">
        <f>'Required Info to Submit'!I30</f>
        <v/>
      </c>
      <c r="AE108" s="1196" t="str">
        <f>'Required Info to Submit'!J30</f>
        <v/>
      </c>
      <c r="AF108" s="1296"/>
      <c r="AG108" s="1296"/>
      <c r="AH108" s="1296"/>
      <c r="AI108" s="138"/>
      <c r="AJ108" s="1296"/>
      <c r="AK108" s="1296"/>
      <c r="AL108" s="1296"/>
      <c r="AM108" s="1296"/>
      <c r="AN108" s="1296"/>
      <c r="AO108" s="1296"/>
      <c r="AP108" s="1296"/>
      <c r="AQ108" s="1296"/>
      <c r="AR108" s="1296"/>
      <c r="AS108" s="1296"/>
      <c r="AT108" s="1296"/>
      <c r="AU108" s="1296"/>
      <c r="AV108" s="1296"/>
      <c r="AW108" s="1296"/>
      <c r="AX108" s="1296"/>
      <c r="AY108" s="1296"/>
      <c r="AZ108" s="1296"/>
      <c r="BA108" s="1296"/>
      <c r="BB108" s="1296"/>
      <c r="BC108" s="1296"/>
      <c r="BD108" s="1296"/>
      <c r="BE108" s="1296"/>
      <c r="BF108" s="1296"/>
      <c r="BG108" s="1296"/>
      <c r="BH108" s="1296"/>
      <c r="BI108" s="1296"/>
      <c r="BJ108" s="1296"/>
      <c r="BK108" s="1296"/>
      <c r="BL108" s="1296"/>
      <c r="BM108" s="1296"/>
      <c r="BN108" s="1296"/>
      <c r="BO108" s="1296"/>
      <c r="BP108" s="1296"/>
      <c r="BQ108" s="1296"/>
      <c r="BR108" s="1296"/>
      <c r="BS108" s="1296"/>
      <c r="BT108" s="1296"/>
      <c r="BU108" s="1296"/>
      <c r="BV108" s="1296"/>
      <c r="BW108" s="1296"/>
      <c r="BX108" s="1296"/>
      <c r="BY108" s="1296"/>
      <c r="BZ108" s="1296"/>
      <c r="CA108" s="1296"/>
      <c r="CB108" s="1296"/>
      <c r="CC108" s="1296"/>
      <c r="CD108" s="1296"/>
      <c r="CE108" s="1296"/>
      <c r="CF108" s="1296"/>
      <c r="CG108" s="1296"/>
      <c r="CH108" s="1296"/>
      <c r="CI108" s="1296"/>
      <c r="CJ108" s="1296"/>
      <c r="CK108" s="1296"/>
    </row>
    <row r="109" spans="1:89" x14ac:dyDescent="0.25">
      <c r="A109" s="1296"/>
      <c r="B109" s="1721"/>
      <c r="C109" s="1205">
        <v>9</v>
      </c>
      <c r="D109" s="1196" t="s">
        <v>1856</v>
      </c>
      <c r="E109" s="1196" t="s">
        <v>1444</v>
      </c>
      <c r="F109" s="1196" t="str">
        <f>'Required Info to Submit'!E31</f>
        <v/>
      </c>
      <c r="G109" s="1393" t="str">
        <f>IF(F109="","",'Required Info to Submit'!K31)</f>
        <v/>
      </c>
      <c r="H109" s="1394" t="str">
        <f>IF(F109="","",'Required Info to Submit'!L31)</f>
        <v/>
      </c>
      <c r="I109" s="1196" t="str">
        <f>'Required Info to Submit'!F31</f>
        <v/>
      </c>
      <c r="J109" s="1196" t="str">
        <f>'Required Info to Submit'!G31</f>
        <v/>
      </c>
      <c r="K109" s="1196" t="str">
        <f>'Required Info to Submit'!H31</f>
        <v/>
      </c>
      <c r="L109" s="1196" t="str">
        <f>'Required Info to Submit'!I31</f>
        <v/>
      </c>
      <c r="M109" s="1196" t="str">
        <f>'Required Info to Submit'!J31</f>
        <v/>
      </c>
      <c r="N109" s="1296"/>
      <c r="O109" s="1296"/>
      <c r="P109" s="1296"/>
      <c r="Q109" s="138"/>
      <c r="R109" s="1296"/>
      <c r="S109" s="1296"/>
      <c r="T109" s="1721"/>
      <c r="U109" s="1205">
        <v>9</v>
      </c>
      <c r="V109" s="1196" t="s">
        <v>1856</v>
      </c>
      <c r="W109" s="1196" t="s">
        <v>1444</v>
      </c>
      <c r="X109" s="1196" t="str">
        <f>'Required Info to Submit'!E31</f>
        <v/>
      </c>
      <c r="Y109" s="1393" t="str">
        <f>IF(X109="","",'Required Info to Submit'!K31)</f>
        <v/>
      </c>
      <c r="Z109" s="1394" t="str">
        <f>IF(X109="","",'Required Info to Submit'!L31)</f>
        <v/>
      </c>
      <c r="AA109" s="1196" t="str">
        <f>'Required Info to Submit'!F31</f>
        <v/>
      </c>
      <c r="AB109" s="1196" t="str">
        <f>'Required Info to Submit'!G31</f>
        <v/>
      </c>
      <c r="AC109" s="1196" t="str">
        <f>'Required Info to Submit'!H31</f>
        <v/>
      </c>
      <c r="AD109" s="1196" t="str">
        <f>'Required Info to Submit'!I31</f>
        <v/>
      </c>
      <c r="AE109" s="1196" t="str">
        <f>'Required Info to Submit'!J31</f>
        <v/>
      </c>
      <c r="AF109" s="1296"/>
      <c r="AG109" s="1296"/>
      <c r="AH109" s="1296"/>
      <c r="AI109" s="138"/>
      <c r="AJ109" s="1296"/>
      <c r="AK109" s="1296"/>
      <c r="AL109" s="1296"/>
      <c r="AM109" s="1296"/>
      <c r="AN109" s="1296"/>
      <c r="AO109" s="1296"/>
      <c r="AP109" s="1296"/>
      <c r="AQ109" s="1296"/>
      <c r="AR109" s="1296"/>
      <c r="AS109" s="1296"/>
      <c r="AT109" s="1296"/>
      <c r="AU109" s="1296"/>
      <c r="AV109" s="1296"/>
      <c r="AW109" s="1296"/>
      <c r="AX109" s="1296"/>
      <c r="AY109" s="1296"/>
      <c r="AZ109" s="1296"/>
      <c r="BA109" s="1296"/>
      <c r="BB109" s="1296"/>
      <c r="BC109" s="1296"/>
      <c r="BD109" s="1296"/>
      <c r="BE109" s="1296"/>
      <c r="BF109" s="1296"/>
      <c r="BG109" s="1296"/>
      <c r="BH109" s="1296"/>
      <c r="BI109" s="1296"/>
      <c r="BJ109" s="1296"/>
      <c r="BK109" s="1296"/>
      <c r="BL109" s="1296"/>
      <c r="BM109" s="1296"/>
      <c r="BN109" s="1296"/>
      <c r="BO109" s="1296"/>
      <c r="BP109" s="1296"/>
      <c r="BQ109" s="1296"/>
      <c r="BR109" s="1296"/>
      <c r="BS109" s="1296"/>
      <c r="BT109" s="1296"/>
      <c r="BU109" s="1296"/>
      <c r="BV109" s="1296"/>
      <c r="BW109" s="1296"/>
      <c r="BX109" s="1296"/>
      <c r="BY109" s="1296"/>
      <c r="BZ109" s="1296"/>
      <c r="CA109" s="1296"/>
      <c r="CB109" s="1296"/>
      <c r="CC109" s="1296"/>
      <c r="CD109" s="1296"/>
      <c r="CE109" s="1296"/>
      <c r="CF109" s="1296"/>
      <c r="CG109" s="1296"/>
      <c r="CH109" s="1296"/>
      <c r="CI109" s="1296"/>
      <c r="CJ109" s="1296"/>
      <c r="CK109" s="1296"/>
    </row>
    <row r="110" spans="1:89" ht="15.75" thickBot="1" x14ac:dyDescent="0.3">
      <c r="A110" s="1296"/>
      <c r="B110" s="1722"/>
      <c r="C110" s="1207">
        <v>10</v>
      </c>
      <c r="D110" s="1198" t="s">
        <v>1856</v>
      </c>
      <c r="E110" s="1198" t="s">
        <v>1444</v>
      </c>
      <c r="F110" s="1198" t="str">
        <f>'Required Info to Submit'!E32</f>
        <v/>
      </c>
      <c r="G110" s="1395" t="str">
        <f>IF(F110="","",'Required Info to Submit'!K32)</f>
        <v/>
      </c>
      <c r="H110" s="1395" t="str">
        <f>IF(F110="","",'Required Info to Submit'!L32)</f>
        <v/>
      </c>
      <c r="I110" s="1198" t="str">
        <f>'Required Info to Submit'!F32</f>
        <v/>
      </c>
      <c r="J110" s="1198" t="str">
        <f>'Required Info to Submit'!G32</f>
        <v/>
      </c>
      <c r="K110" s="1198" t="str">
        <f>'Required Info to Submit'!H32</f>
        <v/>
      </c>
      <c r="L110" s="1198" t="str">
        <f>'Required Info to Submit'!I32</f>
        <v/>
      </c>
      <c r="M110" s="1198" t="str">
        <f>'Required Info to Submit'!J32</f>
        <v/>
      </c>
      <c r="N110" s="256"/>
      <c r="O110" s="256"/>
      <c r="P110" s="256"/>
      <c r="Q110" s="257"/>
      <c r="R110" s="1296"/>
      <c r="S110" s="1296"/>
      <c r="T110" s="1722"/>
      <c r="U110" s="1207">
        <v>10</v>
      </c>
      <c r="V110" s="1198" t="s">
        <v>1856</v>
      </c>
      <c r="W110" s="1198" t="s">
        <v>1444</v>
      </c>
      <c r="X110" s="1198" t="str">
        <f>'Required Info to Submit'!E32</f>
        <v/>
      </c>
      <c r="Y110" s="1395" t="str">
        <f>IF(X110="","",'Required Info to Submit'!K32)</f>
        <v/>
      </c>
      <c r="Z110" s="1395" t="str">
        <f>IF(X110="","",'Required Info to Submit'!L32)</f>
        <v/>
      </c>
      <c r="AA110" s="1198" t="str">
        <f>'Required Info to Submit'!F32</f>
        <v/>
      </c>
      <c r="AB110" s="1198" t="str">
        <f>'Required Info to Submit'!G32</f>
        <v/>
      </c>
      <c r="AC110" s="1198" t="str">
        <f>'Required Info to Submit'!H32</f>
        <v/>
      </c>
      <c r="AD110" s="1198" t="str">
        <f>'Required Info to Submit'!I32</f>
        <v/>
      </c>
      <c r="AE110" s="1198" t="str">
        <f>'Required Info to Submit'!J32</f>
        <v/>
      </c>
      <c r="AF110" s="256"/>
      <c r="AG110" s="256"/>
      <c r="AH110" s="256"/>
      <c r="AI110" s="257"/>
      <c r="AJ110" s="1296"/>
      <c r="AK110" s="1296"/>
      <c r="AL110" s="1296"/>
      <c r="AM110" s="1296"/>
      <c r="AN110" s="1296"/>
      <c r="AO110" s="1296"/>
      <c r="AP110" s="1296"/>
      <c r="AQ110" s="1296"/>
      <c r="AR110" s="1296"/>
      <c r="AS110" s="1296"/>
      <c r="AT110" s="1296"/>
      <c r="AU110" s="1296"/>
      <c r="AV110" s="1296"/>
      <c r="AW110" s="1296"/>
      <c r="AX110" s="1296"/>
      <c r="AY110" s="1296"/>
      <c r="AZ110" s="1296"/>
      <c r="BA110" s="1296"/>
      <c r="BB110" s="1296"/>
      <c r="BC110" s="1296"/>
      <c r="BD110" s="1296"/>
      <c r="BE110" s="1296"/>
      <c r="BF110" s="1296"/>
      <c r="BG110" s="1296"/>
      <c r="BH110" s="1296"/>
      <c r="BI110" s="1296"/>
      <c r="BJ110" s="1296"/>
      <c r="BK110" s="1296"/>
      <c r="BL110" s="1296"/>
      <c r="BM110" s="1296"/>
      <c r="BN110" s="1296"/>
      <c r="BO110" s="1296"/>
      <c r="BP110" s="1296"/>
      <c r="BQ110" s="1296"/>
      <c r="BR110" s="1296"/>
      <c r="BS110" s="1296"/>
      <c r="BT110" s="1296"/>
      <c r="BU110" s="1296"/>
      <c r="BV110" s="1296"/>
      <c r="BW110" s="1296"/>
      <c r="BX110" s="1296"/>
      <c r="BY110" s="1296"/>
      <c r="BZ110" s="1296"/>
      <c r="CA110" s="1296"/>
      <c r="CB110" s="1296"/>
      <c r="CC110" s="1296"/>
      <c r="CD110" s="1296"/>
      <c r="CE110" s="1296"/>
      <c r="CF110" s="1296"/>
      <c r="CG110" s="1296"/>
      <c r="CH110" s="1296"/>
      <c r="CI110" s="1296"/>
      <c r="CJ110" s="1296"/>
      <c r="CK110" s="1296"/>
    </row>
    <row r="111" spans="1:89" x14ac:dyDescent="0.25">
      <c r="A111" s="1296"/>
      <c r="B111" s="1296"/>
      <c r="C111" s="1296"/>
      <c r="D111" s="1296"/>
      <c r="E111" s="1296"/>
      <c r="F111" s="1296"/>
      <c r="G111" s="1296"/>
      <c r="H111" s="1296"/>
      <c r="I111" s="1296"/>
      <c r="J111" s="1296"/>
      <c r="K111" s="1296"/>
      <c r="L111" s="1296"/>
      <c r="M111" s="1296"/>
      <c r="N111" s="1296"/>
      <c r="O111" s="1296"/>
      <c r="P111" s="1296"/>
      <c r="Q111" s="1296"/>
      <c r="R111" s="1296"/>
      <c r="S111" s="1296"/>
      <c r="T111" s="1296"/>
      <c r="U111" s="1296"/>
      <c r="V111" s="1296"/>
      <c r="W111" s="1296"/>
      <c r="X111" s="1296"/>
      <c r="Y111" s="1296"/>
      <c r="Z111" s="1296"/>
      <c r="AA111" s="1296"/>
      <c r="AB111" s="1296"/>
      <c r="AC111" s="1296"/>
      <c r="AD111" s="1296"/>
      <c r="AE111" s="1296"/>
      <c r="AF111" s="1296"/>
      <c r="AG111" s="1296"/>
      <c r="AH111" s="1296"/>
      <c r="AI111" s="1296"/>
      <c r="AJ111" s="1296"/>
      <c r="AK111" s="1296"/>
      <c r="AL111" s="1296"/>
      <c r="AM111" s="1296"/>
      <c r="AN111" s="1296"/>
      <c r="AO111" s="1296"/>
      <c r="AP111" s="1296"/>
      <c r="AQ111" s="1296"/>
      <c r="AR111" s="1296"/>
      <c r="AS111" s="1296"/>
      <c r="AT111" s="1296"/>
      <c r="AU111" s="1296"/>
      <c r="AV111" s="1296"/>
      <c r="AW111" s="1296"/>
      <c r="AX111" s="1296"/>
      <c r="AY111" s="1296"/>
      <c r="AZ111" s="1296"/>
      <c r="BA111" s="1296"/>
      <c r="BB111" s="1296"/>
      <c r="BC111" s="1296"/>
      <c r="BD111" s="1296"/>
      <c r="BE111" s="1296"/>
      <c r="BF111" s="1296"/>
      <c r="BG111" s="1296"/>
      <c r="BH111" s="1296"/>
      <c r="BI111" s="1296"/>
      <c r="BJ111" s="1296"/>
      <c r="BK111" s="1296"/>
      <c r="BL111" s="1296"/>
      <c r="BM111" s="1296"/>
      <c r="BN111" s="1296"/>
      <c r="BO111" s="1296"/>
      <c r="BP111" s="1296"/>
      <c r="BQ111" s="1296"/>
      <c r="BR111" s="1296"/>
      <c r="BS111" s="1296"/>
      <c r="BT111" s="1296"/>
      <c r="BU111" s="1296"/>
      <c r="BV111" s="1296"/>
      <c r="BW111" s="1296"/>
      <c r="BX111" s="1296"/>
      <c r="BY111" s="1296"/>
      <c r="BZ111" s="1296"/>
      <c r="CA111" s="1296"/>
      <c r="CB111" s="1296"/>
      <c r="CC111" s="1296"/>
      <c r="CD111" s="1296"/>
      <c r="CE111" s="1296"/>
      <c r="CF111" s="1296"/>
      <c r="CG111" s="1296"/>
      <c r="CH111" s="1296"/>
      <c r="CI111" s="1296"/>
      <c r="CJ111" s="1296"/>
      <c r="CK111" s="1296"/>
    </row>
    <row r="112" spans="1:89" ht="15.75" thickBot="1" x14ac:dyDescent="0.3">
      <c r="A112" s="1296"/>
      <c r="B112" s="1296"/>
      <c r="C112" s="1296"/>
      <c r="D112" s="1296"/>
      <c r="E112" s="1296"/>
      <c r="F112" s="1296"/>
      <c r="G112" s="1296"/>
      <c r="H112" s="1296"/>
      <c r="I112" s="1296"/>
      <c r="J112" s="1296"/>
      <c r="K112" s="1296"/>
      <c r="L112" s="1296"/>
      <c r="M112" s="1296"/>
      <c r="N112" s="1296"/>
      <c r="O112" s="1296"/>
      <c r="P112" s="1296"/>
      <c r="Q112" s="1296"/>
      <c r="R112" s="1296"/>
      <c r="S112" s="1296"/>
      <c r="T112" s="1296"/>
      <c r="U112" s="1296"/>
      <c r="V112" s="1296"/>
      <c r="W112" s="1296"/>
      <c r="X112" s="1296"/>
      <c r="Y112" s="1296"/>
      <c r="Z112" s="1296"/>
      <c r="AA112" s="1296"/>
      <c r="AB112" s="1296"/>
      <c r="AC112" s="1296"/>
      <c r="AD112" s="1296"/>
      <c r="AE112" s="1296"/>
      <c r="AF112" s="1296"/>
      <c r="AG112" s="1296"/>
      <c r="AH112" s="1296"/>
      <c r="AI112" s="1296"/>
      <c r="AJ112" s="1296"/>
      <c r="AK112" s="1296"/>
      <c r="AL112" s="1296"/>
      <c r="AM112" s="1296"/>
      <c r="AN112" s="1296"/>
      <c r="AO112" s="1296"/>
      <c r="AP112" s="1296"/>
      <c r="AQ112" s="1296"/>
      <c r="AR112" s="1296"/>
      <c r="AS112" s="1296"/>
      <c r="AT112" s="1296"/>
      <c r="AU112" s="1296"/>
      <c r="AV112" s="1296"/>
      <c r="AW112" s="1296"/>
      <c r="AX112" s="1296"/>
      <c r="AY112" s="1296"/>
      <c r="AZ112" s="1296"/>
      <c r="BA112" s="1296"/>
      <c r="BB112" s="1296"/>
      <c r="BC112" s="1296"/>
      <c r="BD112" s="1296"/>
      <c r="BE112" s="1296"/>
      <c r="BF112" s="1296"/>
      <c r="BG112" s="1296"/>
      <c r="BH112" s="1296"/>
      <c r="BI112" s="1296"/>
      <c r="BJ112" s="1296"/>
      <c r="BK112" s="1296"/>
      <c r="BL112" s="1296"/>
      <c r="BM112" s="1296"/>
      <c r="BN112" s="1296"/>
      <c r="BO112" s="1296"/>
      <c r="BP112" s="1296"/>
      <c r="BQ112" s="1296"/>
      <c r="BR112" s="1296"/>
      <c r="BS112" s="1296"/>
      <c r="BT112" s="1296"/>
      <c r="BU112" s="1296"/>
      <c r="BV112" s="1296"/>
      <c r="BW112" s="1296"/>
      <c r="BX112" s="1296"/>
      <c r="BY112" s="1296"/>
      <c r="BZ112" s="1296"/>
      <c r="CA112" s="1296"/>
      <c r="CB112" s="1296"/>
      <c r="CC112" s="1296"/>
      <c r="CD112" s="1296"/>
      <c r="CE112" s="1296"/>
      <c r="CF112" s="1296"/>
      <c r="CG112" s="1296"/>
      <c r="CH112" s="1296"/>
      <c r="CI112" s="1296"/>
      <c r="CJ112" s="1296"/>
      <c r="CK112" s="1296"/>
    </row>
    <row r="113" spans="1:89" ht="40.5" customHeight="1" thickBot="1" x14ac:dyDescent="0.3">
      <c r="A113" s="1296"/>
      <c r="B113" s="1182"/>
      <c r="C113" s="1177" t="s">
        <v>1400</v>
      </c>
      <c r="D113" s="1177" t="s">
        <v>1510</v>
      </c>
      <c r="E113" s="1177" t="s">
        <v>767</v>
      </c>
      <c r="F113" s="1177" t="s">
        <v>1515</v>
      </c>
      <c r="G113" s="1177" t="s">
        <v>1833</v>
      </c>
      <c r="H113" s="1178" t="s">
        <v>1834</v>
      </c>
      <c r="I113" s="1178" t="s">
        <v>1835</v>
      </c>
      <c r="J113" s="1177" t="s">
        <v>1857</v>
      </c>
      <c r="K113" s="1177" t="s">
        <v>1836</v>
      </c>
      <c r="L113" s="1178" t="s">
        <v>1414</v>
      </c>
      <c r="M113" s="1178" t="s">
        <v>1398</v>
      </c>
      <c r="N113" s="1177" t="s">
        <v>1399</v>
      </c>
      <c r="O113" s="1177" t="s">
        <v>722</v>
      </c>
      <c r="P113" s="1177" t="s">
        <v>723</v>
      </c>
      <c r="Q113" s="1178" t="s">
        <v>1514</v>
      </c>
      <c r="R113" s="1296"/>
      <c r="S113" s="1296"/>
      <c r="T113" s="1182"/>
      <c r="U113" s="1177" t="s">
        <v>1400</v>
      </c>
      <c r="V113" s="1177" t="s">
        <v>1510</v>
      </c>
      <c r="W113" s="1177" t="s">
        <v>767</v>
      </c>
      <c r="X113" s="1177" t="s">
        <v>1515</v>
      </c>
      <c r="Y113" s="1177" t="s">
        <v>1833</v>
      </c>
      <c r="Z113" s="1178" t="s">
        <v>1834</v>
      </c>
      <c r="AA113" s="1178" t="s">
        <v>1835</v>
      </c>
      <c r="AB113" s="1177" t="s">
        <v>1857</v>
      </c>
      <c r="AC113" s="1177" t="s">
        <v>1836</v>
      </c>
      <c r="AD113" s="1178" t="s">
        <v>1414</v>
      </c>
      <c r="AE113" s="1178" t="s">
        <v>1398</v>
      </c>
      <c r="AF113" s="1177" t="s">
        <v>1399</v>
      </c>
      <c r="AG113" s="1177" t="s">
        <v>722</v>
      </c>
      <c r="AH113" s="1177" t="s">
        <v>723</v>
      </c>
      <c r="AI113" s="1178" t="s">
        <v>1514</v>
      </c>
      <c r="AJ113" s="1296"/>
      <c r="AK113" s="1296"/>
      <c r="AL113" s="1296"/>
      <c r="AM113" s="1296"/>
      <c r="AN113" s="1296"/>
      <c r="AO113" s="1296"/>
      <c r="AP113" s="1296"/>
      <c r="AQ113" s="1296"/>
      <c r="AR113" s="1296"/>
      <c r="AS113" s="1296"/>
      <c r="AT113" s="1296"/>
      <c r="AU113" s="1296"/>
      <c r="AV113" s="1296"/>
      <c r="AW113" s="1296"/>
      <c r="AX113" s="1296"/>
      <c r="AY113" s="1296"/>
      <c r="AZ113" s="1296"/>
      <c r="BA113" s="1296"/>
      <c r="BB113" s="1296"/>
      <c r="BC113" s="1296"/>
      <c r="BD113" s="1296"/>
      <c r="BE113" s="1296"/>
      <c r="BF113" s="1296"/>
      <c r="BG113" s="1296"/>
      <c r="BH113" s="1296"/>
      <c r="BI113" s="1296"/>
      <c r="BJ113" s="1296"/>
      <c r="BK113" s="1296"/>
      <c r="BL113" s="1296"/>
      <c r="BM113" s="1296"/>
      <c r="BN113" s="1296"/>
      <c r="BO113" s="1296"/>
      <c r="BP113" s="1296"/>
      <c r="BQ113" s="1296"/>
      <c r="BR113" s="1296"/>
      <c r="BS113" s="1296"/>
      <c r="BT113" s="1296"/>
      <c r="BU113" s="1296"/>
      <c r="BV113" s="1296"/>
      <c r="BW113" s="1296"/>
      <c r="BX113" s="1296"/>
      <c r="BY113" s="1296"/>
      <c r="BZ113" s="1296"/>
      <c r="CA113" s="1296"/>
      <c r="CB113" s="1296"/>
      <c r="CC113" s="1296"/>
      <c r="CD113" s="1296"/>
      <c r="CE113" s="1296"/>
      <c r="CF113" s="1296"/>
      <c r="CG113" s="1296"/>
      <c r="CH113" s="1296"/>
      <c r="CI113" s="1296"/>
      <c r="CJ113" s="1296"/>
      <c r="CK113" s="1296"/>
    </row>
    <row r="114" spans="1:89" ht="75.75" customHeight="1" thickBot="1" x14ac:dyDescent="0.3">
      <c r="A114" s="1296"/>
      <c r="B114" s="1184" t="s">
        <v>1837</v>
      </c>
      <c r="C114" s="1185" t="s">
        <v>1542</v>
      </c>
      <c r="D114" s="1186">
        <v>2801</v>
      </c>
      <c r="E114" s="1181" t="s">
        <v>1910</v>
      </c>
      <c r="F114" s="1181" t="s">
        <v>1544</v>
      </c>
      <c r="G114" s="1179" t="str" cm="1">
        <f t="array" aca="1" ref="G114" ca="1">INDIRECT("'Incentives Worksheet'!P"&amp;'Configurable Tab'!H11+3)</f>
        <v>Same as Payout Cycle</v>
      </c>
      <c r="H114" s="1179" t="str" cm="1">
        <f t="array" aca="1" ref="H114" ca="1">IF(ISBLANK(INDIRECT("'Incentives Worksheet'!H"&amp;'Configurable Tab'!H11+3)),"",INDIRECT("'Incentives Worksheet'!H"&amp;'Configurable Tab'!H11+3))</f>
        <v/>
      </c>
      <c r="I114" s="1179" t="str" cm="1">
        <f t="array" aca="1" ref="I114" ca="1">IF(INDIRECT("'Incentives Worksheet'!R"&amp;'Configurable Tab'!H11+3)="USF Calendar","Fiscal",INDIRECT("'Incentives Worksheet'!R"&amp;'Configurable Tab'!H11+3))</f>
        <v>Fiscal</v>
      </c>
      <c r="J114" s="1179" t="str" cm="1">
        <f t="array" aca="1" ref="J114" ca="1">IF(INDIRECT("'Incentives Worksheet'!L"&amp;'Configurable Tab'!H11+13)="All"," Select All Products","Unselect All Products")</f>
        <v xml:space="preserve"> Select All Products</v>
      </c>
      <c r="K114" s="1179" t="str" cm="1">
        <f t="array" aca="1" ref="K114" ca="1">IF(INDIRECT("'Incentives Worksheet'!T"&amp;'Configurable Tab'!H11+3)="Yes","Post to GL","")</f>
        <v/>
      </c>
      <c r="L114" s="1179" t="str" cm="1">
        <f t="array" aca="1" ref="L114" ca="1">IF(ISBLANK(INDIRECT("'Incentives Worksheet'!L"&amp;'Configurable Tab'!H11+3)),"",INDIRECT("'Incentives Worksheet'!L"&amp;'Configurable Tab'!H11+3))</f>
        <v/>
      </c>
      <c r="M114" s="1179" t="str" cm="1">
        <f t="array" aca="1" ref="M114" ca="1">IF(ISBLANK(INDIRECT("'Incentives Worksheet'!J"&amp;'Configurable Tab'!H11+3)),"",INDIRECT("'Incentives Worksheet'!J"&amp;'Configurable Tab'!H11+3))</f>
        <v/>
      </c>
      <c r="N114" s="1179" t="str" cm="1">
        <f t="array" aca="1" ref="N114" ca="1">IF(ISBLANK(INDIRECT("'Incentives Worksheet'!N"&amp;'Configurable Tab'!H11+3)),"",INDIRECT("'Incentives Worksheet'!N"&amp;'Configurable Tab'!H11+3))</f>
        <v/>
      </c>
      <c r="O114" s="1180" t="str" cm="1">
        <f t="array" aca="1" ref="O114" ca="1">INDIRECT("'Incentives Worksheet'!D"&amp;'Configurable Tab'!H11+6)</f>
        <v/>
      </c>
      <c r="P114" s="1180" t="str" cm="1">
        <f t="array" aca="1" ref="P114" ca="1">INDIRECT("'Incentives Worksheet'!D"&amp;'Configurable Tab'!H11+8)</f>
        <v/>
      </c>
      <c r="Q114" s="1179" t="str" cm="1">
        <f t="array" aca="1" ref="Q114" ca="1">IF(INDIRECT("'Incentives Worksheet'!D"&amp;'Configurable Tab'!H11+12)="No","Update tracking dates",INDIRECT("'Incentives Worksheet'!D"&amp;'Configurable Tab'!H11+12))</f>
        <v>Yes</v>
      </c>
      <c r="R114" s="1296"/>
      <c r="S114" s="1296"/>
      <c r="T114" s="1184" t="s">
        <v>1837</v>
      </c>
      <c r="U114" s="1185" t="s">
        <v>1542</v>
      </c>
      <c r="V114" s="1186">
        <v>2802</v>
      </c>
      <c r="W114" s="1181" t="s">
        <v>1910</v>
      </c>
      <c r="X114" s="1181" t="s">
        <v>1544</v>
      </c>
      <c r="Y114" s="1179" t="str" cm="1">
        <f t="array" aca="1" ref="Y114" ca="1">INDIRECT("'Incentives Worksheet'!P"&amp;'Configurable Tab'!H12+3)</f>
        <v>Same as Payout Cycle</v>
      </c>
      <c r="Z114" s="1179" t="str" cm="1">
        <f t="array" aca="1" ref="Z114" ca="1">IF(ISBLANK(INDIRECT("'Incentives Worksheet'!H"&amp;'Configurable Tab'!H12+3)),"",INDIRECT("'Incentives Worksheet'!H"&amp;'Configurable Tab'!H12+3))</f>
        <v/>
      </c>
      <c r="AA114" s="1179" t="str" cm="1">
        <f t="array" aca="1" ref="AA114" ca="1">IF(INDIRECT("'Incentives Worksheet'!R"&amp;'Configurable Tab'!H12+3)="USF Calendar","Fiscal",INDIRECT("'Incentives Worksheet'!R"&amp;'Configurable Tab'!H12+3))</f>
        <v>Fiscal</v>
      </c>
      <c r="AB114" s="1179" t="str" cm="1">
        <f t="array" aca="1" ref="AB114" ca="1">IF(INDIRECT("'Incentives Worksheet'!L"&amp;'Configurable Tab'!H12+13)="All"," Select All Products","Unselect All Products")</f>
        <v xml:space="preserve"> Select All Products</v>
      </c>
      <c r="AC114" s="1179" t="str" cm="1">
        <f t="array" aca="1" ref="AC114" ca="1">IF(INDIRECT("'Incentives Worksheet'!T"&amp;'Configurable Tab'!H12+3)="Yes","Post to GL","")</f>
        <v/>
      </c>
      <c r="AD114" s="1179" t="str" cm="1">
        <f t="array" aca="1" ref="AD114" ca="1">IF(ISBLANK(INDIRECT("'Incentives Worksheet'!L"&amp;'Configurable Tab'!H12+3)),"",INDIRECT("'Incentives Worksheet'!L"&amp;'Configurable Tab'!H12+3))</f>
        <v/>
      </c>
      <c r="AE114" s="1179" t="str" cm="1">
        <f t="array" aca="1" ref="AE114" ca="1">IF(ISBLANK(INDIRECT("'Incentives Worksheet'!J"&amp;'Configurable Tab'!H12+3)),"",INDIRECT("'Incentives Worksheet'!J"&amp;'Configurable Tab'!H12+3))</f>
        <v/>
      </c>
      <c r="AF114" s="1179" t="str" cm="1">
        <f t="array" aca="1" ref="AF114" ca="1">IF(ISBLANK(INDIRECT("'Incentives Worksheet'!N"&amp;'Configurable Tab'!H12+3)),"",INDIRECT("'Incentives Worksheet'!N"&amp;'Configurable Tab'!H12+3))</f>
        <v/>
      </c>
      <c r="AG114" s="1180" t="str" cm="1">
        <f t="array" aca="1" ref="AG114" ca="1">INDIRECT("'Incentives Worksheet'!D"&amp;'Configurable Tab'!H12+6)</f>
        <v/>
      </c>
      <c r="AH114" s="1180" t="str" cm="1">
        <f t="array" aca="1" ref="AH114" ca="1">INDIRECT("'Incentives Worksheet'!D"&amp;'Configurable Tab'!H12+8)</f>
        <v/>
      </c>
      <c r="AI114" s="1179" t="str" cm="1">
        <f t="array" aca="1" ref="AI114" ca="1">IF(INDIRECT("'Incentives Worksheet'!D"&amp;'Configurable Tab'!H12+12)="No","Update tracking dates",INDIRECT("'Incentives Worksheet'!D"&amp;'Configurable Tab'!H12+12))</f>
        <v>Yes</v>
      </c>
      <c r="AJ114" s="1296"/>
      <c r="AK114" s="1296"/>
      <c r="AL114" s="1296"/>
      <c r="AM114" s="1296"/>
      <c r="AN114" s="1296"/>
      <c r="AO114" s="1296"/>
      <c r="AP114" s="1296"/>
      <c r="AQ114" s="1296"/>
      <c r="AR114" s="1296"/>
      <c r="AS114" s="1296"/>
      <c r="AT114" s="1296"/>
      <c r="AU114" s="1296"/>
      <c r="AV114" s="1296"/>
      <c r="AW114" s="1296"/>
      <c r="AX114" s="1296"/>
      <c r="AY114" s="1296"/>
      <c r="AZ114" s="1296"/>
      <c r="BA114" s="1296"/>
      <c r="BB114" s="1296"/>
      <c r="BC114" s="1296"/>
      <c r="BD114" s="1296"/>
      <c r="BE114" s="1296"/>
      <c r="BF114" s="1296"/>
      <c r="BG114" s="1296"/>
      <c r="BH114" s="1296"/>
      <c r="BI114" s="1296"/>
      <c r="BJ114" s="1296"/>
      <c r="BK114" s="1296"/>
      <c r="BL114" s="1296"/>
      <c r="BM114" s="1296"/>
      <c r="BN114" s="1296"/>
      <c r="BO114" s="1296"/>
      <c r="BP114" s="1296"/>
      <c r="BQ114" s="1296"/>
      <c r="BR114" s="1296"/>
      <c r="BS114" s="1296"/>
      <c r="BT114" s="1296"/>
      <c r="BU114" s="1296"/>
      <c r="BV114" s="1296"/>
      <c r="BW114" s="1296"/>
      <c r="BX114" s="1296"/>
      <c r="BY114" s="1296"/>
      <c r="BZ114" s="1296"/>
      <c r="CA114" s="1296"/>
      <c r="CB114" s="1296"/>
      <c r="CC114" s="1296"/>
      <c r="CD114" s="1296"/>
      <c r="CE114" s="1296"/>
      <c r="CF114" s="1296"/>
      <c r="CG114" s="1296"/>
      <c r="CH114" s="1296"/>
      <c r="CI114" s="1296"/>
      <c r="CJ114" s="1296"/>
      <c r="CK114" s="1296"/>
    </row>
    <row r="115" spans="1:89" ht="90.75" customHeight="1" thickBot="1" x14ac:dyDescent="0.3">
      <c r="A115" s="1296"/>
      <c r="B115" s="1719" t="s">
        <v>1869</v>
      </c>
      <c r="C115" s="1210" t="s">
        <v>1870</v>
      </c>
      <c r="D115" s="1178" t="s">
        <v>1376</v>
      </c>
      <c r="E115" s="1177" t="s">
        <v>1861</v>
      </c>
      <c r="F115" s="1177" t="s">
        <v>1871</v>
      </c>
      <c r="G115" s="1211" t="s">
        <v>1864</v>
      </c>
      <c r="H115" s="1259" t="s">
        <v>1864</v>
      </c>
      <c r="I115" s="1212"/>
      <c r="J115" s="1212"/>
      <c r="K115" s="1212"/>
      <c r="L115" s="1212"/>
      <c r="M115" s="1212"/>
      <c r="N115" s="1212"/>
      <c r="O115" s="1212"/>
      <c r="P115" s="1212"/>
      <c r="Q115" s="1213"/>
      <c r="R115" s="1296"/>
      <c r="S115" s="1296"/>
      <c r="T115" s="1719" t="s">
        <v>1869</v>
      </c>
      <c r="U115" s="1210" t="s">
        <v>1870</v>
      </c>
      <c r="V115" s="1178" t="s">
        <v>1376</v>
      </c>
      <c r="W115" s="1177" t="s">
        <v>1861</v>
      </c>
      <c r="X115" s="1177" t="s">
        <v>1871</v>
      </c>
      <c r="Y115" s="1215" t="s">
        <v>1864</v>
      </c>
      <c r="Z115" s="1259" t="s">
        <v>1864</v>
      </c>
      <c r="AA115" s="1212"/>
      <c r="AB115" s="1212"/>
      <c r="AC115" s="1212"/>
      <c r="AD115" s="1212"/>
      <c r="AE115" s="1212"/>
      <c r="AF115" s="1212"/>
      <c r="AG115" s="1212"/>
      <c r="AH115" s="1212"/>
      <c r="AI115" s="1213"/>
      <c r="AJ115" s="1296"/>
      <c r="AK115" s="1296"/>
      <c r="AL115" s="1296"/>
      <c r="AM115" s="1296"/>
      <c r="AN115" s="1296"/>
      <c r="AO115" s="1296"/>
      <c r="AP115" s="1296"/>
      <c r="AQ115" s="1296"/>
      <c r="AR115" s="1296"/>
      <c r="AS115" s="1296"/>
      <c r="AT115" s="1296"/>
      <c r="AU115" s="1296"/>
      <c r="AV115" s="1296"/>
      <c r="AW115" s="1296"/>
      <c r="AX115" s="1296"/>
      <c r="AY115" s="1296"/>
      <c r="AZ115" s="1296"/>
      <c r="BA115" s="1296"/>
      <c r="BB115" s="1296"/>
      <c r="BC115" s="1296"/>
      <c r="BD115" s="1296"/>
      <c r="BE115" s="1296"/>
      <c r="BF115" s="1296"/>
      <c r="BG115" s="1296"/>
      <c r="BH115" s="1296"/>
      <c r="BI115" s="1296"/>
      <c r="BJ115" s="1296"/>
      <c r="BK115" s="1296"/>
      <c r="BL115" s="1296"/>
      <c r="BM115" s="1296"/>
      <c r="BN115" s="1296"/>
      <c r="BO115" s="1296"/>
      <c r="BP115" s="1296"/>
      <c r="BQ115" s="1296"/>
      <c r="BR115" s="1296"/>
      <c r="BS115" s="1296"/>
      <c r="BT115" s="1296"/>
      <c r="BU115" s="1296"/>
      <c r="BV115" s="1296"/>
      <c r="BW115" s="1296"/>
      <c r="BX115" s="1296"/>
      <c r="BY115" s="1296"/>
      <c r="BZ115" s="1296"/>
      <c r="CA115" s="1296"/>
      <c r="CB115" s="1296"/>
      <c r="CC115" s="1296"/>
      <c r="CD115" s="1296"/>
      <c r="CE115" s="1296"/>
      <c r="CF115" s="1296"/>
      <c r="CG115" s="1296"/>
      <c r="CH115" s="1296"/>
      <c r="CI115" s="1296"/>
      <c r="CJ115" s="1296"/>
      <c r="CK115" s="1296"/>
    </row>
    <row r="116" spans="1:89" ht="15.75" thickBot="1" x14ac:dyDescent="0.3">
      <c r="A116" s="1296"/>
      <c r="B116" s="1726"/>
      <c r="C116" s="1245" t="s">
        <v>459</v>
      </c>
      <c r="D116" s="1245" t="str" cm="1">
        <f t="array" aca="1" ref="D116" ca="1">IF(INDIRECT("'Incentives Worksheet'!J"&amp;'Configurable Tab'!H11+13)="All","All Customers","Individual")</f>
        <v>All Customers</v>
      </c>
      <c r="E116" s="124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5" t="s">
        <v>1901</v>
      </c>
      <c r="G116" s="1247" t="str" cm="1">
        <f t="array" aca="1" ref="G116" ca="1">INDIRECT("'Incentives Worksheet'!N"&amp;'Configurable Tab'!H11+6)</f>
        <v>%</v>
      </c>
      <c r="H116" s="1188"/>
      <c r="I116" s="1188"/>
      <c r="J116" s="1188"/>
      <c r="K116" s="1188"/>
      <c r="L116" s="1188"/>
      <c r="M116" s="1188"/>
      <c r="N116" s="1188"/>
      <c r="O116" s="1188"/>
      <c r="P116" s="1188"/>
      <c r="Q116" s="138"/>
      <c r="R116" s="1296"/>
      <c r="S116" s="1296"/>
      <c r="T116" s="1726"/>
      <c r="U116" s="1245" t="s">
        <v>459</v>
      </c>
      <c r="V116" s="1246" t="str" cm="1">
        <f t="array" aca="1" ref="V116" ca="1">IF(INDIRECT("'Incentives Worksheet'!J"&amp;'Configurable Tab'!H12+13)="All","All Customers","Individual")</f>
        <v>All Customers</v>
      </c>
      <c r="W116" s="124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6" t="s">
        <v>1901</v>
      </c>
      <c r="Y116" s="1247" t="str" cm="1">
        <f t="array" aca="1" ref="Y116" ca="1">INDIRECT("'Incentives Worksheet'!N"&amp;'Configurable Tab'!H12+6)</f>
        <v>%</v>
      </c>
      <c r="Z116" s="1188"/>
      <c r="AA116" s="1188"/>
      <c r="AB116" s="1188"/>
      <c r="AC116" s="1188"/>
      <c r="AD116" s="1188"/>
      <c r="AE116" s="1188"/>
      <c r="AF116" s="1188"/>
      <c r="AG116" s="1188"/>
      <c r="AH116" s="1188"/>
      <c r="AI116" s="138"/>
      <c r="AJ116" s="1296"/>
      <c r="AK116" s="1296"/>
      <c r="AL116" s="1296"/>
      <c r="AM116" s="1296"/>
      <c r="AN116" s="1296"/>
      <c r="AO116" s="1296"/>
      <c r="AP116" s="1296"/>
      <c r="AQ116" s="1296"/>
      <c r="AR116" s="1296"/>
      <c r="AS116" s="1296"/>
      <c r="AT116" s="1296"/>
      <c r="AU116" s="1296"/>
      <c r="AV116" s="1296"/>
      <c r="AW116" s="1296"/>
      <c r="AX116" s="1296"/>
      <c r="AY116" s="1296"/>
      <c r="AZ116" s="1296"/>
      <c r="BA116" s="1296"/>
      <c r="BB116" s="1296"/>
      <c r="BC116" s="1296"/>
      <c r="BD116" s="1296"/>
      <c r="BE116" s="1296"/>
      <c r="BF116" s="1296"/>
      <c r="BG116" s="1296"/>
      <c r="BH116" s="1296"/>
      <c r="BI116" s="1296"/>
      <c r="BJ116" s="1296"/>
      <c r="BK116" s="1296"/>
      <c r="BL116" s="1296"/>
      <c r="BM116" s="1296"/>
      <c r="BN116" s="1296"/>
      <c r="BO116" s="1296"/>
      <c r="BP116" s="1296"/>
      <c r="BQ116" s="1296"/>
      <c r="BR116" s="1296"/>
      <c r="BS116" s="1296"/>
      <c r="BT116" s="1296"/>
      <c r="BU116" s="1296"/>
      <c r="BV116" s="1296"/>
      <c r="BW116" s="1296"/>
      <c r="BX116" s="1296"/>
      <c r="BY116" s="1296"/>
      <c r="BZ116" s="1296"/>
      <c r="CA116" s="1296"/>
      <c r="CB116" s="1296"/>
      <c r="CC116" s="1296"/>
      <c r="CD116" s="1296"/>
      <c r="CE116" s="1296"/>
      <c r="CF116" s="1296"/>
      <c r="CG116" s="1296"/>
      <c r="CH116" s="1296"/>
      <c r="CI116" s="1296"/>
      <c r="CJ116" s="1296"/>
      <c r="CK116" s="1296"/>
    </row>
    <row r="117" spans="1:89" x14ac:dyDescent="0.25">
      <c r="A117" s="1296"/>
      <c r="B117" s="1721"/>
      <c r="C117" s="1220" t="s">
        <v>1868</v>
      </c>
      <c r="D117" s="1221" t="s">
        <v>126</v>
      </c>
      <c r="E117" s="1222" t="s">
        <v>128</v>
      </c>
      <c r="F117" s="1223" t="s">
        <v>1110</v>
      </c>
      <c r="G117" s="1188"/>
      <c r="H117" s="1188"/>
      <c r="I117" s="1188"/>
      <c r="J117" s="1188"/>
      <c r="K117" s="1188"/>
      <c r="L117" s="1188"/>
      <c r="M117" s="1188"/>
      <c r="N117" s="1188"/>
      <c r="O117" s="1188"/>
      <c r="P117" s="1188"/>
      <c r="Q117" s="1189"/>
      <c r="R117" s="1296"/>
      <c r="S117" s="1296"/>
      <c r="T117" s="1726"/>
      <c r="U117" s="1248" t="s">
        <v>1868</v>
      </c>
      <c r="V117" s="1249" t="s">
        <v>126</v>
      </c>
      <c r="W117" s="1227" t="s">
        <v>128</v>
      </c>
      <c r="X117" s="1227" t="s">
        <v>1110</v>
      </c>
      <c r="Y117" s="1188"/>
      <c r="Z117" s="1188"/>
      <c r="AA117" s="1188"/>
      <c r="AB117" s="1188"/>
      <c r="AC117" s="1188"/>
      <c r="AD117" s="1188"/>
      <c r="AE117" s="1188"/>
      <c r="AF117" s="1188"/>
      <c r="AG117" s="1188"/>
      <c r="AH117" s="1188"/>
      <c r="AI117" s="1189"/>
      <c r="AJ117" s="1296"/>
      <c r="AK117" s="1296"/>
      <c r="AL117" s="1296"/>
      <c r="AM117" s="1296"/>
      <c r="AN117" s="1296"/>
      <c r="AO117" s="1296"/>
      <c r="AP117" s="1296"/>
      <c r="AQ117" s="1296"/>
      <c r="AR117" s="1296"/>
      <c r="AS117" s="1296"/>
      <c r="AT117" s="1296"/>
      <c r="AU117" s="1296"/>
      <c r="AV117" s="1296"/>
      <c r="AW117" s="1296"/>
      <c r="AX117" s="1296"/>
      <c r="AY117" s="1296"/>
      <c r="AZ117" s="1296"/>
      <c r="BA117" s="1296"/>
      <c r="BB117" s="1296"/>
      <c r="BC117" s="1296"/>
      <c r="BD117" s="1296"/>
      <c r="BE117" s="1296"/>
      <c r="BF117" s="1296"/>
      <c r="BG117" s="1296"/>
      <c r="BH117" s="1296"/>
      <c r="BI117" s="1296"/>
      <c r="BJ117" s="1296"/>
      <c r="BK117" s="1296"/>
      <c r="BL117" s="1296"/>
      <c r="BM117" s="1296"/>
      <c r="BN117" s="1296"/>
      <c r="BO117" s="1296"/>
      <c r="BP117" s="1296"/>
      <c r="BQ117" s="1296"/>
      <c r="BR117" s="1296"/>
      <c r="BS117" s="1296"/>
      <c r="BT117" s="1296"/>
      <c r="BU117" s="1296"/>
      <c r="BV117" s="1296"/>
      <c r="BW117" s="1296"/>
      <c r="BX117" s="1296"/>
      <c r="BY117" s="1296"/>
      <c r="BZ117" s="1296"/>
      <c r="CA117" s="1296"/>
      <c r="CB117" s="1296"/>
      <c r="CC117" s="1296"/>
      <c r="CD117" s="1296"/>
      <c r="CE117" s="1296"/>
      <c r="CF117" s="1296"/>
      <c r="CG117" s="1296"/>
      <c r="CH117" s="1296"/>
      <c r="CI117" s="1296"/>
      <c r="CJ117" s="1296"/>
      <c r="CK117" s="1296"/>
    </row>
    <row r="118" spans="1:89" x14ac:dyDescent="0.25">
      <c r="A118" s="1296"/>
      <c r="B118" s="1721"/>
      <c r="C118" s="1228">
        <v>0</v>
      </c>
      <c r="D118" s="1229" t="str">
        <f ca="1">IF(AND(COUNTIF(INDIRECT("'Incentives Worksheet'!H"&amp;'Configurable Tab'!H11+6):INDIRECT("'Incentives Worksheet'!H"&amp;'Configurable Tab'!H11+10),0)=0,'Incentives Worksheet'!$Z$11&lt;&gt;""),0,"")</f>
        <v/>
      </c>
      <c r="E118" s="1262" t="str">
        <f ca="1">IFERROR(IF(COUNTIF(INDIRECT("'Incentives Worksheet'!H"&amp;'Configurable Tab'!H11+6):INDIRECT("'Incentives Worksheet'!H"&amp;'Configurable Tab'!H11+10),0)=0,SMALL(INDIRECT("'Incentives Worksheet'!H"&amp;'Configurable Tab'!H11+6):INDIRECT("'Incentives Worksheet'!H"&amp;'Configurable Tab'!H11+10),1)-0.01,""),"")</f>
        <v/>
      </c>
      <c r="F118" s="1231" t="str">
        <f ca="1">IF(AND(COUNTIF(INDIRECT("'Incentives Worksheet'!H"&amp;'Configurable Tab'!H11+6):INDIRECT("'Incentives Worksheet'!H"&amp;'Configurable Tab'!H11+10),0)=0,'Incentives Worksheet'!$Z$11&lt;&gt;""),0,"")</f>
        <v/>
      </c>
      <c r="G118" s="1188"/>
      <c r="H118" s="1188"/>
      <c r="I118" s="1188"/>
      <c r="J118" s="1188"/>
      <c r="K118" s="1188"/>
      <c r="L118" s="1188"/>
      <c r="M118" s="1188"/>
      <c r="N118" s="1188"/>
      <c r="O118" s="1188"/>
      <c r="P118" s="1188"/>
      <c r="Q118" s="1189"/>
      <c r="R118" s="1296"/>
      <c r="S118" s="1296"/>
      <c r="T118" s="1721"/>
      <c r="U118" s="1232">
        <v>0</v>
      </c>
      <c r="V118" s="1272" t="str">
        <f ca="1">IF(AND(COUNTIF(INDIRECT("'Incentives Worksheet'!H"&amp;'Configurable Tab'!H12+6):INDIRECT("'Incentives Worksheet'!H"&amp;'Configurable Tab'!H12+10),0)=0,'Incentives Worksheet'!$Z$12&lt;&gt;""),0,"")</f>
        <v/>
      </c>
      <c r="W118" s="1261" t="str">
        <f ca="1">IFERROR(IF(COUNTIF(INDIRECT("'Incentives Worksheet'!H"&amp;'Configurable Tab'!H12+6):INDIRECT("'Incentives Worksheet'!H"&amp;'Configurable Tab'!H12+10),0)=0,SMALL(INDIRECT("'Incentives Worksheet'!H"&amp;'Configurable Tab'!H12+6):INDIRECT("'Incentives Worksheet'!H"&amp;'Configurable Tab'!H12+10),1)-0.01,""),"")</f>
        <v/>
      </c>
      <c r="X118" s="1261" t="str">
        <f ca="1">IF(AND(COUNTIF(INDIRECT("'Incentives Worksheet'!H"&amp;'Configurable Tab'!H12+6):INDIRECT("'Incentives Worksheet'!H"&amp;'Configurable Tab'!H12+10),0)=0,'Incentives Worksheet'!$Z$12&lt;&gt;""),0,"")</f>
        <v/>
      </c>
      <c r="Y118" s="1188"/>
      <c r="Z118" s="1188"/>
      <c r="AA118" s="1188"/>
      <c r="AB118" s="1188"/>
      <c r="AC118" s="1188"/>
      <c r="AD118" s="1188"/>
      <c r="AE118" s="1188"/>
      <c r="AF118" s="1188"/>
      <c r="AG118" s="1188"/>
      <c r="AH118" s="1188"/>
      <c r="AI118" s="1189"/>
      <c r="AJ118" s="1296"/>
      <c r="AK118" s="1296"/>
      <c r="AL118" s="1296"/>
      <c r="AM118" s="1296"/>
      <c r="AN118" s="1296"/>
      <c r="AO118" s="1296"/>
      <c r="AP118" s="1296"/>
      <c r="AQ118" s="1296"/>
      <c r="AR118" s="1296"/>
      <c r="AS118" s="1296"/>
      <c r="AT118" s="1296"/>
      <c r="AU118" s="1296"/>
      <c r="AV118" s="1296"/>
      <c r="AW118" s="1296"/>
      <c r="AX118" s="1296"/>
      <c r="AY118" s="1296"/>
      <c r="AZ118" s="1296"/>
      <c r="BA118" s="1296"/>
      <c r="BB118" s="1296"/>
      <c r="BC118" s="1296"/>
      <c r="BD118" s="1296"/>
      <c r="BE118" s="1296"/>
      <c r="BF118" s="1296"/>
      <c r="BG118" s="1296"/>
      <c r="BH118" s="1296"/>
      <c r="BI118" s="1296"/>
      <c r="BJ118" s="1296"/>
      <c r="BK118" s="1296"/>
      <c r="BL118" s="1296"/>
      <c r="BM118" s="1296"/>
      <c r="BN118" s="1296"/>
      <c r="BO118" s="1296"/>
      <c r="BP118" s="1296"/>
      <c r="BQ118" s="1296"/>
      <c r="BR118" s="1296"/>
      <c r="BS118" s="1296"/>
      <c r="BT118" s="1296"/>
      <c r="BU118" s="1296"/>
      <c r="BV118" s="1296"/>
      <c r="BW118" s="1296"/>
      <c r="BX118" s="1296"/>
      <c r="BY118" s="1296"/>
      <c r="BZ118" s="1296"/>
      <c r="CA118" s="1296"/>
      <c r="CB118" s="1296"/>
      <c r="CC118" s="1296"/>
      <c r="CD118" s="1296"/>
      <c r="CE118" s="1296"/>
      <c r="CF118" s="1296"/>
      <c r="CG118" s="1296"/>
      <c r="CH118" s="1296"/>
      <c r="CI118" s="1296"/>
      <c r="CJ118" s="1296"/>
      <c r="CK118" s="1296"/>
    </row>
    <row r="119" spans="1:89" x14ac:dyDescent="0.25">
      <c r="A119" s="1296"/>
      <c r="B119" s="1721"/>
      <c r="C119" s="1250">
        <v>1</v>
      </c>
      <c r="D119" s="1229" t="str" cm="1">
        <f t="array" aca="1" ref="D119" ca="1">IF(INDIRECT("'Incentives Worksheet'!H"&amp;'Configurable Tab'!H11+6)="","",INDIRECT("'Incentives Worksheet'!H"&amp;'Configurable Tab'!H11+6))</f>
        <v/>
      </c>
      <c r="E119" s="1262" t="str" cm="1">
        <f t="array" aca="1" ref="E119" ca="1">IF(INDIRECT("'Incentives Worksheet'!J"&amp;'Configurable Tab'!H11+6)="","",INDIRECT("'Incentives Worksheet'!J"&amp;'Configurable Tab'!H11+6))</f>
        <v/>
      </c>
      <c r="F119" s="1231" t="str" cm="1">
        <f t="array" aca="1" ref="F119" ca="1">IF(INDIRECT("'Incentives Worksheet'!L"&amp;'Configurable Tab'!H11+6)="","",INDIRECT("'Incentives Worksheet'!L"&amp;'Configurable Tab'!H11+6))</f>
        <v/>
      </c>
      <c r="G119" s="1188"/>
      <c r="H119" s="1188"/>
      <c r="I119" s="1188"/>
      <c r="J119" s="1188"/>
      <c r="K119" s="1188"/>
      <c r="L119" s="1188"/>
      <c r="M119" s="1188"/>
      <c r="N119" s="1188"/>
      <c r="O119" s="1188"/>
      <c r="P119" s="1188"/>
      <c r="Q119" s="1189"/>
      <c r="R119" s="1296"/>
      <c r="S119" s="1296"/>
      <c r="T119" s="1721"/>
      <c r="U119" s="1250">
        <v>1</v>
      </c>
      <c r="V119" s="1469" t="str" cm="1">
        <f t="array" aca="1" ref="V119" ca="1">IF(INDIRECT("'Incentives Worksheet'!H"&amp;'Configurable Tab'!H12+6)="","",INDIRECT("'Incentives Worksheet'!H"&amp;'Configurable Tab'!H12+6))</f>
        <v/>
      </c>
      <c r="W119" s="1251" t="str" cm="1">
        <f t="array" aca="1" ref="W119" ca="1">IF(INDIRECT("'Incentives Worksheet'!J"&amp;'Configurable Tab'!H12+6)="","",INDIRECT("'Incentives Worksheet'!J"&amp;'Configurable Tab'!H12+6))</f>
        <v/>
      </c>
      <c r="X119" s="1470" t="str" cm="1">
        <f t="array" aca="1" ref="X119" ca="1">IF(INDIRECT("'Incentives Worksheet'!L"&amp;'Configurable Tab'!H12+6)="","",INDIRECT("'Incentives Worksheet'!L"&amp;'Configurable Tab'!H12+6))</f>
        <v/>
      </c>
      <c r="Y119" s="1188"/>
      <c r="Z119" s="1188"/>
      <c r="AA119" s="1188"/>
      <c r="AB119" s="1188"/>
      <c r="AC119" s="1188"/>
      <c r="AD119" s="1188"/>
      <c r="AE119" s="1188"/>
      <c r="AF119" s="1188"/>
      <c r="AG119" s="1188"/>
      <c r="AH119" s="1188"/>
      <c r="AI119" s="1189"/>
      <c r="AJ119" s="1296"/>
      <c r="AK119" s="1296"/>
      <c r="AL119" s="1296"/>
      <c r="AM119" s="1296"/>
      <c r="AN119" s="1296"/>
      <c r="AO119" s="1296"/>
      <c r="AP119" s="1296"/>
      <c r="AQ119" s="1296"/>
      <c r="AR119" s="1296"/>
      <c r="AS119" s="1296"/>
      <c r="AT119" s="1296"/>
      <c r="AU119" s="1296"/>
      <c r="AV119" s="1296"/>
      <c r="AW119" s="1296"/>
      <c r="AX119" s="1296"/>
      <c r="AY119" s="1296"/>
      <c r="AZ119" s="1296"/>
      <c r="BA119" s="1296"/>
      <c r="BB119" s="1296"/>
      <c r="BC119" s="1296"/>
      <c r="BD119" s="1296"/>
      <c r="BE119" s="1296"/>
      <c r="BF119" s="1296"/>
      <c r="BG119" s="1296"/>
      <c r="BH119" s="1296"/>
      <c r="BI119" s="1296"/>
      <c r="BJ119" s="1296"/>
      <c r="BK119" s="1296"/>
      <c r="BL119" s="1296"/>
      <c r="BM119" s="1296"/>
      <c r="BN119" s="1296"/>
      <c r="BO119" s="1296"/>
      <c r="BP119" s="1296"/>
      <c r="BQ119" s="1296"/>
      <c r="BR119" s="1296"/>
      <c r="BS119" s="1296"/>
      <c r="BT119" s="1296"/>
      <c r="BU119" s="1296"/>
      <c r="BV119" s="1296"/>
      <c r="BW119" s="1296"/>
      <c r="BX119" s="1296"/>
      <c r="BY119" s="1296"/>
      <c r="BZ119" s="1296"/>
      <c r="CA119" s="1296"/>
      <c r="CB119" s="1296"/>
      <c r="CC119" s="1296"/>
      <c r="CD119" s="1296"/>
      <c r="CE119" s="1296"/>
      <c r="CF119" s="1296"/>
      <c r="CG119" s="1296"/>
      <c r="CH119" s="1296"/>
      <c r="CI119" s="1296"/>
      <c r="CJ119" s="1296"/>
      <c r="CK119" s="1296"/>
    </row>
    <row r="120" spans="1:89" x14ac:dyDescent="0.25">
      <c r="A120" s="1296"/>
      <c r="B120" s="1721"/>
      <c r="C120" s="1250">
        <v>2</v>
      </c>
      <c r="D120" s="1229" t="str" cm="1">
        <f t="array" aca="1" ref="D120" ca="1">IF(INDIRECT("'Incentives Worksheet'!H"&amp;'Configurable Tab'!H11+7)="","",INDIRECT("'Incentives Worksheet'!H"&amp;'Configurable Tab'!H11+7))</f>
        <v/>
      </c>
      <c r="E120" s="1262" t="str" cm="1">
        <f t="array" aca="1" ref="E120" ca="1">IF(INDIRECT("'Incentives Worksheet'!J"&amp;'Configurable Tab'!H11+7)="","",INDIRECT("'Incentives Worksheet'!J"&amp;'Configurable Tab'!H11+7))</f>
        <v/>
      </c>
      <c r="F120" s="1231" t="str" cm="1">
        <f t="array" aca="1" ref="F120" ca="1">IF(INDIRECT("'Incentives Worksheet'!L"&amp;'Configurable Tab'!H11+7)="","",INDIRECT("'Incentives Worksheet'!L"&amp;'Configurable Tab'!H11+7))</f>
        <v/>
      </c>
      <c r="G120" s="1188"/>
      <c r="H120" s="1188"/>
      <c r="I120" s="1188"/>
      <c r="J120" s="1188"/>
      <c r="K120" s="1188"/>
      <c r="L120" s="1188"/>
      <c r="M120" s="1188"/>
      <c r="N120" s="1188"/>
      <c r="O120" s="1188"/>
      <c r="P120" s="1188"/>
      <c r="Q120" s="1189"/>
      <c r="R120" s="1296"/>
      <c r="S120" s="1296"/>
      <c r="T120" s="1721"/>
      <c r="U120" s="1250">
        <v>2</v>
      </c>
      <c r="V120" s="1469" t="str" cm="1">
        <f t="array" aca="1" ref="V120" ca="1">IF(INDIRECT("'Incentives Worksheet'!H"&amp;'Configurable Tab'!H12+7)="","",INDIRECT("'Incentives Worksheet'!H"&amp;'Configurable Tab'!H12+7))</f>
        <v/>
      </c>
      <c r="W120" s="1251" t="str" cm="1">
        <f t="array" aca="1" ref="W120" ca="1">IF(INDIRECT("'Incentives Worksheet'!J"&amp;'Configurable Tab'!H12+7)="","",INDIRECT("'Incentives Worksheet'!J"&amp;'Configurable Tab'!H12+7))</f>
        <v/>
      </c>
      <c r="X120" s="1470" t="str" cm="1">
        <f t="array" aca="1" ref="X120" ca="1">IF(INDIRECT("'Incentives Worksheet'!L"&amp;'Configurable Tab'!H12+7)="","",INDIRECT("'Incentives Worksheet'!L"&amp;'Configurable Tab'!H12+7))</f>
        <v/>
      </c>
      <c r="Y120" s="1188"/>
      <c r="Z120" s="1188"/>
      <c r="AA120" s="1188"/>
      <c r="AB120" s="1188"/>
      <c r="AC120" s="1188"/>
      <c r="AD120" s="1188"/>
      <c r="AE120" s="1188"/>
      <c r="AF120" s="1188"/>
      <c r="AG120" s="1188"/>
      <c r="AH120" s="1188"/>
      <c r="AI120" s="1189"/>
      <c r="AJ120" s="1296"/>
      <c r="AK120" s="1296"/>
      <c r="AL120" s="1296"/>
      <c r="AM120" s="1296"/>
      <c r="AN120" s="1296"/>
      <c r="AO120" s="1296"/>
      <c r="AP120" s="1296"/>
      <c r="AQ120" s="1296"/>
      <c r="AR120" s="1296"/>
      <c r="AS120" s="1296"/>
      <c r="AT120" s="1296"/>
      <c r="AU120" s="1296"/>
      <c r="AV120" s="1296"/>
      <c r="AW120" s="1296"/>
      <c r="AX120" s="1296"/>
      <c r="AY120" s="1296"/>
      <c r="AZ120" s="1296"/>
      <c r="BA120" s="1296"/>
      <c r="BB120" s="1296"/>
      <c r="BC120" s="1296"/>
      <c r="BD120" s="1296"/>
      <c r="BE120" s="1296"/>
      <c r="BF120" s="1296"/>
      <c r="BG120" s="1296"/>
      <c r="BH120" s="1296"/>
      <c r="BI120" s="1296"/>
      <c r="BJ120" s="1296"/>
      <c r="BK120" s="1296"/>
      <c r="BL120" s="1296"/>
      <c r="BM120" s="1296"/>
      <c r="BN120" s="1296"/>
      <c r="BO120" s="1296"/>
      <c r="BP120" s="1296"/>
      <c r="BQ120" s="1296"/>
      <c r="BR120" s="1296"/>
      <c r="BS120" s="1296"/>
      <c r="BT120" s="1296"/>
      <c r="BU120" s="1296"/>
      <c r="BV120" s="1296"/>
      <c r="BW120" s="1296"/>
      <c r="BX120" s="1296"/>
      <c r="BY120" s="1296"/>
      <c r="BZ120" s="1296"/>
      <c r="CA120" s="1296"/>
      <c r="CB120" s="1296"/>
      <c r="CC120" s="1296"/>
      <c r="CD120" s="1296"/>
      <c r="CE120" s="1296"/>
      <c r="CF120" s="1296"/>
      <c r="CG120" s="1296"/>
      <c r="CH120" s="1296"/>
      <c r="CI120" s="1296"/>
      <c r="CJ120" s="1296"/>
      <c r="CK120" s="1296"/>
    </row>
    <row r="121" spans="1:89" x14ac:dyDescent="0.25">
      <c r="A121" s="1296"/>
      <c r="B121" s="1721"/>
      <c r="C121" s="1250">
        <v>3</v>
      </c>
      <c r="D121" s="1229" t="str" cm="1">
        <f t="array" aca="1" ref="D121" ca="1">IF(INDIRECT("'Incentives Worksheet'!H"&amp;'Configurable Tab'!H11+8)="","",INDIRECT("'Incentives Worksheet'!H"&amp;'Configurable Tab'!H11+8))</f>
        <v/>
      </c>
      <c r="E121" s="1262" t="str" cm="1">
        <f t="array" aca="1" ref="E121" ca="1">IF(INDIRECT("'Incentives Worksheet'!J"&amp;'Configurable Tab'!H11+8)="","",INDIRECT("'Incentives Worksheet'!J"&amp;'Configurable Tab'!H11+8))</f>
        <v/>
      </c>
      <c r="F121" s="1231" t="str" cm="1">
        <f t="array" aca="1" ref="F121" ca="1">IF(INDIRECT("'Incentives Worksheet'!L"&amp;'Configurable Tab'!H11+8)="","",INDIRECT("'Incentives Worksheet'!L"&amp;'Configurable Tab'!H11+8))</f>
        <v/>
      </c>
      <c r="G121" s="1188"/>
      <c r="H121" s="1188"/>
      <c r="I121" s="1188"/>
      <c r="J121" s="1188"/>
      <c r="K121" s="1188"/>
      <c r="L121" s="1188"/>
      <c r="M121" s="1188"/>
      <c r="N121" s="1188"/>
      <c r="O121" s="1188"/>
      <c r="P121" s="1188"/>
      <c r="Q121" s="1189"/>
      <c r="R121" s="1296"/>
      <c r="S121" s="1296"/>
      <c r="T121" s="1721"/>
      <c r="U121" s="1250">
        <v>3</v>
      </c>
      <c r="V121" s="1469" t="str" cm="1">
        <f t="array" aca="1" ref="V121" ca="1">IF(INDIRECT("'Incentives Worksheet'!H"&amp;'Configurable Tab'!H12+8)="","",INDIRECT("'Incentives Worksheet'!H"&amp;'Configurable Tab'!H12+8))</f>
        <v/>
      </c>
      <c r="W121" s="1251" t="str" cm="1">
        <f t="array" aca="1" ref="W121" ca="1">IF(INDIRECT("'Incentives Worksheet'!J"&amp;'Configurable Tab'!H12+8)="","",INDIRECT("'Incentives Worksheet'!J"&amp;'Configurable Tab'!H12+8))</f>
        <v/>
      </c>
      <c r="X121" s="1470" t="str" cm="1">
        <f t="array" aca="1" ref="X121" ca="1">IF(INDIRECT("'Incentives Worksheet'!L"&amp;'Configurable Tab'!H12+8)="","",INDIRECT("'Incentives Worksheet'!L"&amp;'Configurable Tab'!H12+8))</f>
        <v/>
      </c>
      <c r="Y121" s="1188"/>
      <c r="Z121" s="1188"/>
      <c r="AA121" s="1188"/>
      <c r="AB121" s="1188"/>
      <c r="AC121" s="1188"/>
      <c r="AD121" s="1188"/>
      <c r="AE121" s="1188"/>
      <c r="AF121" s="1188"/>
      <c r="AG121" s="1188"/>
      <c r="AH121" s="1188"/>
      <c r="AI121" s="1189"/>
      <c r="AJ121" s="1296"/>
      <c r="AK121" s="1296"/>
      <c r="AL121" s="1296"/>
      <c r="AM121" s="1296"/>
      <c r="AN121" s="1296"/>
      <c r="AO121" s="1296"/>
      <c r="AP121" s="1296"/>
      <c r="AQ121" s="1296"/>
      <c r="AR121" s="1296"/>
      <c r="AS121" s="1296"/>
      <c r="AT121" s="1296"/>
      <c r="AU121" s="1296"/>
      <c r="AV121" s="1296"/>
      <c r="AW121" s="1296"/>
      <c r="AX121" s="1296"/>
      <c r="AY121" s="1296"/>
      <c r="AZ121" s="1296"/>
      <c r="BA121" s="1296"/>
      <c r="BB121" s="1296"/>
      <c r="BC121" s="1296"/>
      <c r="BD121" s="1296"/>
      <c r="BE121" s="1296"/>
      <c r="BF121" s="1296"/>
      <c r="BG121" s="1296"/>
      <c r="BH121" s="1296"/>
      <c r="BI121" s="1296"/>
      <c r="BJ121" s="1296"/>
      <c r="BK121" s="1296"/>
      <c r="BL121" s="1296"/>
      <c r="BM121" s="1296"/>
      <c r="BN121" s="1296"/>
      <c r="BO121" s="1296"/>
      <c r="BP121" s="1296"/>
      <c r="BQ121" s="1296"/>
      <c r="BR121" s="1296"/>
      <c r="BS121" s="1296"/>
      <c r="BT121" s="1296"/>
      <c r="BU121" s="1296"/>
      <c r="BV121" s="1296"/>
      <c r="BW121" s="1296"/>
      <c r="BX121" s="1296"/>
      <c r="BY121" s="1296"/>
      <c r="BZ121" s="1296"/>
      <c r="CA121" s="1296"/>
      <c r="CB121" s="1296"/>
      <c r="CC121" s="1296"/>
      <c r="CD121" s="1296"/>
      <c r="CE121" s="1296"/>
      <c r="CF121" s="1296"/>
      <c r="CG121" s="1296"/>
      <c r="CH121" s="1296"/>
      <c r="CI121" s="1296"/>
      <c r="CJ121" s="1296"/>
      <c r="CK121" s="1296"/>
    </row>
    <row r="122" spans="1:89" x14ac:dyDescent="0.25">
      <c r="A122" s="1296"/>
      <c r="B122" s="1721"/>
      <c r="C122" s="1250">
        <v>4</v>
      </c>
      <c r="D122" s="1229" t="str" cm="1">
        <f t="array" aca="1" ref="D122" ca="1">IF(INDIRECT("'Incentives Worksheet'!H"&amp;'Configurable Tab'!H11+9)="","",INDIRECT("'Incentives Worksheet'!H"&amp;'Configurable Tab'!H11+9))</f>
        <v/>
      </c>
      <c r="E122" s="1262" t="str" cm="1">
        <f t="array" aca="1" ref="E122" ca="1">IF(INDIRECT("'Incentives Worksheet'!J"&amp;'Configurable Tab'!H11+9)="","",INDIRECT("'Incentives Worksheet'!J"&amp;'Configurable Tab'!H11+9))</f>
        <v/>
      </c>
      <c r="F122" s="1231" t="str" cm="1">
        <f t="array" aca="1" ref="F122" ca="1">IF(INDIRECT("'Incentives Worksheet'!L"&amp;'Configurable Tab'!H11+9)="","",INDIRECT("'Incentives Worksheet'!L"&amp;'Configurable Tab'!H11+9))</f>
        <v/>
      </c>
      <c r="G122" s="1188"/>
      <c r="H122" s="1188"/>
      <c r="I122" s="1188"/>
      <c r="J122" s="1188"/>
      <c r="K122" s="1188"/>
      <c r="L122" s="1188"/>
      <c r="M122" s="1188"/>
      <c r="N122" s="1188"/>
      <c r="O122" s="1188"/>
      <c r="P122" s="1188"/>
      <c r="Q122" s="1189"/>
      <c r="R122" s="1296"/>
      <c r="S122" s="1296"/>
      <c r="T122" s="1721"/>
      <c r="U122" s="1250">
        <v>4</v>
      </c>
      <c r="V122" s="1469" t="str" cm="1">
        <f t="array" aca="1" ref="V122" ca="1">IF(INDIRECT("'Incentives Worksheet'!H"&amp;'Configurable Tab'!H12+9)="","",INDIRECT("'Incentives Worksheet'!H"&amp;'Configurable Tab'!H12+9))</f>
        <v/>
      </c>
      <c r="W122" s="1251" t="str" cm="1">
        <f t="array" aca="1" ref="W122" ca="1">IF(INDIRECT("'Incentives Worksheet'!J"&amp;'Configurable Tab'!H12+9)="","",INDIRECT("'Incentives Worksheet'!J"&amp;'Configurable Tab'!H12+9))</f>
        <v/>
      </c>
      <c r="X122" s="1470" t="str" cm="1">
        <f t="array" aca="1" ref="X122" ca="1">IF(INDIRECT("'Incentives Worksheet'!L"&amp;'Configurable Tab'!H12+9)="","",INDIRECT("'Incentives Worksheet'!L"&amp;'Configurable Tab'!H12+9))</f>
        <v/>
      </c>
      <c r="Y122" s="1188"/>
      <c r="Z122" s="1188"/>
      <c r="AA122" s="1188"/>
      <c r="AB122" s="1188"/>
      <c r="AC122" s="1188"/>
      <c r="AD122" s="1188"/>
      <c r="AE122" s="1188"/>
      <c r="AF122" s="1188"/>
      <c r="AG122" s="1188"/>
      <c r="AH122" s="1188"/>
      <c r="AI122" s="1189"/>
      <c r="AJ122" s="1296"/>
      <c r="AK122" s="1296"/>
      <c r="AL122" s="1296"/>
      <c r="AM122" s="1296"/>
      <c r="AN122" s="1296"/>
      <c r="AO122" s="1296"/>
      <c r="AP122" s="1296"/>
      <c r="AQ122" s="1296"/>
      <c r="AR122" s="1296"/>
      <c r="AS122" s="1296"/>
      <c r="AT122" s="1296"/>
      <c r="AU122" s="1296"/>
      <c r="AV122" s="1296"/>
      <c r="AW122" s="1296"/>
      <c r="AX122" s="1296"/>
      <c r="AY122" s="1296"/>
      <c r="AZ122" s="1296"/>
      <c r="BA122" s="1296"/>
      <c r="BB122" s="1296"/>
      <c r="BC122" s="1296"/>
      <c r="BD122" s="1296"/>
      <c r="BE122" s="1296"/>
      <c r="BF122" s="1296"/>
      <c r="BG122" s="1296"/>
      <c r="BH122" s="1296"/>
      <c r="BI122" s="1296"/>
      <c r="BJ122" s="1296"/>
      <c r="BK122" s="1296"/>
      <c r="BL122" s="1296"/>
      <c r="BM122" s="1296"/>
      <c r="BN122" s="1296"/>
      <c r="BO122" s="1296"/>
      <c r="BP122" s="1296"/>
      <c r="BQ122" s="1296"/>
      <c r="BR122" s="1296"/>
      <c r="BS122" s="1296"/>
      <c r="BT122" s="1296"/>
      <c r="BU122" s="1296"/>
      <c r="BV122" s="1296"/>
      <c r="BW122" s="1296"/>
      <c r="BX122" s="1296"/>
      <c r="BY122" s="1296"/>
      <c r="BZ122" s="1296"/>
      <c r="CA122" s="1296"/>
      <c r="CB122" s="1296"/>
      <c r="CC122" s="1296"/>
      <c r="CD122" s="1296"/>
      <c r="CE122" s="1296"/>
      <c r="CF122" s="1296"/>
      <c r="CG122" s="1296"/>
      <c r="CH122" s="1296"/>
      <c r="CI122" s="1296"/>
      <c r="CJ122" s="1296"/>
      <c r="CK122" s="1296"/>
    </row>
    <row r="123" spans="1:89" ht="15.75" thickBot="1" x14ac:dyDescent="0.3">
      <c r="A123" s="1296"/>
      <c r="B123" s="1722"/>
      <c r="C123" s="1234">
        <v>5</v>
      </c>
      <c r="D123" s="1263" t="str" cm="1">
        <f t="array" aca="1" ref="D123" ca="1">IF(INDIRECT("'Incentives Worksheet'!H"&amp;'Configurable Tab'!H11+10)="","",INDIRECT("'Incentives Worksheet'!H"&amp;'Configurable Tab'!H11+10))</f>
        <v/>
      </c>
      <c r="E123" s="1264" t="str" cm="1">
        <f t="array" aca="1" ref="E123" ca="1">IF(INDIRECT("'Incentives Worksheet'!J"&amp;'Configurable Tab'!H11+10)="","",INDIRECT("'Incentives Worksheet'!J"&amp;'Configurable Tab'!H11+10))</f>
        <v/>
      </c>
      <c r="F123" s="1265" t="str" cm="1">
        <f t="array" aca="1" ref="F123" ca="1">IF(INDIRECT("'Incentives Worksheet'!L"&amp;'Configurable Tab'!H11+10)="","",INDIRECT("'Incentives Worksheet'!L"&amp;'Configurable Tab'!H11+10))</f>
        <v/>
      </c>
      <c r="G123" s="1188"/>
      <c r="H123" s="1188"/>
      <c r="I123" s="1188"/>
      <c r="J123" s="1188"/>
      <c r="K123" s="1188"/>
      <c r="L123" s="1188"/>
      <c r="M123" s="1188"/>
      <c r="N123" s="1188"/>
      <c r="O123" s="1188"/>
      <c r="P123" s="1188"/>
      <c r="Q123" s="1189"/>
      <c r="R123" s="1296"/>
      <c r="S123" s="1296"/>
      <c r="T123" s="1722"/>
      <c r="U123" s="1234">
        <v>5</v>
      </c>
      <c r="V123" s="1235" t="str" cm="1">
        <f t="array" aca="1" ref="V123" ca="1">IF(INDIRECT("'Incentives Worksheet'!H"&amp;'Configurable Tab'!H12+10)="","",INDIRECT("'Incentives Worksheet'!H"&amp;'Configurable Tab'!H12+10))</f>
        <v/>
      </c>
      <c r="W123" s="1236" t="str" cm="1">
        <f t="array" aca="1" ref="W123" ca="1">IF(INDIRECT("'Incentives Worksheet'!J"&amp;'Configurable Tab'!H12+10)="","",INDIRECT("'Incentives Worksheet'!J"&amp;'Configurable Tab'!H12+10))</f>
        <v/>
      </c>
      <c r="X123" s="1237" t="str" cm="1">
        <f t="array" aca="1" ref="X123" ca="1">IF(INDIRECT("'Incentives Worksheet'!L"&amp;'Configurable Tab'!H12+10)="","",INDIRECT("'Incentives Worksheet'!L"&amp;'Configurable Tab'!H12+10))</f>
        <v/>
      </c>
      <c r="Y123" s="1188"/>
      <c r="Z123" s="1188"/>
      <c r="AA123" s="1188"/>
      <c r="AB123" s="1188"/>
      <c r="AC123" s="1188"/>
      <c r="AD123" s="1188"/>
      <c r="AE123" s="1188"/>
      <c r="AF123" s="1188"/>
      <c r="AG123" s="1188"/>
      <c r="AH123" s="1188"/>
      <c r="AI123" s="1189"/>
      <c r="AJ123" s="1296"/>
      <c r="AK123" s="1296"/>
      <c r="AL123" s="1296"/>
      <c r="AM123" s="1296"/>
      <c r="AN123" s="1296"/>
      <c r="AO123" s="1296"/>
      <c r="AP123" s="1296"/>
      <c r="AQ123" s="1296"/>
      <c r="AR123" s="1296"/>
      <c r="AS123" s="1296"/>
      <c r="AT123" s="1296"/>
      <c r="AU123" s="1296"/>
      <c r="AV123" s="1296"/>
      <c r="AW123" s="1296"/>
      <c r="AX123" s="1296"/>
      <c r="AY123" s="1296"/>
      <c r="AZ123" s="1296"/>
      <c r="BA123" s="1296"/>
      <c r="BB123" s="1296"/>
      <c r="BC123" s="1296"/>
      <c r="BD123" s="1296"/>
      <c r="BE123" s="1296"/>
      <c r="BF123" s="1296"/>
      <c r="BG123" s="1296"/>
      <c r="BH123" s="1296"/>
      <c r="BI123" s="1296"/>
      <c r="BJ123" s="1296"/>
      <c r="BK123" s="1296"/>
      <c r="BL123" s="1296"/>
      <c r="BM123" s="1296"/>
      <c r="BN123" s="1296"/>
      <c r="BO123" s="1296"/>
      <c r="BP123" s="1296"/>
      <c r="BQ123" s="1296"/>
      <c r="BR123" s="1296"/>
      <c r="BS123" s="1296"/>
      <c r="BT123" s="1296"/>
      <c r="BU123" s="1296"/>
      <c r="BV123" s="1296"/>
      <c r="BW123" s="1296"/>
      <c r="BX123" s="1296"/>
      <c r="BY123" s="1296"/>
      <c r="BZ123" s="1296"/>
      <c r="CA123" s="1296"/>
      <c r="CB123" s="1296"/>
      <c r="CC123" s="1296"/>
      <c r="CD123" s="1296"/>
      <c r="CE123" s="1296"/>
      <c r="CF123" s="1296"/>
      <c r="CG123" s="1296"/>
      <c r="CH123" s="1296"/>
      <c r="CI123" s="1296"/>
      <c r="CJ123" s="1296"/>
      <c r="CK123" s="1296"/>
    </row>
    <row r="124" spans="1:89" ht="15.75" customHeight="1" thickBot="1" x14ac:dyDescent="0.3">
      <c r="A124" s="1296"/>
      <c r="B124" s="1719" t="s">
        <v>1842</v>
      </c>
      <c r="C124" s="1241" t="s">
        <v>1843</v>
      </c>
      <c r="D124" s="1242" t="s">
        <v>131</v>
      </c>
      <c r="E124" s="1242" t="s">
        <v>1844</v>
      </c>
      <c r="F124" s="1296"/>
      <c r="G124" s="1296"/>
      <c r="H124" s="1296"/>
      <c r="I124" s="1296"/>
      <c r="J124" s="1296"/>
      <c r="K124" s="1296"/>
      <c r="L124" s="1296"/>
      <c r="M124" s="1296"/>
      <c r="N124" s="1296"/>
      <c r="O124" s="1296"/>
      <c r="P124" s="1296"/>
      <c r="Q124" s="138"/>
      <c r="R124" s="1296"/>
      <c r="S124" s="1296"/>
      <c r="T124" s="1719" t="s">
        <v>1842</v>
      </c>
      <c r="U124" s="1241" t="s">
        <v>1843</v>
      </c>
      <c r="V124" s="1242" t="s">
        <v>131</v>
      </c>
      <c r="W124" s="1242" t="s">
        <v>1844</v>
      </c>
      <c r="X124" s="1296"/>
      <c r="Y124" s="1296"/>
      <c r="Z124" s="1296"/>
      <c r="AA124" s="1296"/>
      <c r="AB124" s="1296"/>
      <c r="AC124" s="1296"/>
      <c r="AD124" s="1296"/>
      <c r="AE124" s="1296"/>
      <c r="AF124" s="1296"/>
      <c r="AG124" s="1296"/>
      <c r="AH124" s="1296"/>
      <c r="AI124" s="138"/>
      <c r="AJ124" s="1296"/>
      <c r="AK124" s="1296"/>
      <c r="AL124" s="1296"/>
      <c r="AM124" s="1296"/>
      <c r="AN124" s="1296"/>
      <c r="AO124" s="1296"/>
      <c r="AP124" s="1296"/>
      <c r="AQ124" s="1296"/>
      <c r="AR124" s="1296"/>
      <c r="AS124" s="1296"/>
      <c r="AT124" s="1296"/>
      <c r="AU124" s="1296"/>
      <c r="AV124" s="1296"/>
      <c r="AW124" s="1296"/>
      <c r="AX124" s="1296"/>
      <c r="AY124" s="1296"/>
      <c r="AZ124" s="1296"/>
      <c r="BA124" s="1296"/>
      <c r="BB124" s="1296"/>
      <c r="BC124" s="1296"/>
      <c r="BD124" s="1296"/>
      <c r="BE124" s="1296"/>
      <c r="BF124" s="1296"/>
      <c r="BG124" s="1296"/>
      <c r="BH124" s="1296"/>
      <c r="BI124" s="1296"/>
      <c r="BJ124" s="1296"/>
      <c r="BK124" s="1296"/>
      <c r="BL124" s="1296"/>
      <c r="BM124" s="1296"/>
      <c r="BN124" s="1296"/>
      <c r="BO124" s="1296"/>
      <c r="BP124" s="1296"/>
      <c r="BQ124" s="1296"/>
      <c r="BR124" s="1296"/>
      <c r="BS124" s="1296"/>
      <c r="BT124" s="1296"/>
      <c r="BU124" s="1296"/>
      <c r="BV124" s="1296"/>
      <c r="BW124" s="1296"/>
      <c r="BX124" s="1296"/>
      <c r="BY124" s="1296"/>
      <c r="BZ124" s="1296"/>
      <c r="CA124" s="1296"/>
      <c r="CB124" s="1296"/>
      <c r="CC124" s="1296"/>
      <c r="CD124" s="1296"/>
      <c r="CE124" s="1296"/>
      <c r="CF124" s="1296"/>
      <c r="CG124" s="1296"/>
      <c r="CH124" s="1296"/>
      <c r="CI124" s="1296"/>
      <c r="CJ124" s="1296"/>
      <c r="CK124" s="1296"/>
    </row>
    <row r="125" spans="1:89" x14ac:dyDescent="0.25">
      <c r="A125" s="1296"/>
      <c r="B125" s="1726"/>
      <c r="C125" s="1193" t="s">
        <v>1845</v>
      </c>
      <c r="D125" s="1193" t="s">
        <v>1846</v>
      </c>
      <c r="E125" s="1194"/>
      <c r="F125" s="1296"/>
      <c r="G125" s="1296"/>
      <c r="H125" s="1296"/>
      <c r="I125" s="1296"/>
      <c r="J125" s="1296"/>
      <c r="K125" s="1296"/>
      <c r="L125" s="1296"/>
      <c r="M125" s="1296"/>
      <c r="N125" s="1296"/>
      <c r="O125" s="1296"/>
      <c r="P125" s="1296"/>
      <c r="Q125" s="138"/>
      <c r="R125" s="1296"/>
      <c r="S125" s="1296"/>
      <c r="T125" s="1726"/>
      <c r="U125" s="1193" t="s">
        <v>1845</v>
      </c>
      <c r="V125" s="1193" t="s">
        <v>1846</v>
      </c>
      <c r="W125" s="1194"/>
      <c r="X125" s="1296"/>
      <c r="Y125" s="1296"/>
      <c r="Z125" s="1296"/>
      <c r="AA125" s="1296"/>
      <c r="AB125" s="1296"/>
      <c r="AC125" s="1296"/>
      <c r="AD125" s="1296"/>
      <c r="AE125" s="1296"/>
      <c r="AF125" s="1296"/>
      <c r="AG125" s="1296"/>
      <c r="AH125" s="1296"/>
      <c r="AI125" s="138"/>
      <c r="AJ125" s="1296"/>
      <c r="AK125" s="1296"/>
      <c r="AL125" s="1296"/>
      <c r="AM125" s="1296"/>
      <c r="AN125" s="1296"/>
      <c r="AO125" s="1296"/>
      <c r="AP125" s="1296"/>
      <c r="AQ125" s="1296"/>
      <c r="AR125" s="1296"/>
      <c r="AS125" s="1296"/>
      <c r="AT125" s="1296"/>
      <c r="AU125" s="1296"/>
      <c r="AV125" s="1296"/>
      <c r="AW125" s="1296"/>
      <c r="AX125" s="1296"/>
      <c r="AY125" s="1296"/>
      <c r="AZ125" s="1296"/>
      <c r="BA125" s="1296"/>
      <c r="BB125" s="1296"/>
      <c r="BC125" s="1296"/>
      <c r="BD125" s="1296"/>
      <c r="BE125" s="1296"/>
      <c r="BF125" s="1296"/>
      <c r="BG125" s="1296"/>
      <c r="BH125" s="1296"/>
      <c r="BI125" s="1296"/>
      <c r="BJ125" s="1296"/>
      <c r="BK125" s="1296"/>
      <c r="BL125" s="1296"/>
      <c r="BM125" s="1296"/>
      <c r="BN125" s="1296"/>
      <c r="BO125" s="1296"/>
      <c r="BP125" s="1296"/>
      <c r="BQ125" s="1296"/>
      <c r="BR125" s="1296"/>
      <c r="BS125" s="1296"/>
      <c r="BT125" s="1296"/>
      <c r="BU125" s="1296"/>
      <c r="BV125" s="1296"/>
      <c r="BW125" s="1296"/>
      <c r="BX125" s="1296"/>
      <c r="BY125" s="1296"/>
      <c r="BZ125" s="1296"/>
      <c r="CA125" s="1296"/>
      <c r="CB125" s="1296"/>
      <c r="CC125" s="1296"/>
      <c r="CD125" s="1296"/>
      <c r="CE125" s="1296"/>
      <c r="CF125" s="1296"/>
      <c r="CG125" s="1296"/>
      <c r="CH125" s="1296"/>
      <c r="CI125" s="1296"/>
      <c r="CJ125" s="1296"/>
      <c r="CK125" s="1296"/>
    </row>
    <row r="126" spans="1:89" x14ac:dyDescent="0.25">
      <c r="A126" s="1296"/>
      <c r="B126" s="1726"/>
      <c r="C126" s="1195" t="s">
        <v>1845</v>
      </c>
      <c r="D126" s="1195" t="s">
        <v>1847</v>
      </c>
      <c r="E126" s="1196" t="s">
        <v>1848</v>
      </c>
      <c r="F126" s="1296"/>
      <c r="G126" s="1296"/>
      <c r="H126" s="1296"/>
      <c r="I126" s="1296"/>
      <c r="J126" s="1296"/>
      <c r="K126" s="1296"/>
      <c r="L126" s="1296"/>
      <c r="M126" s="1296"/>
      <c r="N126" s="1296"/>
      <c r="O126" s="1296"/>
      <c r="P126" s="1296"/>
      <c r="Q126" s="138"/>
      <c r="R126" s="1296"/>
      <c r="S126" s="1296"/>
      <c r="T126" s="1726"/>
      <c r="U126" s="1195" t="s">
        <v>1845</v>
      </c>
      <c r="V126" s="1195" t="s">
        <v>1847</v>
      </c>
      <c r="W126" s="1196" t="s">
        <v>1848</v>
      </c>
      <c r="X126" s="1296"/>
      <c r="Y126" s="1296"/>
      <c r="Z126" s="1296"/>
      <c r="AA126" s="1296"/>
      <c r="AB126" s="1296"/>
      <c r="AC126" s="1296"/>
      <c r="AD126" s="1296"/>
      <c r="AE126" s="1296"/>
      <c r="AF126" s="1296"/>
      <c r="AG126" s="1296"/>
      <c r="AH126" s="1296"/>
      <c r="AI126" s="138"/>
      <c r="AJ126" s="1296"/>
      <c r="AK126" s="1296"/>
      <c r="AL126" s="1296"/>
      <c r="AM126" s="1296"/>
      <c r="AN126" s="1296"/>
      <c r="AO126" s="1296"/>
      <c r="AP126" s="1296"/>
      <c r="AQ126" s="1296"/>
      <c r="AR126" s="1296"/>
      <c r="AS126" s="1296"/>
      <c r="AT126" s="1296"/>
      <c r="AU126" s="1296"/>
      <c r="AV126" s="1296"/>
      <c r="AW126" s="1296"/>
      <c r="AX126" s="1296"/>
      <c r="AY126" s="1296"/>
      <c r="AZ126" s="1296"/>
      <c r="BA126" s="1296"/>
      <c r="BB126" s="1296"/>
      <c r="BC126" s="1296"/>
      <c r="BD126" s="1296"/>
      <c r="BE126" s="1296"/>
      <c r="BF126" s="1296"/>
      <c r="BG126" s="1296"/>
      <c r="BH126" s="1296"/>
      <c r="BI126" s="1296"/>
      <c r="BJ126" s="1296"/>
      <c r="BK126" s="1296"/>
      <c r="BL126" s="1296"/>
      <c r="BM126" s="1296"/>
      <c r="BN126" s="1296"/>
      <c r="BO126" s="1296"/>
      <c r="BP126" s="1296"/>
      <c r="BQ126" s="1296"/>
      <c r="BR126" s="1296"/>
      <c r="BS126" s="1296"/>
      <c r="BT126" s="1296"/>
      <c r="BU126" s="1296"/>
      <c r="BV126" s="1296"/>
      <c r="BW126" s="1296"/>
      <c r="BX126" s="1296"/>
      <c r="BY126" s="1296"/>
      <c r="BZ126" s="1296"/>
      <c r="CA126" s="1296"/>
      <c r="CB126" s="1296"/>
      <c r="CC126" s="1296"/>
      <c r="CD126" s="1296"/>
      <c r="CE126" s="1296"/>
      <c r="CF126" s="1296"/>
      <c r="CG126" s="1296"/>
      <c r="CH126" s="1296"/>
      <c r="CI126" s="1296"/>
      <c r="CJ126" s="1296"/>
      <c r="CK126" s="1296"/>
    </row>
    <row r="127" spans="1:89" x14ac:dyDescent="0.25">
      <c r="A127" s="1296"/>
      <c r="B127" s="1726"/>
      <c r="C127" s="1195" t="s">
        <v>1845</v>
      </c>
      <c r="D127" s="1195" t="s">
        <v>1849</v>
      </c>
      <c r="E127" s="1196" t="s">
        <v>1718</v>
      </c>
      <c r="F127" s="1296"/>
      <c r="G127" s="1296"/>
      <c r="H127" s="1296"/>
      <c r="I127" s="1296"/>
      <c r="J127" s="1296"/>
      <c r="K127" s="1296"/>
      <c r="L127" s="1296"/>
      <c r="M127" s="1296"/>
      <c r="N127" s="1296"/>
      <c r="O127" s="1296"/>
      <c r="P127" s="1296"/>
      <c r="Q127" s="138"/>
      <c r="R127" s="1296"/>
      <c r="S127" s="1296"/>
      <c r="T127" s="1726"/>
      <c r="U127" s="1195" t="s">
        <v>1845</v>
      </c>
      <c r="V127" s="1195" t="s">
        <v>1849</v>
      </c>
      <c r="W127" s="1196" t="s">
        <v>1718</v>
      </c>
      <c r="X127" s="1296"/>
      <c r="Y127" s="1296"/>
      <c r="Z127" s="1296"/>
      <c r="AA127" s="1296"/>
      <c r="AB127" s="1296"/>
      <c r="AC127" s="1296"/>
      <c r="AD127" s="1296"/>
      <c r="AE127" s="1296"/>
      <c r="AF127" s="1296"/>
      <c r="AG127" s="1296"/>
      <c r="AH127" s="1296"/>
      <c r="AI127" s="138"/>
      <c r="AJ127" s="1296"/>
      <c r="AK127" s="1296"/>
      <c r="AL127" s="1296"/>
      <c r="AM127" s="1296"/>
      <c r="AN127" s="1296"/>
      <c r="AO127" s="1296"/>
      <c r="AP127" s="1296"/>
      <c r="AQ127" s="1296"/>
      <c r="AR127" s="1296"/>
      <c r="AS127" s="1296"/>
      <c r="AT127" s="1296"/>
      <c r="AU127" s="1296"/>
      <c r="AV127" s="1296"/>
      <c r="AW127" s="1296"/>
      <c r="AX127" s="1296"/>
      <c r="AY127" s="1296"/>
      <c r="AZ127" s="1296"/>
      <c r="BA127" s="1296"/>
      <c r="BB127" s="1296"/>
      <c r="BC127" s="1296"/>
      <c r="BD127" s="1296"/>
      <c r="BE127" s="1296"/>
      <c r="BF127" s="1296"/>
      <c r="BG127" s="1296"/>
      <c r="BH127" s="1296"/>
      <c r="BI127" s="1296"/>
      <c r="BJ127" s="1296"/>
      <c r="BK127" s="1296"/>
      <c r="BL127" s="1296"/>
      <c r="BM127" s="1296"/>
      <c r="BN127" s="1296"/>
      <c r="BO127" s="1296"/>
      <c r="BP127" s="1296"/>
      <c r="BQ127" s="1296"/>
      <c r="BR127" s="1296"/>
      <c r="BS127" s="1296"/>
      <c r="BT127" s="1296"/>
      <c r="BU127" s="1296"/>
      <c r="BV127" s="1296"/>
      <c r="BW127" s="1296"/>
      <c r="BX127" s="1296"/>
      <c r="BY127" s="1296"/>
      <c r="BZ127" s="1296"/>
      <c r="CA127" s="1296"/>
      <c r="CB127" s="1296"/>
      <c r="CC127" s="1296"/>
      <c r="CD127" s="1296"/>
      <c r="CE127" s="1296"/>
      <c r="CF127" s="1296"/>
      <c r="CG127" s="1296"/>
      <c r="CH127" s="1296"/>
      <c r="CI127" s="1296"/>
      <c r="CJ127" s="1296"/>
      <c r="CK127" s="1296"/>
    </row>
    <row r="128" spans="1:89" ht="15.75" thickBot="1" x14ac:dyDescent="0.3">
      <c r="A128" s="1296"/>
      <c r="B128" s="1725"/>
      <c r="C128" s="1197" t="s">
        <v>1845</v>
      </c>
      <c r="D128" s="1197" t="s">
        <v>1850</v>
      </c>
      <c r="E128" s="1198" t="s">
        <v>1851</v>
      </c>
      <c r="F128" s="1296"/>
      <c r="G128" s="1296"/>
      <c r="H128" s="1296"/>
      <c r="I128" s="1296"/>
      <c r="J128" s="1296"/>
      <c r="K128" s="1296"/>
      <c r="L128" s="1296"/>
      <c r="M128" s="1296"/>
      <c r="N128" s="1296"/>
      <c r="O128" s="1296"/>
      <c r="P128" s="1296"/>
      <c r="Q128" s="138"/>
      <c r="R128" s="1296"/>
      <c r="S128" s="1296"/>
      <c r="T128" s="1725"/>
      <c r="U128" s="1197" t="s">
        <v>1845</v>
      </c>
      <c r="V128" s="1197" t="s">
        <v>1850</v>
      </c>
      <c r="W128" s="1198" t="s">
        <v>1851</v>
      </c>
      <c r="X128" s="1296"/>
      <c r="Y128" s="1296"/>
      <c r="Z128" s="1296"/>
      <c r="AA128" s="1296"/>
      <c r="AB128" s="1296"/>
      <c r="AC128" s="1296"/>
      <c r="AD128" s="1296"/>
      <c r="AE128" s="1296"/>
      <c r="AF128" s="1296"/>
      <c r="AG128" s="1296"/>
      <c r="AH128" s="1296"/>
      <c r="AI128" s="138"/>
      <c r="AJ128" s="1296"/>
      <c r="AK128" s="1296"/>
      <c r="AL128" s="1296"/>
      <c r="AM128" s="1296"/>
      <c r="AN128" s="1296"/>
      <c r="AO128" s="1296"/>
      <c r="AP128" s="1296"/>
      <c r="AQ128" s="1296"/>
      <c r="AR128" s="1296"/>
      <c r="AS128" s="1296"/>
      <c r="AT128" s="1296"/>
      <c r="AU128" s="1296"/>
      <c r="AV128" s="1296"/>
      <c r="AW128" s="1296"/>
      <c r="AX128" s="1296"/>
      <c r="AY128" s="1296"/>
      <c r="AZ128" s="1296"/>
      <c r="BA128" s="1296"/>
      <c r="BB128" s="1296"/>
      <c r="BC128" s="1296"/>
      <c r="BD128" s="1296"/>
      <c r="BE128" s="1296"/>
      <c r="BF128" s="1296"/>
      <c r="BG128" s="1296"/>
      <c r="BH128" s="1296"/>
      <c r="BI128" s="1296"/>
      <c r="BJ128" s="1296"/>
      <c r="BK128" s="1296"/>
      <c r="BL128" s="1296"/>
      <c r="BM128" s="1296"/>
      <c r="BN128" s="1296"/>
      <c r="BO128" s="1296"/>
      <c r="BP128" s="1296"/>
      <c r="BQ128" s="1296"/>
      <c r="BR128" s="1296"/>
      <c r="BS128" s="1296"/>
      <c r="BT128" s="1296"/>
      <c r="BU128" s="1296"/>
      <c r="BV128" s="1296"/>
      <c r="BW128" s="1296"/>
      <c r="BX128" s="1296"/>
      <c r="BY128" s="1296"/>
      <c r="BZ128" s="1296"/>
      <c r="CA128" s="1296"/>
      <c r="CB128" s="1296"/>
      <c r="CC128" s="1296"/>
      <c r="CD128" s="1296"/>
      <c r="CE128" s="1296"/>
      <c r="CF128" s="1296"/>
      <c r="CG128" s="1296"/>
      <c r="CH128" s="1296"/>
      <c r="CI128" s="1296"/>
      <c r="CJ128" s="1296"/>
      <c r="CK128" s="1296"/>
    </row>
    <row r="129" spans="1:89" ht="15.75" customHeight="1" thickBot="1" x14ac:dyDescent="0.3">
      <c r="A129" s="1296"/>
      <c r="B129" s="1719" t="s">
        <v>1852</v>
      </c>
      <c r="C129" s="1258" t="s">
        <v>1853</v>
      </c>
      <c r="D129" s="1200" t="s">
        <v>1843</v>
      </c>
      <c r="E129" s="1200" t="s">
        <v>131</v>
      </c>
      <c r="F129" s="1200" t="s">
        <v>1844</v>
      </c>
      <c r="G129" s="1200" t="s">
        <v>1854</v>
      </c>
      <c r="H129" s="1201" t="s">
        <v>1855</v>
      </c>
      <c r="I129" s="1202" t="s">
        <v>767</v>
      </c>
      <c r="J129" s="1202" t="s">
        <v>768</v>
      </c>
      <c r="K129" s="1202" t="s">
        <v>769</v>
      </c>
      <c r="L129" s="1202" t="s">
        <v>770</v>
      </c>
      <c r="M129" s="1202" t="s">
        <v>204</v>
      </c>
      <c r="N129" s="1296"/>
      <c r="O129" s="1296"/>
      <c r="P129" s="1296"/>
      <c r="Q129" s="138"/>
      <c r="R129" s="1296"/>
      <c r="S129" s="1296"/>
      <c r="T129" s="1719" t="s">
        <v>1852</v>
      </c>
      <c r="U129" s="1258" t="s">
        <v>1853</v>
      </c>
      <c r="V129" s="1200" t="s">
        <v>1843</v>
      </c>
      <c r="W129" s="1200" t="s">
        <v>131</v>
      </c>
      <c r="X129" s="1200" t="s">
        <v>1844</v>
      </c>
      <c r="Y129" s="1200" t="s">
        <v>1854</v>
      </c>
      <c r="Z129" s="1201" t="s">
        <v>1855</v>
      </c>
      <c r="AA129" s="1202" t="s">
        <v>767</v>
      </c>
      <c r="AB129" s="1202" t="s">
        <v>768</v>
      </c>
      <c r="AC129" s="1202" t="s">
        <v>769</v>
      </c>
      <c r="AD129" s="1202" t="s">
        <v>770</v>
      </c>
      <c r="AE129" s="1202" t="s">
        <v>204</v>
      </c>
      <c r="AF129" s="1296"/>
      <c r="AG129" s="1296"/>
      <c r="AH129" s="1296"/>
      <c r="AI129" s="138"/>
      <c r="AJ129" s="1296"/>
      <c r="AK129" s="1296"/>
      <c r="AL129" s="1296"/>
      <c r="AM129" s="1296"/>
      <c r="AN129" s="1296"/>
      <c r="AO129" s="1296"/>
      <c r="AP129" s="1296"/>
      <c r="AQ129" s="1296"/>
      <c r="AR129" s="1296"/>
      <c r="AS129" s="1296"/>
      <c r="AT129" s="1296"/>
      <c r="AU129" s="1296"/>
      <c r="AV129" s="1296"/>
      <c r="AW129" s="1296"/>
      <c r="AX129" s="1296"/>
      <c r="AY129" s="1296"/>
      <c r="AZ129" s="1296"/>
      <c r="BA129" s="1296"/>
      <c r="BB129" s="1296"/>
      <c r="BC129" s="1296"/>
      <c r="BD129" s="1296"/>
      <c r="BE129" s="1296"/>
      <c r="BF129" s="1296"/>
      <c r="BG129" s="1296"/>
      <c r="BH129" s="1296"/>
      <c r="BI129" s="1296"/>
      <c r="BJ129" s="1296"/>
      <c r="BK129" s="1296"/>
      <c r="BL129" s="1296"/>
      <c r="BM129" s="1296"/>
      <c r="BN129" s="1296"/>
      <c r="BO129" s="1296"/>
      <c r="BP129" s="1296"/>
      <c r="BQ129" s="1296"/>
      <c r="BR129" s="1296"/>
      <c r="BS129" s="1296"/>
      <c r="BT129" s="1296"/>
      <c r="BU129" s="1296"/>
      <c r="BV129" s="1296"/>
      <c r="BW129" s="1296"/>
      <c r="BX129" s="1296"/>
      <c r="BY129" s="1296"/>
      <c r="BZ129" s="1296"/>
      <c r="CA129" s="1296"/>
      <c r="CB129" s="1296"/>
      <c r="CC129" s="1296"/>
      <c r="CD129" s="1296"/>
      <c r="CE129" s="1296"/>
      <c r="CF129" s="1296"/>
      <c r="CG129" s="1296"/>
      <c r="CH129" s="1296"/>
      <c r="CI129" s="1296"/>
      <c r="CJ129" s="1296"/>
      <c r="CK129" s="1296"/>
    </row>
    <row r="130" spans="1:89" x14ac:dyDescent="0.25">
      <c r="A130" s="1296"/>
      <c r="B130" s="1721"/>
      <c r="C130" s="1199">
        <v>1</v>
      </c>
      <c r="D130" s="1196" t="s">
        <v>1856</v>
      </c>
      <c r="E130" s="1196" t="s">
        <v>1444</v>
      </c>
      <c r="F130" s="1196" t="str">
        <f>'Required Info to Submit'!E23</f>
        <v/>
      </c>
      <c r="G130" s="1393" t="str">
        <f>IF(F130="","",'Required Info to Submit'!K23)</f>
        <v/>
      </c>
      <c r="H130" s="1394" t="str">
        <f>IF(F130="","",'Required Info to Submit'!L23)</f>
        <v/>
      </c>
      <c r="I130" s="1196" t="str">
        <f>'Required Info to Submit'!F23</f>
        <v/>
      </c>
      <c r="J130" s="1196" t="str">
        <f>'Required Info to Submit'!G23</f>
        <v/>
      </c>
      <c r="K130" s="1196" t="str">
        <f>'Required Info to Submit'!H23</f>
        <v/>
      </c>
      <c r="L130" s="1196" t="str">
        <f>'Required Info to Submit'!I23</f>
        <v/>
      </c>
      <c r="M130" s="1196" t="str">
        <f>'Required Info to Submit'!J23</f>
        <v/>
      </c>
      <c r="N130" s="1296"/>
      <c r="O130" s="1296"/>
      <c r="P130" s="1296"/>
      <c r="Q130" s="138"/>
      <c r="R130" s="1296"/>
      <c r="S130" s="1296"/>
      <c r="T130" s="1721"/>
      <c r="U130" s="1199">
        <v>1</v>
      </c>
      <c r="V130" s="1196" t="s">
        <v>1856</v>
      </c>
      <c r="W130" s="1196" t="s">
        <v>1444</v>
      </c>
      <c r="X130" s="1204" t="str">
        <f>'Required Info to Submit'!E23</f>
        <v/>
      </c>
      <c r="Y130" s="1400" t="str">
        <f>IF(X130="","",'Required Info to Submit'!K23)</f>
        <v/>
      </c>
      <c r="Z130" s="1401" t="str">
        <f>IF(X130="","",'Required Info to Submit'!L23)</f>
        <v/>
      </c>
      <c r="AA130" s="1204" t="str">
        <f>'Required Info to Submit'!F23</f>
        <v/>
      </c>
      <c r="AB130" s="1204" t="str">
        <f>'Required Info to Submit'!G23</f>
        <v/>
      </c>
      <c r="AC130" s="1204" t="str">
        <f>'Required Info to Submit'!H23</f>
        <v/>
      </c>
      <c r="AD130" s="1204" t="str">
        <f>'Required Info to Submit'!I23</f>
        <v/>
      </c>
      <c r="AE130" s="1204" t="str">
        <f>'Required Info to Submit'!J23</f>
        <v/>
      </c>
      <c r="AF130" s="1296"/>
      <c r="AG130" s="1296"/>
      <c r="AH130" s="1296"/>
      <c r="AI130" s="138"/>
      <c r="AJ130" s="1296"/>
      <c r="AK130" s="1296"/>
      <c r="AL130" s="1296"/>
      <c r="AM130" s="1296"/>
      <c r="AN130" s="1296"/>
      <c r="AO130" s="1296"/>
      <c r="AP130" s="1296"/>
      <c r="AQ130" s="1296"/>
      <c r="AR130" s="1296"/>
      <c r="AS130" s="1296"/>
      <c r="AT130" s="1296"/>
      <c r="AU130" s="1296"/>
      <c r="AV130" s="1296"/>
      <c r="AW130" s="1296"/>
      <c r="AX130" s="1296"/>
      <c r="AY130" s="1296"/>
      <c r="AZ130" s="1296"/>
      <c r="BA130" s="1296"/>
      <c r="BB130" s="1296"/>
      <c r="BC130" s="1296"/>
      <c r="BD130" s="1296"/>
      <c r="BE130" s="1296"/>
      <c r="BF130" s="1296"/>
      <c r="BG130" s="1296"/>
      <c r="BH130" s="1296"/>
      <c r="BI130" s="1296"/>
      <c r="BJ130" s="1296"/>
      <c r="BK130" s="1296"/>
      <c r="BL130" s="1296"/>
      <c r="BM130" s="1296"/>
      <c r="BN130" s="1296"/>
      <c r="BO130" s="1296"/>
      <c r="BP130" s="1296"/>
      <c r="BQ130" s="1296"/>
      <c r="BR130" s="1296"/>
      <c r="BS130" s="1296"/>
      <c r="BT130" s="1296"/>
      <c r="BU130" s="1296"/>
      <c r="BV130" s="1296"/>
      <c r="BW130" s="1296"/>
      <c r="BX130" s="1296"/>
      <c r="BY130" s="1296"/>
      <c r="BZ130" s="1296"/>
      <c r="CA130" s="1296"/>
      <c r="CB130" s="1296"/>
      <c r="CC130" s="1296"/>
      <c r="CD130" s="1296"/>
      <c r="CE130" s="1296"/>
      <c r="CF130" s="1296"/>
      <c r="CG130" s="1296"/>
      <c r="CH130" s="1296"/>
      <c r="CI130" s="1296"/>
      <c r="CJ130" s="1296"/>
      <c r="CK130" s="1296"/>
    </row>
    <row r="131" spans="1:89" x14ac:dyDescent="0.25">
      <c r="A131" s="1296"/>
      <c r="B131" s="1721"/>
      <c r="C131" s="1205">
        <v>2</v>
      </c>
      <c r="D131" s="1196" t="s">
        <v>1856</v>
      </c>
      <c r="E131" s="1196" t="s">
        <v>1444</v>
      </c>
      <c r="F131" s="1196" t="str">
        <f>'Required Info to Submit'!E24</f>
        <v/>
      </c>
      <c r="G131" s="1393" t="str">
        <f>IF(F131="","",'Required Info to Submit'!K24)</f>
        <v/>
      </c>
      <c r="H131" s="1394" t="str">
        <f>IF(F131="","",'Required Info to Submit'!L24)</f>
        <v/>
      </c>
      <c r="I131" s="1196" t="str">
        <f>'Required Info to Submit'!F24</f>
        <v/>
      </c>
      <c r="J131" s="1196" t="str">
        <f>'Required Info to Submit'!G24</f>
        <v/>
      </c>
      <c r="K131" s="1196" t="str">
        <f>'Required Info to Submit'!H24</f>
        <v/>
      </c>
      <c r="L131" s="1196" t="str">
        <f>'Required Info to Submit'!I24</f>
        <v/>
      </c>
      <c r="M131" s="1196" t="str">
        <f>'Required Info to Submit'!J24</f>
        <v/>
      </c>
      <c r="N131" s="1296"/>
      <c r="O131" s="1296"/>
      <c r="P131" s="1296"/>
      <c r="Q131" s="138"/>
      <c r="R131" s="1296"/>
      <c r="S131" s="1296"/>
      <c r="T131" s="1721"/>
      <c r="U131" s="1205">
        <v>2</v>
      </c>
      <c r="V131" s="1196" t="s">
        <v>1856</v>
      </c>
      <c r="W131" s="1196" t="s">
        <v>1444</v>
      </c>
      <c r="X131" s="1204" t="str">
        <f>'Required Info to Submit'!E24</f>
        <v/>
      </c>
      <c r="Y131" s="1400" t="str">
        <f>IF(X131="","",'Required Info to Submit'!K24)</f>
        <v/>
      </c>
      <c r="Z131" s="1401" t="str">
        <f>IF(X131="","",'Required Info to Submit'!L24)</f>
        <v/>
      </c>
      <c r="AA131" s="1204" t="str">
        <f>'Required Info to Submit'!F24</f>
        <v/>
      </c>
      <c r="AB131" s="1204" t="str">
        <f>'Required Info to Submit'!G24</f>
        <v/>
      </c>
      <c r="AC131" s="1204" t="str">
        <f>'Required Info to Submit'!H24</f>
        <v/>
      </c>
      <c r="AD131" s="1204" t="str">
        <f>'Required Info to Submit'!I24</f>
        <v/>
      </c>
      <c r="AE131" s="1204" t="str">
        <f>'Required Info to Submit'!J24</f>
        <v/>
      </c>
      <c r="AF131" s="1296"/>
      <c r="AG131" s="1296"/>
      <c r="AH131" s="1296"/>
      <c r="AI131" s="138"/>
      <c r="AJ131" s="1296"/>
      <c r="AK131" s="1296"/>
      <c r="AL131" s="1296"/>
      <c r="AM131" s="1296"/>
      <c r="AN131" s="1296"/>
      <c r="AO131" s="1296"/>
      <c r="AP131" s="1296"/>
      <c r="AQ131" s="1296"/>
      <c r="AR131" s="1296"/>
      <c r="AS131" s="1296"/>
      <c r="AT131" s="1296"/>
      <c r="AU131" s="1296"/>
      <c r="AV131" s="1296"/>
      <c r="AW131" s="1296"/>
      <c r="AX131" s="1296"/>
      <c r="AY131" s="1296"/>
      <c r="AZ131" s="1296"/>
      <c r="BA131" s="1296"/>
      <c r="BB131" s="1296"/>
      <c r="BC131" s="1296"/>
      <c r="BD131" s="1296"/>
      <c r="BE131" s="1296"/>
      <c r="BF131" s="1296"/>
      <c r="BG131" s="1296"/>
      <c r="BH131" s="1296"/>
      <c r="BI131" s="1296"/>
      <c r="BJ131" s="1296"/>
      <c r="BK131" s="1296"/>
      <c r="BL131" s="1296"/>
      <c r="BM131" s="1296"/>
      <c r="BN131" s="1296"/>
      <c r="BO131" s="1296"/>
      <c r="BP131" s="1296"/>
      <c r="BQ131" s="1296"/>
      <c r="BR131" s="1296"/>
      <c r="BS131" s="1296"/>
      <c r="BT131" s="1296"/>
      <c r="BU131" s="1296"/>
      <c r="BV131" s="1296"/>
      <c r="BW131" s="1296"/>
      <c r="BX131" s="1296"/>
      <c r="BY131" s="1296"/>
      <c r="BZ131" s="1296"/>
      <c r="CA131" s="1296"/>
      <c r="CB131" s="1296"/>
      <c r="CC131" s="1296"/>
      <c r="CD131" s="1296"/>
      <c r="CE131" s="1296"/>
      <c r="CF131" s="1296"/>
      <c r="CG131" s="1296"/>
      <c r="CH131" s="1296"/>
      <c r="CI131" s="1296"/>
      <c r="CJ131" s="1296"/>
      <c r="CK131" s="1296"/>
    </row>
    <row r="132" spans="1:89" x14ac:dyDescent="0.25">
      <c r="A132" s="1296"/>
      <c r="B132" s="1721"/>
      <c r="C132" s="1205">
        <v>3</v>
      </c>
      <c r="D132" s="1196" t="s">
        <v>1856</v>
      </c>
      <c r="E132" s="1196" t="s">
        <v>1444</v>
      </c>
      <c r="F132" s="1196" t="str">
        <f>'Required Info to Submit'!E25</f>
        <v/>
      </c>
      <c r="G132" s="1393" t="str">
        <f>IF(F132="","",'Required Info to Submit'!K25)</f>
        <v/>
      </c>
      <c r="H132" s="1394" t="str">
        <f>IF(F132="","",'Required Info to Submit'!L25)</f>
        <v/>
      </c>
      <c r="I132" s="1196" t="str">
        <f>'Required Info to Submit'!F25</f>
        <v/>
      </c>
      <c r="J132" s="1196" t="str">
        <f>'Required Info to Submit'!G25</f>
        <v/>
      </c>
      <c r="K132" s="1196" t="str">
        <f>'Required Info to Submit'!H25</f>
        <v/>
      </c>
      <c r="L132" s="1196" t="str">
        <f>'Required Info to Submit'!I25</f>
        <v/>
      </c>
      <c r="M132" s="1196" t="str">
        <f>'Required Info to Submit'!J25</f>
        <v/>
      </c>
      <c r="N132" s="1296"/>
      <c r="O132" s="1296"/>
      <c r="P132" s="1296"/>
      <c r="Q132" s="138"/>
      <c r="R132" s="1296"/>
      <c r="S132" s="1296"/>
      <c r="T132" s="1721"/>
      <c r="U132" s="1205">
        <v>3</v>
      </c>
      <c r="V132" s="1196" t="s">
        <v>1856</v>
      </c>
      <c r="W132" s="1196" t="s">
        <v>1444</v>
      </c>
      <c r="X132" s="1204" t="str">
        <f>'Required Info to Submit'!E25</f>
        <v/>
      </c>
      <c r="Y132" s="1400" t="str">
        <f>IF(X132="","",'Required Info to Submit'!K25)</f>
        <v/>
      </c>
      <c r="Z132" s="1401" t="str">
        <f>IF(X132="","",'Required Info to Submit'!L25)</f>
        <v/>
      </c>
      <c r="AA132" s="1204" t="str">
        <f>'Required Info to Submit'!F25</f>
        <v/>
      </c>
      <c r="AB132" s="1204" t="str">
        <f>'Required Info to Submit'!G25</f>
        <v/>
      </c>
      <c r="AC132" s="1204" t="str">
        <f>'Required Info to Submit'!H25</f>
        <v/>
      </c>
      <c r="AD132" s="1204" t="str">
        <f>'Required Info to Submit'!I25</f>
        <v/>
      </c>
      <c r="AE132" s="1204" t="str">
        <f>'Required Info to Submit'!J25</f>
        <v/>
      </c>
      <c r="AF132" s="1296"/>
      <c r="AG132" s="1296"/>
      <c r="AH132" s="1296"/>
      <c r="AI132" s="138"/>
      <c r="AJ132" s="1296"/>
      <c r="AK132" s="1296"/>
      <c r="AL132" s="1296"/>
      <c r="AM132" s="1296"/>
      <c r="AN132" s="1296"/>
      <c r="AO132" s="1296"/>
      <c r="AP132" s="1296"/>
      <c r="AQ132" s="1296"/>
      <c r="AR132" s="1296"/>
      <c r="AS132" s="1296"/>
      <c r="AT132" s="1296"/>
      <c r="AU132" s="1296"/>
      <c r="AV132" s="1296"/>
      <c r="AW132" s="1296"/>
      <c r="AX132" s="1296"/>
      <c r="AY132" s="1296"/>
      <c r="AZ132" s="1296"/>
      <c r="BA132" s="1296"/>
      <c r="BB132" s="1296"/>
      <c r="BC132" s="1296"/>
      <c r="BD132" s="1296"/>
      <c r="BE132" s="1296"/>
      <c r="BF132" s="1296"/>
      <c r="BG132" s="1296"/>
      <c r="BH132" s="1296"/>
      <c r="BI132" s="1296"/>
      <c r="BJ132" s="1296"/>
      <c r="BK132" s="1296"/>
      <c r="BL132" s="1296"/>
      <c r="BM132" s="1296"/>
      <c r="BN132" s="1296"/>
      <c r="BO132" s="1296"/>
      <c r="BP132" s="1296"/>
      <c r="BQ132" s="1296"/>
      <c r="BR132" s="1296"/>
      <c r="BS132" s="1296"/>
      <c r="BT132" s="1296"/>
      <c r="BU132" s="1296"/>
      <c r="BV132" s="1296"/>
      <c r="BW132" s="1296"/>
      <c r="BX132" s="1296"/>
      <c r="BY132" s="1296"/>
      <c r="BZ132" s="1296"/>
      <c r="CA132" s="1296"/>
      <c r="CB132" s="1296"/>
      <c r="CC132" s="1296"/>
      <c r="CD132" s="1296"/>
      <c r="CE132" s="1296"/>
      <c r="CF132" s="1296"/>
      <c r="CG132" s="1296"/>
      <c r="CH132" s="1296"/>
      <c r="CI132" s="1296"/>
      <c r="CJ132" s="1296"/>
      <c r="CK132" s="1296"/>
    </row>
    <row r="133" spans="1:89" x14ac:dyDescent="0.25">
      <c r="A133" s="1296"/>
      <c r="B133" s="1721"/>
      <c r="C133" s="1205">
        <v>4</v>
      </c>
      <c r="D133" s="1196" t="s">
        <v>1856</v>
      </c>
      <c r="E133" s="1196" t="s">
        <v>1444</v>
      </c>
      <c r="F133" s="1196" t="str">
        <f>'Required Info to Submit'!E26</f>
        <v/>
      </c>
      <c r="G133" s="1393" t="str">
        <f>IF(F133="","",'Required Info to Submit'!K26)</f>
        <v/>
      </c>
      <c r="H133" s="1394" t="str">
        <f>IF(F133="","",'Required Info to Submit'!L26)</f>
        <v/>
      </c>
      <c r="I133" s="1196" t="str">
        <f>'Required Info to Submit'!F26</f>
        <v/>
      </c>
      <c r="J133" s="1196" t="str">
        <f>'Required Info to Submit'!G26</f>
        <v/>
      </c>
      <c r="K133" s="1196" t="str">
        <f>'Required Info to Submit'!H26</f>
        <v/>
      </c>
      <c r="L133" s="1196" t="str">
        <f>'Required Info to Submit'!I26</f>
        <v/>
      </c>
      <c r="M133" s="1196" t="str">
        <f>'Required Info to Submit'!J26</f>
        <v/>
      </c>
      <c r="N133" s="1296"/>
      <c r="O133" s="1296"/>
      <c r="P133" s="1296"/>
      <c r="Q133" s="138"/>
      <c r="R133" s="1296"/>
      <c r="S133" s="1296"/>
      <c r="T133" s="1721"/>
      <c r="U133" s="1205">
        <v>4</v>
      </c>
      <c r="V133" s="1196" t="s">
        <v>1856</v>
      </c>
      <c r="W133" s="1196" t="s">
        <v>1444</v>
      </c>
      <c r="X133" s="1204" t="str">
        <f>'Required Info to Submit'!E26</f>
        <v/>
      </c>
      <c r="Y133" s="1400" t="str">
        <f>IF(X133="","",'Required Info to Submit'!K26)</f>
        <v/>
      </c>
      <c r="Z133" s="1401" t="str">
        <f>IF(X133="","",'Required Info to Submit'!L26)</f>
        <v/>
      </c>
      <c r="AA133" s="1204" t="str">
        <f>'Required Info to Submit'!F26</f>
        <v/>
      </c>
      <c r="AB133" s="1204" t="str">
        <f>'Required Info to Submit'!G26</f>
        <v/>
      </c>
      <c r="AC133" s="1204" t="str">
        <f>'Required Info to Submit'!H26</f>
        <v/>
      </c>
      <c r="AD133" s="1204" t="str">
        <f>'Required Info to Submit'!I26</f>
        <v/>
      </c>
      <c r="AE133" s="1204" t="str">
        <f>'Required Info to Submit'!J26</f>
        <v/>
      </c>
      <c r="AF133" s="1296"/>
      <c r="AG133" s="1296"/>
      <c r="AH133" s="1296"/>
      <c r="AI133" s="138"/>
      <c r="AJ133" s="1296"/>
      <c r="AK133" s="1296"/>
      <c r="AL133" s="1296"/>
      <c r="AM133" s="1296"/>
      <c r="AN133" s="1296"/>
      <c r="AO133" s="1296"/>
      <c r="AP133" s="1296"/>
      <c r="AQ133" s="1296"/>
      <c r="AR133" s="1296"/>
      <c r="AS133" s="1296"/>
      <c r="AT133" s="1296"/>
      <c r="AU133" s="1296"/>
      <c r="AV133" s="1296"/>
      <c r="AW133" s="1296"/>
      <c r="AX133" s="1296"/>
      <c r="AY133" s="1296"/>
      <c r="AZ133" s="1296"/>
      <c r="BA133" s="1296"/>
      <c r="BB133" s="1296"/>
      <c r="BC133" s="1296"/>
      <c r="BD133" s="1296"/>
      <c r="BE133" s="1296"/>
      <c r="BF133" s="1296"/>
      <c r="BG133" s="1296"/>
      <c r="BH133" s="1296"/>
      <c r="BI133" s="1296"/>
      <c r="BJ133" s="1296"/>
      <c r="BK133" s="1296"/>
      <c r="BL133" s="1296"/>
      <c r="BM133" s="1296"/>
      <c r="BN133" s="1296"/>
      <c r="BO133" s="1296"/>
      <c r="BP133" s="1296"/>
      <c r="BQ133" s="1296"/>
      <c r="BR133" s="1296"/>
      <c r="BS133" s="1296"/>
      <c r="BT133" s="1296"/>
      <c r="BU133" s="1296"/>
      <c r="BV133" s="1296"/>
      <c r="BW133" s="1296"/>
      <c r="BX133" s="1296"/>
      <c r="BY133" s="1296"/>
      <c r="BZ133" s="1296"/>
      <c r="CA133" s="1296"/>
      <c r="CB133" s="1296"/>
      <c r="CC133" s="1296"/>
      <c r="CD133" s="1296"/>
      <c r="CE133" s="1296"/>
      <c r="CF133" s="1296"/>
      <c r="CG133" s="1296"/>
      <c r="CH133" s="1296"/>
      <c r="CI133" s="1296"/>
      <c r="CJ133" s="1296"/>
      <c r="CK133" s="1296"/>
    </row>
    <row r="134" spans="1:89" x14ac:dyDescent="0.25">
      <c r="A134" s="1296"/>
      <c r="B134" s="1721"/>
      <c r="C134" s="1205">
        <v>5</v>
      </c>
      <c r="D134" s="1196" t="s">
        <v>1856</v>
      </c>
      <c r="E134" s="1196" t="s">
        <v>1444</v>
      </c>
      <c r="F134" s="1196" t="str">
        <f>'Required Info to Submit'!E27</f>
        <v/>
      </c>
      <c r="G134" s="1393" t="str">
        <f>IF(F134="","",'Required Info to Submit'!K27)</f>
        <v/>
      </c>
      <c r="H134" s="1394" t="str">
        <f>IF(F134="","",'Required Info to Submit'!L27)</f>
        <v/>
      </c>
      <c r="I134" s="1196" t="str">
        <f>'Required Info to Submit'!F27</f>
        <v/>
      </c>
      <c r="J134" s="1196" t="str">
        <f>'Required Info to Submit'!G27</f>
        <v/>
      </c>
      <c r="K134" s="1196" t="str">
        <f>'Required Info to Submit'!H27</f>
        <v/>
      </c>
      <c r="L134" s="1196" t="str">
        <f>'Required Info to Submit'!I27</f>
        <v/>
      </c>
      <c r="M134" s="1196" t="str">
        <f>'Required Info to Submit'!J27</f>
        <v/>
      </c>
      <c r="N134" s="1296"/>
      <c r="O134" s="1296"/>
      <c r="P134" s="1296"/>
      <c r="Q134" s="138"/>
      <c r="R134" s="1296"/>
      <c r="S134" s="1296"/>
      <c r="T134" s="1721"/>
      <c r="U134" s="1205">
        <v>5</v>
      </c>
      <c r="V134" s="1196" t="s">
        <v>1856</v>
      </c>
      <c r="W134" s="1196" t="s">
        <v>1444</v>
      </c>
      <c r="X134" s="1204" t="str">
        <f>'Required Info to Submit'!E27</f>
        <v/>
      </c>
      <c r="Y134" s="1400" t="str">
        <f>IF(X134="","",'Required Info to Submit'!K27)</f>
        <v/>
      </c>
      <c r="Z134" s="1401" t="str">
        <f>IF(X134="","",'Required Info to Submit'!L27)</f>
        <v/>
      </c>
      <c r="AA134" s="1204" t="str">
        <f>'Required Info to Submit'!F27</f>
        <v/>
      </c>
      <c r="AB134" s="1204" t="str">
        <f>'Required Info to Submit'!G27</f>
        <v/>
      </c>
      <c r="AC134" s="1204" t="str">
        <f>'Required Info to Submit'!H27</f>
        <v/>
      </c>
      <c r="AD134" s="1204" t="str">
        <f>'Required Info to Submit'!I27</f>
        <v/>
      </c>
      <c r="AE134" s="1204" t="str">
        <f>'Required Info to Submit'!J27</f>
        <v/>
      </c>
      <c r="AF134" s="1296"/>
      <c r="AG134" s="1296"/>
      <c r="AH134" s="1296"/>
      <c r="AI134" s="138"/>
      <c r="AJ134" s="1296"/>
      <c r="AK134" s="1296"/>
      <c r="AL134" s="1296"/>
      <c r="AM134" s="1296"/>
      <c r="AN134" s="1296"/>
      <c r="AO134" s="1296"/>
      <c r="AP134" s="1296"/>
      <c r="AQ134" s="1296"/>
      <c r="AR134" s="1296"/>
      <c r="AS134" s="1296"/>
      <c r="AT134" s="1296"/>
      <c r="AU134" s="1296"/>
      <c r="AV134" s="1296"/>
      <c r="AW134" s="1296"/>
      <c r="AX134" s="1296"/>
      <c r="AY134" s="1296"/>
      <c r="AZ134" s="1296"/>
      <c r="BA134" s="1296"/>
      <c r="BB134" s="1296"/>
      <c r="BC134" s="1296"/>
      <c r="BD134" s="1296"/>
      <c r="BE134" s="1296"/>
      <c r="BF134" s="1296"/>
      <c r="BG134" s="1296"/>
      <c r="BH134" s="1296"/>
      <c r="BI134" s="1296"/>
      <c r="BJ134" s="1296"/>
      <c r="BK134" s="1296"/>
      <c r="BL134" s="1296"/>
      <c r="BM134" s="1296"/>
      <c r="BN134" s="1296"/>
      <c r="BO134" s="1296"/>
      <c r="BP134" s="1296"/>
      <c r="BQ134" s="1296"/>
      <c r="BR134" s="1296"/>
      <c r="BS134" s="1296"/>
      <c r="BT134" s="1296"/>
      <c r="BU134" s="1296"/>
      <c r="BV134" s="1296"/>
      <c r="BW134" s="1296"/>
      <c r="BX134" s="1296"/>
      <c r="BY134" s="1296"/>
      <c r="BZ134" s="1296"/>
      <c r="CA134" s="1296"/>
      <c r="CB134" s="1296"/>
      <c r="CC134" s="1296"/>
      <c r="CD134" s="1296"/>
      <c r="CE134" s="1296"/>
      <c r="CF134" s="1296"/>
      <c r="CG134" s="1296"/>
      <c r="CH134" s="1296"/>
      <c r="CI134" s="1296"/>
      <c r="CJ134" s="1296"/>
      <c r="CK134" s="1296"/>
    </row>
    <row r="135" spans="1:89" x14ac:dyDescent="0.25">
      <c r="A135" s="1296"/>
      <c r="B135" s="1721"/>
      <c r="C135" s="1205">
        <v>6</v>
      </c>
      <c r="D135" s="1196" t="s">
        <v>1856</v>
      </c>
      <c r="E135" s="1196" t="s">
        <v>1444</v>
      </c>
      <c r="F135" s="1196" t="str">
        <f>'Required Info to Submit'!E28</f>
        <v/>
      </c>
      <c r="G135" s="1393" t="str">
        <f>IF(F135="","",'Required Info to Submit'!K28)</f>
        <v/>
      </c>
      <c r="H135" s="1394" t="str">
        <f>IF(F135="","",'Required Info to Submit'!L28)</f>
        <v/>
      </c>
      <c r="I135" s="1196" t="str">
        <f>'Required Info to Submit'!F28</f>
        <v/>
      </c>
      <c r="J135" s="1196" t="str">
        <f>'Required Info to Submit'!G28</f>
        <v/>
      </c>
      <c r="K135" s="1196" t="str">
        <f>'Required Info to Submit'!H28</f>
        <v/>
      </c>
      <c r="L135" s="1196" t="str">
        <f>'Required Info to Submit'!I28</f>
        <v/>
      </c>
      <c r="M135" s="1196" t="str">
        <f>'Required Info to Submit'!J28</f>
        <v/>
      </c>
      <c r="N135" s="1296"/>
      <c r="O135" s="1296"/>
      <c r="P135" s="1296"/>
      <c r="Q135" s="138"/>
      <c r="R135" s="1296"/>
      <c r="S135" s="1296"/>
      <c r="T135" s="1721"/>
      <c r="U135" s="1205">
        <v>6</v>
      </c>
      <c r="V135" s="1196" t="s">
        <v>1856</v>
      </c>
      <c r="W135" s="1196" t="s">
        <v>1444</v>
      </c>
      <c r="X135" s="1204" t="str">
        <f>'Required Info to Submit'!E28</f>
        <v/>
      </c>
      <c r="Y135" s="1400" t="str">
        <f>IF(X135="","",'Required Info to Submit'!K28)</f>
        <v/>
      </c>
      <c r="Z135" s="1401" t="str">
        <f>IF(X135="","",'Required Info to Submit'!L28)</f>
        <v/>
      </c>
      <c r="AA135" s="1204" t="str">
        <f>'Required Info to Submit'!F28</f>
        <v/>
      </c>
      <c r="AB135" s="1204" t="str">
        <f>'Required Info to Submit'!G28</f>
        <v/>
      </c>
      <c r="AC135" s="1204" t="str">
        <f>'Required Info to Submit'!H28</f>
        <v/>
      </c>
      <c r="AD135" s="1204" t="str">
        <f>'Required Info to Submit'!I28</f>
        <v/>
      </c>
      <c r="AE135" s="1204" t="str">
        <f>'Required Info to Submit'!J28</f>
        <v/>
      </c>
      <c r="AF135" s="1296"/>
      <c r="AG135" s="1296"/>
      <c r="AH135" s="1296"/>
      <c r="AI135" s="138"/>
      <c r="AJ135" s="1296"/>
      <c r="AK135" s="1296"/>
      <c r="AL135" s="1296"/>
      <c r="AM135" s="1296"/>
      <c r="AN135" s="1296"/>
      <c r="AO135" s="1296"/>
      <c r="AP135" s="1296"/>
      <c r="AQ135" s="1296"/>
      <c r="AR135" s="1296"/>
      <c r="AS135" s="1296"/>
      <c r="AT135" s="1296"/>
      <c r="AU135" s="1296"/>
      <c r="AV135" s="1296"/>
      <c r="AW135" s="1296"/>
      <c r="AX135" s="1296"/>
      <c r="AY135" s="1296"/>
      <c r="AZ135" s="1296"/>
      <c r="BA135" s="1296"/>
      <c r="BB135" s="1296"/>
      <c r="BC135" s="1296"/>
      <c r="BD135" s="1296"/>
      <c r="BE135" s="1296"/>
      <c r="BF135" s="1296"/>
      <c r="BG135" s="1296"/>
      <c r="BH135" s="1296"/>
      <c r="BI135" s="1296"/>
      <c r="BJ135" s="1296"/>
      <c r="BK135" s="1296"/>
      <c r="BL135" s="1296"/>
      <c r="BM135" s="1296"/>
      <c r="BN135" s="1296"/>
      <c r="BO135" s="1296"/>
      <c r="BP135" s="1296"/>
      <c r="BQ135" s="1296"/>
      <c r="BR135" s="1296"/>
      <c r="BS135" s="1296"/>
      <c r="BT135" s="1296"/>
      <c r="BU135" s="1296"/>
      <c r="BV135" s="1296"/>
      <c r="BW135" s="1296"/>
      <c r="BX135" s="1296"/>
      <c r="BY135" s="1296"/>
      <c r="BZ135" s="1296"/>
      <c r="CA135" s="1296"/>
      <c r="CB135" s="1296"/>
      <c r="CC135" s="1296"/>
      <c r="CD135" s="1296"/>
      <c r="CE135" s="1296"/>
      <c r="CF135" s="1296"/>
      <c r="CG135" s="1296"/>
      <c r="CH135" s="1296"/>
      <c r="CI135" s="1296"/>
      <c r="CJ135" s="1296"/>
      <c r="CK135" s="1296"/>
    </row>
    <row r="136" spans="1:89" x14ac:dyDescent="0.25">
      <c r="A136" s="1296"/>
      <c r="B136" s="1721"/>
      <c r="C136" s="1205">
        <v>7</v>
      </c>
      <c r="D136" s="1196" t="s">
        <v>1856</v>
      </c>
      <c r="E136" s="1196" t="s">
        <v>1444</v>
      </c>
      <c r="F136" s="1196" t="str">
        <f>'Required Info to Submit'!E29</f>
        <v/>
      </c>
      <c r="G136" s="1393" t="str">
        <f>IF(F136="","",'Required Info to Submit'!K29)</f>
        <v/>
      </c>
      <c r="H136" s="1394" t="str">
        <f>IF(F136="","",'Required Info to Submit'!L29)</f>
        <v/>
      </c>
      <c r="I136" s="1196" t="str">
        <f>'Required Info to Submit'!F29</f>
        <v/>
      </c>
      <c r="J136" s="1196" t="str">
        <f>'Required Info to Submit'!G29</f>
        <v/>
      </c>
      <c r="K136" s="1196" t="str">
        <f>'Required Info to Submit'!H29</f>
        <v/>
      </c>
      <c r="L136" s="1196" t="str">
        <f>'Required Info to Submit'!I29</f>
        <v/>
      </c>
      <c r="M136" s="1196" t="str">
        <f>'Required Info to Submit'!J29</f>
        <v/>
      </c>
      <c r="N136" s="1296"/>
      <c r="O136" s="1296"/>
      <c r="P136" s="1296"/>
      <c r="Q136" s="138"/>
      <c r="R136" s="1296"/>
      <c r="S136" s="1296"/>
      <c r="T136" s="1721"/>
      <c r="U136" s="1205">
        <v>7</v>
      </c>
      <c r="V136" s="1196" t="s">
        <v>1856</v>
      </c>
      <c r="W136" s="1196" t="s">
        <v>1444</v>
      </c>
      <c r="X136" s="1204" t="str">
        <f>'Required Info to Submit'!E29</f>
        <v/>
      </c>
      <c r="Y136" s="1400" t="str">
        <f>IF(X136="","",'Required Info to Submit'!K29)</f>
        <v/>
      </c>
      <c r="Z136" s="1401" t="str">
        <f>IF(X136="","",'Required Info to Submit'!L29)</f>
        <v/>
      </c>
      <c r="AA136" s="1204" t="str">
        <f>'Required Info to Submit'!F29</f>
        <v/>
      </c>
      <c r="AB136" s="1204" t="str">
        <f>'Required Info to Submit'!G29</f>
        <v/>
      </c>
      <c r="AC136" s="1204" t="str">
        <f>'Required Info to Submit'!H29</f>
        <v/>
      </c>
      <c r="AD136" s="1204" t="str">
        <f>'Required Info to Submit'!I29</f>
        <v/>
      </c>
      <c r="AE136" s="1204" t="str">
        <f>'Required Info to Submit'!J29</f>
        <v/>
      </c>
      <c r="AF136" s="1296"/>
      <c r="AG136" s="1296"/>
      <c r="AH136" s="1296"/>
      <c r="AI136" s="138"/>
      <c r="AJ136" s="1296"/>
      <c r="AK136" s="1296"/>
      <c r="AL136" s="1296"/>
      <c r="AM136" s="1296"/>
      <c r="AN136" s="1296"/>
      <c r="AO136" s="1296"/>
      <c r="AP136" s="1296"/>
      <c r="AQ136" s="1296"/>
      <c r="AR136" s="1296"/>
      <c r="AS136" s="1296"/>
      <c r="AT136" s="1296"/>
      <c r="AU136" s="1296"/>
      <c r="AV136" s="1296"/>
      <c r="AW136" s="1296"/>
      <c r="AX136" s="1296"/>
      <c r="AY136" s="1296"/>
      <c r="AZ136" s="1296"/>
      <c r="BA136" s="1296"/>
      <c r="BB136" s="1296"/>
      <c r="BC136" s="1296"/>
      <c r="BD136" s="1296"/>
      <c r="BE136" s="1296"/>
      <c r="BF136" s="1296"/>
      <c r="BG136" s="1296"/>
      <c r="BH136" s="1296"/>
      <c r="BI136" s="1296"/>
      <c r="BJ136" s="1296"/>
      <c r="BK136" s="1296"/>
      <c r="BL136" s="1296"/>
      <c r="BM136" s="1296"/>
      <c r="BN136" s="1296"/>
      <c r="BO136" s="1296"/>
      <c r="BP136" s="1296"/>
      <c r="BQ136" s="1296"/>
      <c r="BR136" s="1296"/>
      <c r="BS136" s="1296"/>
      <c r="BT136" s="1296"/>
      <c r="BU136" s="1296"/>
      <c r="BV136" s="1296"/>
      <c r="BW136" s="1296"/>
      <c r="BX136" s="1296"/>
      <c r="BY136" s="1296"/>
      <c r="BZ136" s="1296"/>
      <c r="CA136" s="1296"/>
      <c r="CB136" s="1296"/>
      <c r="CC136" s="1296"/>
      <c r="CD136" s="1296"/>
      <c r="CE136" s="1296"/>
      <c r="CF136" s="1296"/>
      <c r="CG136" s="1296"/>
      <c r="CH136" s="1296"/>
      <c r="CI136" s="1296"/>
      <c r="CJ136" s="1296"/>
      <c r="CK136" s="1296"/>
    </row>
    <row r="137" spans="1:89" x14ac:dyDescent="0.25">
      <c r="A137" s="1296"/>
      <c r="B137" s="1721"/>
      <c r="C137" s="1205">
        <v>8</v>
      </c>
      <c r="D137" s="1196" t="s">
        <v>1856</v>
      </c>
      <c r="E137" s="1196" t="s">
        <v>1444</v>
      </c>
      <c r="F137" s="1196" t="str">
        <f>'Required Info to Submit'!E30</f>
        <v/>
      </c>
      <c r="G137" s="1393" t="str">
        <f>IF(F137="","",'Required Info to Submit'!K30)</f>
        <v/>
      </c>
      <c r="H137" s="1394" t="str">
        <f>IF(F137="","",'Required Info to Submit'!L30)</f>
        <v/>
      </c>
      <c r="I137" s="1196" t="str">
        <f>'Required Info to Submit'!F30</f>
        <v/>
      </c>
      <c r="J137" s="1196" t="str">
        <f>'Required Info to Submit'!G30</f>
        <v/>
      </c>
      <c r="K137" s="1196" t="str">
        <f>'Required Info to Submit'!H30</f>
        <v/>
      </c>
      <c r="L137" s="1196" t="str">
        <f>'Required Info to Submit'!I30</f>
        <v/>
      </c>
      <c r="M137" s="1196" t="str">
        <f>'Required Info to Submit'!J30</f>
        <v/>
      </c>
      <c r="N137" s="1296"/>
      <c r="O137" s="1296"/>
      <c r="P137" s="1296"/>
      <c r="Q137" s="138"/>
      <c r="R137" s="1296"/>
      <c r="S137" s="1296"/>
      <c r="T137" s="1721"/>
      <c r="U137" s="1205">
        <v>8</v>
      </c>
      <c r="V137" s="1196" t="s">
        <v>1856</v>
      </c>
      <c r="W137" s="1196" t="s">
        <v>1444</v>
      </c>
      <c r="X137" s="1204" t="str">
        <f>'Required Info to Submit'!E30</f>
        <v/>
      </c>
      <c r="Y137" s="1400" t="str">
        <f>IF(X137="","",'Required Info to Submit'!K30)</f>
        <v/>
      </c>
      <c r="Z137" s="1401" t="str">
        <f>IF(X137="","",'Required Info to Submit'!L30)</f>
        <v/>
      </c>
      <c r="AA137" s="1204" t="str">
        <f>'Required Info to Submit'!F30</f>
        <v/>
      </c>
      <c r="AB137" s="1204" t="str">
        <f>'Required Info to Submit'!G30</f>
        <v/>
      </c>
      <c r="AC137" s="1204" t="str">
        <f>'Required Info to Submit'!H30</f>
        <v/>
      </c>
      <c r="AD137" s="1204" t="str">
        <f>'Required Info to Submit'!I30</f>
        <v/>
      </c>
      <c r="AE137" s="1204" t="str">
        <f>'Required Info to Submit'!J30</f>
        <v/>
      </c>
      <c r="AF137" s="1296"/>
      <c r="AG137" s="1296"/>
      <c r="AH137" s="1296"/>
      <c r="AI137" s="138"/>
      <c r="AJ137" s="1296"/>
      <c r="AK137" s="1296"/>
      <c r="AL137" s="1296"/>
      <c r="AM137" s="1296"/>
      <c r="AN137" s="1296"/>
      <c r="AO137" s="1296"/>
      <c r="AP137" s="1296"/>
      <c r="AQ137" s="1296"/>
      <c r="AR137" s="1296"/>
      <c r="AS137" s="1296"/>
      <c r="AT137" s="1296"/>
      <c r="AU137" s="1296"/>
      <c r="AV137" s="1296"/>
      <c r="AW137" s="1296"/>
      <c r="AX137" s="1296"/>
      <c r="AY137" s="1296"/>
      <c r="AZ137" s="1296"/>
      <c r="BA137" s="1296"/>
      <c r="BB137" s="1296"/>
      <c r="BC137" s="1296"/>
      <c r="BD137" s="1296"/>
      <c r="BE137" s="1296"/>
      <c r="BF137" s="1296"/>
      <c r="BG137" s="1296"/>
      <c r="BH137" s="1296"/>
      <c r="BI137" s="1296"/>
      <c r="BJ137" s="1296"/>
      <c r="BK137" s="1296"/>
      <c r="BL137" s="1296"/>
      <c r="BM137" s="1296"/>
      <c r="BN137" s="1296"/>
      <c r="BO137" s="1296"/>
      <c r="BP137" s="1296"/>
      <c r="BQ137" s="1296"/>
      <c r="BR137" s="1296"/>
      <c r="BS137" s="1296"/>
      <c r="BT137" s="1296"/>
      <c r="BU137" s="1296"/>
      <c r="BV137" s="1296"/>
      <c r="BW137" s="1296"/>
      <c r="BX137" s="1296"/>
      <c r="BY137" s="1296"/>
      <c r="BZ137" s="1296"/>
      <c r="CA137" s="1296"/>
      <c r="CB137" s="1296"/>
      <c r="CC137" s="1296"/>
      <c r="CD137" s="1296"/>
      <c r="CE137" s="1296"/>
      <c r="CF137" s="1296"/>
      <c r="CG137" s="1296"/>
      <c r="CH137" s="1296"/>
      <c r="CI137" s="1296"/>
      <c r="CJ137" s="1296"/>
      <c r="CK137" s="1296"/>
    </row>
    <row r="138" spans="1:89" x14ac:dyDescent="0.25">
      <c r="A138" s="1296"/>
      <c r="B138" s="1721"/>
      <c r="C138" s="1205">
        <v>9</v>
      </c>
      <c r="D138" s="1196" t="s">
        <v>1856</v>
      </c>
      <c r="E138" s="1196" t="s">
        <v>1444</v>
      </c>
      <c r="F138" s="1196" t="str">
        <f>'Required Info to Submit'!E31</f>
        <v/>
      </c>
      <c r="G138" s="1393" t="str">
        <f>IF(F138="","",'Required Info to Submit'!K31)</f>
        <v/>
      </c>
      <c r="H138" s="1394" t="str">
        <f>IF(F138="","",'Required Info to Submit'!L31)</f>
        <v/>
      </c>
      <c r="I138" s="1196" t="str">
        <f>'Required Info to Submit'!F31</f>
        <v/>
      </c>
      <c r="J138" s="1196" t="str">
        <f>'Required Info to Submit'!G31</f>
        <v/>
      </c>
      <c r="K138" s="1196" t="str">
        <f>'Required Info to Submit'!H31</f>
        <v/>
      </c>
      <c r="L138" s="1196" t="str">
        <f>'Required Info to Submit'!I31</f>
        <v/>
      </c>
      <c r="M138" s="1196" t="str">
        <f>'Required Info to Submit'!J31</f>
        <v/>
      </c>
      <c r="N138" s="1296"/>
      <c r="O138" s="1296"/>
      <c r="P138" s="1296"/>
      <c r="Q138" s="138"/>
      <c r="R138" s="1296"/>
      <c r="S138" s="1296"/>
      <c r="T138" s="1721"/>
      <c r="U138" s="1205">
        <v>9</v>
      </c>
      <c r="V138" s="1196" t="s">
        <v>1856</v>
      </c>
      <c r="W138" s="1196" t="s">
        <v>1444</v>
      </c>
      <c r="X138" s="1204" t="str">
        <f>'Required Info to Submit'!E31</f>
        <v/>
      </c>
      <c r="Y138" s="1400" t="str">
        <f>IF(X138="","",'Required Info to Submit'!K31)</f>
        <v/>
      </c>
      <c r="Z138" s="1401" t="str">
        <f>IF(X138="","",'Required Info to Submit'!L31)</f>
        <v/>
      </c>
      <c r="AA138" s="1204" t="str">
        <f>'Required Info to Submit'!F31</f>
        <v/>
      </c>
      <c r="AB138" s="1204" t="str">
        <f>'Required Info to Submit'!G31</f>
        <v/>
      </c>
      <c r="AC138" s="1204" t="str">
        <f>'Required Info to Submit'!H31</f>
        <v/>
      </c>
      <c r="AD138" s="1204" t="str">
        <f>'Required Info to Submit'!I31</f>
        <v/>
      </c>
      <c r="AE138" s="1204" t="str">
        <f>'Required Info to Submit'!J31</f>
        <v/>
      </c>
      <c r="AF138" s="1296"/>
      <c r="AG138" s="1296"/>
      <c r="AH138" s="1296"/>
      <c r="AI138" s="138"/>
      <c r="AJ138" s="1296"/>
      <c r="AK138" s="1296"/>
      <c r="AL138" s="1296"/>
      <c r="AM138" s="1296"/>
      <c r="AN138" s="1296"/>
      <c r="AO138" s="1296"/>
      <c r="AP138" s="1296"/>
      <c r="AQ138" s="1296"/>
      <c r="AR138" s="1296"/>
      <c r="AS138" s="1296"/>
      <c r="AT138" s="1296"/>
      <c r="AU138" s="1296"/>
      <c r="AV138" s="1296"/>
      <c r="AW138" s="1296"/>
      <c r="AX138" s="1296"/>
      <c r="AY138" s="1296"/>
      <c r="AZ138" s="1296"/>
      <c r="BA138" s="1296"/>
      <c r="BB138" s="1296"/>
      <c r="BC138" s="1296"/>
      <c r="BD138" s="1296"/>
      <c r="BE138" s="1296"/>
      <c r="BF138" s="1296"/>
      <c r="BG138" s="1296"/>
      <c r="BH138" s="1296"/>
      <c r="BI138" s="1296"/>
      <c r="BJ138" s="1296"/>
      <c r="BK138" s="1296"/>
      <c r="BL138" s="1296"/>
      <c r="BM138" s="1296"/>
      <c r="BN138" s="1296"/>
      <c r="BO138" s="1296"/>
      <c r="BP138" s="1296"/>
      <c r="BQ138" s="1296"/>
      <c r="BR138" s="1296"/>
      <c r="BS138" s="1296"/>
      <c r="BT138" s="1296"/>
      <c r="BU138" s="1296"/>
      <c r="BV138" s="1296"/>
      <c r="BW138" s="1296"/>
      <c r="BX138" s="1296"/>
      <c r="BY138" s="1296"/>
      <c r="BZ138" s="1296"/>
      <c r="CA138" s="1296"/>
      <c r="CB138" s="1296"/>
      <c r="CC138" s="1296"/>
      <c r="CD138" s="1296"/>
      <c r="CE138" s="1296"/>
      <c r="CF138" s="1296"/>
      <c r="CG138" s="1296"/>
      <c r="CH138" s="1296"/>
      <c r="CI138" s="1296"/>
      <c r="CJ138" s="1296"/>
      <c r="CK138" s="1296"/>
    </row>
    <row r="139" spans="1:89" ht="15.75" thickBot="1" x14ac:dyDescent="0.3">
      <c r="A139" s="1296"/>
      <c r="B139" s="1722"/>
      <c r="C139" s="1207">
        <v>10</v>
      </c>
      <c r="D139" s="1198" t="s">
        <v>1856</v>
      </c>
      <c r="E139" s="1198" t="s">
        <v>1444</v>
      </c>
      <c r="F139" s="1198" t="str">
        <f>'Required Info to Submit'!E32</f>
        <v/>
      </c>
      <c r="G139" s="1395" t="str">
        <f>IF(F139="","",'Required Info to Submit'!K32)</f>
        <v/>
      </c>
      <c r="H139" s="1395" t="str">
        <f>IF(F139="","",'Required Info to Submit'!L32)</f>
        <v/>
      </c>
      <c r="I139" s="1198" t="str">
        <f>'Required Info to Submit'!F32</f>
        <v/>
      </c>
      <c r="J139" s="1198" t="str">
        <f>'Required Info to Submit'!G32</f>
        <v/>
      </c>
      <c r="K139" s="1198" t="str">
        <f>'Required Info to Submit'!H32</f>
        <v/>
      </c>
      <c r="L139" s="1198" t="str">
        <f>'Required Info to Submit'!I32</f>
        <v/>
      </c>
      <c r="M139" s="1198" t="str">
        <f>'Required Info to Submit'!J32</f>
        <v/>
      </c>
      <c r="N139" s="256"/>
      <c r="O139" s="256"/>
      <c r="P139" s="256"/>
      <c r="Q139" s="257"/>
      <c r="R139" s="1296"/>
      <c r="S139" s="1296"/>
      <c r="T139" s="1722"/>
      <c r="U139" s="1207">
        <v>10</v>
      </c>
      <c r="V139" s="1198" t="s">
        <v>1856</v>
      </c>
      <c r="W139" s="1198" t="s">
        <v>1444</v>
      </c>
      <c r="X139" s="1209" t="str">
        <f>'Required Info to Submit'!E32</f>
        <v/>
      </c>
      <c r="Y139" s="1402" t="str">
        <f>IF(X139="","",'Required Info to Submit'!K32)</f>
        <v/>
      </c>
      <c r="Z139" s="1405" t="str">
        <f>IF(X139="","",'Required Info to Submit'!L32)</f>
        <v/>
      </c>
      <c r="AA139" s="1209" t="str">
        <f>'Required Info to Submit'!F32</f>
        <v/>
      </c>
      <c r="AB139" s="1209" t="str">
        <f>'Required Info to Submit'!G32</f>
        <v/>
      </c>
      <c r="AC139" s="1209" t="str">
        <f>'Required Info to Submit'!H32</f>
        <v/>
      </c>
      <c r="AD139" s="1209" t="str">
        <f>'Required Info to Submit'!I32</f>
        <v/>
      </c>
      <c r="AE139" s="1209" t="str">
        <f>'Required Info to Submit'!J32</f>
        <v/>
      </c>
      <c r="AF139" s="256"/>
      <c r="AG139" s="256"/>
      <c r="AH139" s="256"/>
      <c r="AI139" s="257"/>
      <c r="AJ139" s="1296"/>
      <c r="AK139" s="1296"/>
      <c r="AL139" s="1296"/>
      <c r="AM139" s="1296"/>
      <c r="AN139" s="1296"/>
      <c r="AO139" s="1296"/>
      <c r="AP139" s="1296"/>
      <c r="AQ139" s="1296"/>
      <c r="AR139" s="1296"/>
      <c r="AS139" s="1296"/>
      <c r="AT139" s="1296"/>
      <c r="AU139" s="1296"/>
      <c r="AV139" s="1296"/>
      <c r="AW139" s="1296"/>
      <c r="AX139" s="1296"/>
      <c r="AY139" s="1296"/>
      <c r="AZ139" s="1296"/>
      <c r="BA139" s="1296"/>
      <c r="BB139" s="1296"/>
      <c r="BC139" s="1296"/>
      <c r="BD139" s="1296"/>
      <c r="BE139" s="1296"/>
      <c r="BF139" s="1296"/>
      <c r="BG139" s="1296"/>
      <c r="BH139" s="1296"/>
      <c r="BI139" s="1296"/>
      <c r="BJ139" s="1296"/>
      <c r="BK139" s="1296"/>
      <c r="BL139" s="1296"/>
      <c r="BM139" s="1296"/>
      <c r="BN139" s="1296"/>
      <c r="BO139" s="1296"/>
      <c r="BP139" s="1296"/>
      <c r="BQ139" s="1296"/>
      <c r="BR139" s="1296"/>
      <c r="BS139" s="1296"/>
      <c r="BT139" s="1296"/>
      <c r="BU139" s="1296"/>
      <c r="BV139" s="1296"/>
      <c r="BW139" s="1296"/>
      <c r="BX139" s="1296"/>
      <c r="BY139" s="1296"/>
      <c r="BZ139" s="1296"/>
      <c r="CA139" s="1296"/>
      <c r="CB139" s="1296"/>
      <c r="CC139" s="1296"/>
      <c r="CD139" s="1296"/>
      <c r="CE139" s="1296"/>
      <c r="CF139" s="1296"/>
      <c r="CG139" s="1296"/>
      <c r="CH139" s="1296"/>
      <c r="CI139" s="1296"/>
      <c r="CJ139" s="1296"/>
      <c r="CK139" s="1296"/>
    </row>
    <row r="140" spans="1:89" x14ac:dyDescent="0.25">
      <c r="A140" s="1296"/>
      <c r="B140" s="1296"/>
      <c r="C140" s="1296"/>
      <c r="D140" s="1296"/>
      <c r="E140" s="1296"/>
      <c r="F140" s="1296"/>
      <c r="G140" s="1296"/>
      <c r="H140" s="1296"/>
      <c r="I140" s="1296"/>
      <c r="J140" s="1296"/>
      <c r="K140" s="1296"/>
      <c r="L140" s="1296"/>
      <c r="M140" s="1296"/>
      <c r="N140" s="1296"/>
      <c r="O140" s="1296"/>
      <c r="P140" s="1296"/>
      <c r="Q140" s="1296"/>
      <c r="R140" s="1296"/>
      <c r="S140" s="1296"/>
      <c r="T140" s="1296"/>
      <c r="U140" s="1296"/>
      <c r="V140" s="1296"/>
      <c r="W140" s="1296"/>
      <c r="X140" s="1296"/>
      <c r="Y140" s="1296"/>
      <c r="Z140" s="1296"/>
      <c r="AA140" s="1296"/>
      <c r="AB140" s="1296"/>
      <c r="AC140" s="1296"/>
      <c r="AD140" s="1296"/>
      <c r="AE140" s="1296"/>
      <c r="AF140" s="1296"/>
      <c r="AG140" s="1296"/>
      <c r="AH140" s="1296"/>
      <c r="AI140" s="1296"/>
      <c r="AJ140" s="1296"/>
      <c r="AK140" s="1296"/>
      <c r="AL140" s="1296"/>
      <c r="AM140" s="1296"/>
      <c r="AN140" s="1296"/>
      <c r="AO140" s="1296"/>
      <c r="AP140" s="1296"/>
      <c r="AQ140" s="1296"/>
      <c r="AR140" s="1296"/>
      <c r="AS140" s="1296"/>
      <c r="AT140" s="1296"/>
      <c r="AU140" s="1296"/>
      <c r="AV140" s="1296"/>
      <c r="AW140" s="1296"/>
      <c r="AX140" s="1296"/>
      <c r="AY140" s="1296"/>
      <c r="AZ140" s="1296"/>
      <c r="BA140" s="1296"/>
      <c r="BB140" s="1296"/>
      <c r="BC140" s="1296"/>
      <c r="BD140" s="1296"/>
      <c r="BE140" s="1296"/>
      <c r="BF140" s="1296"/>
      <c r="BG140" s="1296"/>
      <c r="BH140" s="1296"/>
      <c r="BI140" s="1296"/>
      <c r="BJ140" s="1296"/>
      <c r="BK140" s="1296"/>
      <c r="BL140" s="1296"/>
      <c r="BM140" s="1296"/>
      <c r="BN140" s="1296"/>
      <c r="BO140" s="1296"/>
      <c r="BP140" s="1296"/>
      <c r="BQ140" s="1296"/>
      <c r="BR140" s="1296"/>
      <c r="BS140" s="1296"/>
      <c r="BT140" s="1296"/>
      <c r="BU140" s="1296"/>
      <c r="BV140" s="1296"/>
      <c r="BW140" s="1296"/>
      <c r="BX140" s="1296"/>
      <c r="BY140" s="1296"/>
      <c r="BZ140" s="1296"/>
      <c r="CA140" s="1296"/>
      <c r="CB140" s="1296"/>
      <c r="CC140" s="1296"/>
      <c r="CD140" s="1296"/>
      <c r="CE140" s="1296"/>
      <c r="CF140" s="1296"/>
      <c r="CG140" s="1296"/>
      <c r="CH140" s="1296"/>
      <c r="CI140" s="1296"/>
      <c r="CJ140" s="1296"/>
      <c r="CK140" s="1296"/>
    </row>
    <row r="141" spans="1:89" ht="15.75" thickBot="1" x14ac:dyDescent="0.3">
      <c r="A141" s="1296"/>
      <c r="B141" s="1296"/>
      <c r="C141" s="1296"/>
      <c r="D141" s="1296"/>
      <c r="E141" s="1296"/>
      <c r="F141" s="1296"/>
      <c r="G141" s="1296"/>
      <c r="H141" s="1296"/>
      <c r="I141" s="1296"/>
      <c r="J141" s="1296"/>
      <c r="K141" s="1296"/>
      <c r="L141" s="1296"/>
      <c r="M141" s="1296"/>
      <c r="N141" s="1296"/>
      <c r="O141" s="1296"/>
      <c r="P141" s="1296"/>
      <c r="Q141" s="1296"/>
      <c r="R141" s="1296"/>
      <c r="S141" s="1296"/>
      <c r="T141" s="1296"/>
      <c r="U141" s="1296"/>
      <c r="V141" s="1296"/>
      <c r="W141" s="1296"/>
      <c r="X141" s="1296"/>
      <c r="Y141" s="1296"/>
      <c r="Z141" s="1296"/>
      <c r="AA141" s="1296"/>
      <c r="AB141" s="1296"/>
      <c r="AC141" s="1296"/>
      <c r="AD141" s="1296"/>
      <c r="AE141" s="1296"/>
      <c r="AF141" s="1296"/>
      <c r="AG141" s="1296"/>
      <c r="AH141" s="1296"/>
      <c r="AI141" s="1296"/>
      <c r="AJ141" s="1296"/>
      <c r="AK141" s="1296"/>
      <c r="AL141" s="1296"/>
      <c r="AM141" s="1296"/>
      <c r="AN141" s="1296"/>
      <c r="AO141" s="1296"/>
      <c r="AP141" s="1296"/>
      <c r="AQ141" s="1296"/>
      <c r="AR141" s="1296"/>
      <c r="AS141" s="1296"/>
      <c r="AT141" s="1296"/>
      <c r="AU141" s="1296"/>
      <c r="AV141" s="1296"/>
      <c r="AW141" s="1296"/>
      <c r="AX141" s="1296"/>
      <c r="AY141" s="1296"/>
      <c r="AZ141" s="1296"/>
      <c r="BA141" s="1296"/>
      <c r="BB141" s="1296"/>
      <c r="BC141" s="1296"/>
      <c r="BD141" s="1296"/>
      <c r="BE141" s="1296"/>
      <c r="BF141" s="1296"/>
      <c r="BG141" s="1296"/>
      <c r="BH141" s="1296"/>
      <c r="BI141" s="1296"/>
      <c r="BJ141" s="1296"/>
      <c r="BK141" s="1296"/>
      <c r="BL141" s="1296"/>
      <c r="BM141" s="1296"/>
      <c r="BN141" s="1296"/>
      <c r="BO141" s="1296"/>
      <c r="BP141" s="1296"/>
      <c r="BQ141" s="1296"/>
      <c r="BR141" s="1296"/>
      <c r="BS141" s="1296"/>
      <c r="BT141" s="1296"/>
      <c r="BU141" s="1296"/>
      <c r="BV141" s="1296"/>
      <c r="BW141" s="1296"/>
      <c r="BX141" s="1296"/>
      <c r="BY141" s="1296"/>
      <c r="BZ141" s="1296"/>
      <c r="CA141" s="1296"/>
      <c r="CB141" s="1296"/>
      <c r="CC141" s="1296"/>
      <c r="CD141" s="1296"/>
      <c r="CE141" s="1296"/>
      <c r="CF141" s="1296"/>
      <c r="CG141" s="1296"/>
      <c r="CH141" s="1296"/>
      <c r="CI141" s="1296"/>
      <c r="CJ141" s="1296"/>
      <c r="CK141" s="1296"/>
    </row>
    <row r="142" spans="1:89" ht="41.25" customHeight="1" thickBot="1" x14ac:dyDescent="0.3">
      <c r="A142" s="1296"/>
      <c r="B142" s="1182"/>
      <c r="C142" s="1177" t="s">
        <v>1400</v>
      </c>
      <c r="D142" s="1177" t="s">
        <v>1510</v>
      </c>
      <c r="E142" s="1177" t="s">
        <v>767</v>
      </c>
      <c r="F142" s="1177" t="s">
        <v>1515</v>
      </c>
      <c r="G142" s="1177" t="s">
        <v>1833</v>
      </c>
      <c r="H142" s="1178" t="s">
        <v>1834</v>
      </c>
      <c r="I142" s="1178" t="s">
        <v>1835</v>
      </c>
      <c r="J142" s="1177" t="s">
        <v>1836</v>
      </c>
      <c r="K142" s="1178" t="s">
        <v>1414</v>
      </c>
      <c r="L142" s="1178" t="s">
        <v>1398</v>
      </c>
      <c r="M142" s="1177" t="s">
        <v>1399</v>
      </c>
      <c r="N142" s="1177" t="s">
        <v>722</v>
      </c>
      <c r="O142" s="1177" t="s">
        <v>723</v>
      </c>
      <c r="P142" s="1178" t="s">
        <v>1514</v>
      </c>
      <c r="Q142" s="1296"/>
      <c r="R142" s="1296"/>
      <c r="S142" s="1296"/>
      <c r="T142" s="1182"/>
      <c r="U142" s="1177" t="s">
        <v>1400</v>
      </c>
      <c r="V142" s="1177" t="s">
        <v>1510</v>
      </c>
      <c r="W142" s="1177" t="s">
        <v>767</v>
      </c>
      <c r="X142" s="1177" t="s">
        <v>1515</v>
      </c>
      <c r="Y142" s="1177" t="s">
        <v>1833</v>
      </c>
      <c r="Z142" s="1178" t="s">
        <v>1834</v>
      </c>
      <c r="AA142" s="1178" t="s">
        <v>1835</v>
      </c>
      <c r="AB142" s="1177" t="s">
        <v>1836</v>
      </c>
      <c r="AC142" s="1178" t="s">
        <v>1414</v>
      </c>
      <c r="AD142" s="1178" t="s">
        <v>1398</v>
      </c>
      <c r="AE142" s="1177" t="s">
        <v>1399</v>
      </c>
      <c r="AF142" s="1177" t="s">
        <v>722</v>
      </c>
      <c r="AG142" s="1177" t="s">
        <v>723</v>
      </c>
      <c r="AH142" s="1178" t="s">
        <v>1514</v>
      </c>
      <c r="AI142" s="1296"/>
      <c r="AJ142" s="1296"/>
      <c r="AK142" s="1296"/>
      <c r="AL142" s="1296"/>
      <c r="AM142" s="1296"/>
      <c r="AN142" s="1296"/>
      <c r="AO142" s="1296"/>
      <c r="AP142" s="1296"/>
      <c r="AQ142" s="1296"/>
      <c r="AR142" s="1296"/>
      <c r="AS142" s="1296"/>
      <c r="AT142" s="1296"/>
      <c r="AU142" s="1296"/>
      <c r="AV142" s="1296"/>
      <c r="AW142" s="1296"/>
      <c r="AX142" s="1296"/>
      <c r="AY142" s="1296"/>
      <c r="AZ142" s="1296"/>
      <c r="BA142" s="1296"/>
      <c r="BB142" s="1296"/>
      <c r="BC142" s="1296"/>
      <c r="BD142" s="1296"/>
      <c r="BE142" s="1296"/>
      <c r="BF142" s="1296"/>
      <c r="BG142" s="1296"/>
      <c r="BH142" s="1296"/>
      <c r="BI142" s="1296"/>
      <c r="BJ142" s="1296"/>
      <c r="BK142" s="1296"/>
      <c r="BL142" s="1296"/>
      <c r="BM142" s="1296"/>
      <c r="BN142" s="1296"/>
      <c r="BO142" s="1296"/>
      <c r="BP142" s="1296"/>
      <c r="BQ142" s="1296"/>
      <c r="BR142" s="1296"/>
      <c r="BS142" s="1296"/>
      <c r="BT142" s="1296"/>
      <c r="BU142" s="1296"/>
      <c r="BV142" s="1296"/>
      <c r="BW142" s="1296"/>
      <c r="BX142" s="1296"/>
      <c r="BY142" s="1296"/>
      <c r="BZ142" s="1296"/>
      <c r="CA142" s="1296"/>
      <c r="CB142" s="1296"/>
      <c r="CC142" s="1296"/>
      <c r="CD142" s="1296"/>
      <c r="CE142" s="1296"/>
      <c r="CF142" s="1296"/>
      <c r="CG142" s="1296"/>
      <c r="CH142" s="1296"/>
      <c r="CI142" s="1296"/>
      <c r="CJ142" s="1296"/>
      <c r="CK142" s="1296"/>
    </row>
    <row r="143" spans="1:89" ht="71.25" customHeight="1" thickBot="1" x14ac:dyDescent="0.3">
      <c r="A143" s="1296"/>
      <c r="B143" s="1184" t="s">
        <v>1837</v>
      </c>
      <c r="C143" s="1185" t="s">
        <v>1549</v>
      </c>
      <c r="D143" s="1186">
        <v>3401</v>
      </c>
      <c r="E143" s="1181" t="s">
        <v>1549</v>
      </c>
      <c r="F143" s="1181" t="s">
        <v>1550</v>
      </c>
      <c r="G143" s="1179" t="str" cm="1">
        <f t="array" aca="1" ref="G143" ca="1">INDIRECT("'Incentives Worksheet'!P"&amp;'Configurable Tab'!H13+3)</f>
        <v>Same as Payout Cycle</v>
      </c>
      <c r="H143" s="1179" t="str" cm="1">
        <f t="array" aca="1" ref="H143" ca="1">IF(ISBLANK(INDIRECT("'Incentives Worksheet'!H"&amp;'Configurable Tab'!H13+3)),"",INDIRECT("'Incentives Worksheet'!H"&amp;'Configurable Tab'!H13+3))</f>
        <v/>
      </c>
      <c r="I143" s="1179" t="str" cm="1">
        <f t="array" aca="1" ref="I143" ca="1">IF(INDIRECT("'Incentives Worksheet'!R"&amp;'Configurable Tab'!H13+3)="USF Calendar","Fiscal",INDIRECT("'Incentives Worksheet'!R"&amp;'Configurable Tab'!H13+3))</f>
        <v>Fiscal</v>
      </c>
      <c r="J143" s="1179" t="str" cm="1">
        <f t="array" aca="1" ref="J143" ca="1">IF(INDIRECT("'Incentives Worksheet'!T"&amp;'Configurable Tab'!H13+3)="Yes","Post to GL","")</f>
        <v/>
      </c>
      <c r="K143" s="1179" t="str" cm="1">
        <f t="array" aca="1" ref="K143" ca="1">IF(ISBLANK(INDIRECT("'Incentives Worksheet'!L"&amp;'Configurable Tab'!H13+3)),"",INDIRECT("'Incentives Worksheet'!L"&amp;'Configurable Tab'!H13+3))</f>
        <v/>
      </c>
      <c r="L143" s="1179" t="str" cm="1">
        <f t="array" aca="1" ref="L143" ca="1">IF(ISBLANK(INDIRECT("'Incentives Worksheet'!J"&amp;'Configurable Tab'!H13+3)),"",INDIRECT("'Incentives Worksheet'!J"&amp;'Configurable Tab'!H13+3))</f>
        <v/>
      </c>
      <c r="M143" s="1179" t="str" cm="1">
        <f t="array" aca="1" ref="M143" ca="1">IF(ISBLANK(INDIRECT("'Incentives Worksheet'!N"&amp;'Configurable Tab'!H13+3)),"",INDIRECT("'Incentives Worksheet'!N"&amp;'Configurable Tab'!H13+3))</f>
        <v/>
      </c>
      <c r="N143" s="1180" t="str" cm="1">
        <f t="array" aca="1" ref="N143" ca="1">INDIRECT("'Incentives Worksheet'!D"&amp;'Configurable Tab'!H13+6)</f>
        <v/>
      </c>
      <c r="O143" s="1180" t="str" cm="1">
        <f t="array" aca="1" ref="O143" ca="1">INDIRECT("'Incentives Worksheet'!D"&amp;'Configurable Tab'!H13+8)</f>
        <v/>
      </c>
      <c r="P143" s="1179" t="str" cm="1">
        <f t="array" aca="1" ref="P143" ca="1">IF(INDIRECT("'Incentives Worksheet'!D"&amp;'Configurable Tab'!H13+10)="No","Update tracking dates",INDIRECT("'Incentives Worksheet'!D"&amp;'Configurable Tab'!H13+10))</f>
        <v>Yes</v>
      </c>
      <c r="Q143" s="1296"/>
      <c r="R143" s="1296"/>
      <c r="S143" s="1296"/>
      <c r="T143" s="1184" t="s">
        <v>1837</v>
      </c>
      <c r="U143" s="1185" t="s">
        <v>1549</v>
      </c>
      <c r="V143" s="1186">
        <v>3402</v>
      </c>
      <c r="W143" s="1181" t="s">
        <v>1549</v>
      </c>
      <c r="X143" s="1181" t="s">
        <v>1550</v>
      </c>
      <c r="Y143" s="1179" t="str" cm="1">
        <f t="array" aca="1" ref="Y143" ca="1">INDIRECT("'Incentives Worksheet'!P"&amp;'Configurable Tab'!H14+3)</f>
        <v>Same as Payout Cycle</v>
      </c>
      <c r="Z143" s="1179" t="str" cm="1">
        <f t="array" aca="1" ref="Z143" ca="1">IF(ISBLANK(INDIRECT("'Incentives Worksheet'!H"&amp;'Configurable Tab'!H14+3)),"",INDIRECT("'Incentives Worksheet'!H"&amp;'Configurable Tab'!H14+3))</f>
        <v/>
      </c>
      <c r="AA143" s="1179" t="str" cm="1">
        <f t="array" aca="1" ref="AA143" ca="1">IF(INDIRECT("'Incentives Worksheet'!R"&amp;'Configurable Tab'!H14+3)="USF Calendar","Fiscal",INDIRECT("'Incentives Worksheet'!R"&amp;'Configurable Tab'!H14+3))</f>
        <v>Fiscal</v>
      </c>
      <c r="AB143" s="1179" t="str" cm="1">
        <f t="array" aca="1" ref="AB143" ca="1">IF(INDIRECT("'Incentives Worksheet'!T"&amp;'Configurable Tab'!H14+3)="Yes","Post to GL","")</f>
        <v/>
      </c>
      <c r="AC143" s="1179" t="str" cm="1">
        <f t="array" aca="1" ref="AC143" ca="1">IF(ISBLANK(INDIRECT("'Incentives Worksheet'!L"&amp;'Configurable Tab'!H14+3)),"",INDIRECT("'Incentives Worksheet'!L"&amp;'Configurable Tab'!H14+3))</f>
        <v/>
      </c>
      <c r="AD143" s="1179" t="str" cm="1">
        <f t="array" aca="1" ref="AD143" ca="1">IF(ISBLANK(INDIRECT("'Incentives Worksheet'!J"&amp;'Configurable Tab'!H14+3)),"",INDIRECT("'Incentives Worksheet'!J"&amp;'Configurable Tab'!H14+3))</f>
        <v/>
      </c>
      <c r="AE143" s="1179" t="str" cm="1">
        <f t="array" aca="1" ref="AE143" ca="1">IF(ISBLANK(INDIRECT("'Incentives Worksheet'!N"&amp;'Configurable Tab'!H14+3)),"",INDIRECT("'Incentives Worksheet'!N"&amp;'Configurable Tab'!H14+3))</f>
        <v/>
      </c>
      <c r="AF143" s="1180" t="str" cm="1">
        <f t="array" aca="1" ref="AF143" ca="1">INDIRECT("'Incentives Worksheet'!D"&amp;'Configurable Tab'!H14+6)</f>
        <v/>
      </c>
      <c r="AG143" s="1180" t="str" cm="1">
        <f t="array" aca="1" ref="AG143" ca="1">INDIRECT("'Incentives Worksheet'!D"&amp;'Configurable Tab'!H14+8)</f>
        <v/>
      </c>
      <c r="AH143" s="1179" t="str" cm="1">
        <f t="array" aca="1" ref="AH143" ca="1">IF(INDIRECT("'Incentives Worksheet'!D"&amp;'Configurable Tab'!H14+10)="No","Update tracking dates",INDIRECT("'Incentives Worksheet'!D"&amp;'Configurable Tab'!H14+10))</f>
        <v>Yes</v>
      </c>
      <c r="AI143" s="1296"/>
      <c r="AJ143" s="1296"/>
      <c r="AK143" s="1296"/>
      <c r="AL143" s="1296"/>
      <c r="AM143" s="1296"/>
      <c r="AN143" s="1296"/>
      <c r="AO143" s="1296"/>
      <c r="AP143" s="1296"/>
      <c r="AQ143" s="1296"/>
      <c r="AR143" s="1296"/>
      <c r="AS143" s="1296"/>
      <c r="AT143" s="1296"/>
      <c r="AU143" s="1296"/>
      <c r="AV143" s="1296"/>
      <c r="AW143" s="1296"/>
      <c r="AX143" s="1296"/>
      <c r="AY143" s="1296"/>
      <c r="AZ143" s="1296"/>
      <c r="BA143" s="1296"/>
      <c r="BB143" s="1296"/>
      <c r="BC143" s="1296"/>
      <c r="BD143" s="1296"/>
      <c r="BE143" s="1296"/>
      <c r="BF143" s="1296"/>
      <c r="BG143" s="1296"/>
      <c r="BH143" s="1296"/>
      <c r="BI143" s="1296"/>
      <c r="BJ143" s="1296"/>
      <c r="BK143" s="1296"/>
      <c r="BL143" s="1296"/>
      <c r="BM143" s="1296"/>
      <c r="BN143" s="1296"/>
      <c r="BO143" s="1296"/>
      <c r="BP143" s="1296"/>
      <c r="BQ143" s="1296"/>
      <c r="BR143" s="1296"/>
      <c r="BS143" s="1296"/>
      <c r="BT143" s="1296"/>
      <c r="BU143" s="1296"/>
      <c r="BV143" s="1296"/>
      <c r="BW143" s="1296"/>
      <c r="BX143" s="1296"/>
      <c r="BY143" s="1296"/>
      <c r="BZ143" s="1296"/>
      <c r="CA143" s="1296"/>
      <c r="CB143" s="1296"/>
      <c r="CC143" s="1296"/>
      <c r="CD143" s="1296"/>
      <c r="CE143" s="1296"/>
      <c r="CF143" s="1296"/>
      <c r="CG143" s="1296"/>
      <c r="CH143" s="1296"/>
      <c r="CI143" s="1296"/>
      <c r="CJ143" s="1296"/>
      <c r="CK143" s="1296"/>
    </row>
    <row r="144" spans="1:89" ht="30.75" customHeight="1" thickBot="1" x14ac:dyDescent="0.3">
      <c r="A144" s="1296"/>
      <c r="B144" s="1727" t="s">
        <v>1872</v>
      </c>
      <c r="C144" s="1177" t="s">
        <v>1839</v>
      </c>
      <c r="D144" s="1178" t="s">
        <v>1840</v>
      </c>
      <c r="E144" s="1188"/>
      <c r="F144" s="1188"/>
      <c r="G144" s="1188"/>
      <c r="H144" s="1188"/>
      <c r="I144" s="1188"/>
      <c r="J144" s="1188"/>
      <c r="K144" s="1188"/>
      <c r="L144" s="1188"/>
      <c r="M144" s="1188"/>
      <c r="N144" s="1188"/>
      <c r="O144" s="1188"/>
      <c r="P144" s="1189"/>
      <c r="Q144" s="1296"/>
      <c r="R144" s="1296"/>
      <c r="S144" s="1296"/>
      <c r="T144" s="1727" t="s">
        <v>1872</v>
      </c>
      <c r="U144" s="1177" t="s">
        <v>1839</v>
      </c>
      <c r="V144" s="1178" t="s">
        <v>1840</v>
      </c>
      <c r="W144" s="1188"/>
      <c r="X144" s="1188"/>
      <c r="Y144" s="1188"/>
      <c r="Z144" s="1188"/>
      <c r="AA144" s="1188"/>
      <c r="AB144" s="1188"/>
      <c r="AC144" s="1188"/>
      <c r="AD144" s="1188"/>
      <c r="AE144" s="1188"/>
      <c r="AF144" s="1188"/>
      <c r="AG144" s="1188"/>
      <c r="AH144" s="1189"/>
      <c r="AI144" s="1296"/>
      <c r="AJ144" s="1296"/>
      <c r="AK144" s="1296"/>
      <c r="AL144" s="1296"/>
      <c r="AM144" s="1296"/>
      <c r="AN144" s="1296"/>
      <c r="AO144" s="1296"/>
      <c r="AP144" s="1296"/>
      <c r="AQ144" s="1296"/>
      <c r="AR144" s="1296"/>
      <c r="AS144" s="1296"/>
      <c r="AT144" s="1296"/>
      <c r="AU144" s="1296"/>
      <c r="AV144" s="1296"/>
      <c r="AW144" s="1296"/>
      <c r="AX144" s="1296"/>
      <c r="AY144" s="1296"/>
      <c r="AZ144" s="1296"/>
      <c r="BA144" s="1296"/>
      <c r="BB144" s="1296"/>
      <c r="BC144" s="1296"/>
      <c r="BD144" s="1296"/>
      <c r="BE144" s="1296"/>
      <c r="BF144" s="1296"/>
      <c r="BG144" s="1296"/>
      <c r="BH144" s="1296"/>
      <c r="BI144" s="1296"/>
      <c r="BJ144" s="1296"/>
      <c r="BK144" s="1296"/>
      <c r="BL144" s="1296"/>
      <c r="BM144" s="1296"/>
      <c r="BN144" s="1296"/>
      <c r="BO144" s="1296"/>
      <c r="BP144" s="1296"/>
      <c r="BQ144" s="1296"/>
      <c r="BR144" s="1296"/>
      <c r="BS144" s="1296"/>
      <c r="BT144" s="1296"/>
      <c r="BU144" s="1296"/>
      <c r="BV144" s="1296"/>
      <c r="BW144" s="1296"/>
      <c r="BX144" s="1296"/>
      <c r="BY144" s="1296"/>
      <c r="BZ144" s="1296"/>
      <c r="CA144" s="1296"/>
      <c r="CB144" s="1296"/>
      <c r="CC144" s="1296"/>
      <c r="CD144" s="1296"/>
      <c r="CE144" s="1296"/>
      <c r="CF144" s="1296"/>
      <c r="CG144" s="1296"/>
      <c r="CH144" s="1296"/>
      <c r="CI144" s="1296"/>
      <c r="CJ144" s="1296"/>
      <c r="CK144" s="1296"/>
    </row>
    <row r="145" spans="1:89" ht="15.75" thickBot="1" x14ac:dyDescent="0.3">
      <c r="A145" s="1296"/>
      <c r="B145" s="1728"/>
      <c r="C145" s="1190" t="s">
        <v>1841</v>
      </c>
      <c r="D145" s="1266" t="str" cm="1">
        <f t="array" aca="1" ref="D145" ca="1">IF(ISBLANK(INDIRECT("'Incentives Worksheet'!L"&amp;'Configurable Tab'!H13+6)),"",INDIRECT("'Incentives Worksheet'!L"&amp;'Configurable Tab'!H13+6))</f>
        <v/>
      </c>
      <c r="E145" s="1188"/>
      <c r="F145" s="1188"/>
      <c r="G145" s="1188"/>
      <c r="H145" s="1188"/>
      <c r="I145" s="1188"/>
      <c r="J145" s="1188"/>
      <c r="K145" s="1188"/>
      <c r="L145" s="1188"/>
      <c r="M145" s="1188"/>
      <c r="N145" s="1188"/>
      <c r="O145" s="1188"/>
      <c r="P145" s="1189"/>
      <c r="Q145" s="1296"/>
      <c r="R145" s="1296"/>
      <c r="S145" s="1296"/>
      <c r="T145" s="1728"/>
      <c r="U145" s="1190" t="s">
        <v>1841</v>
      </c>
      <c r="V145" s="1266" t="str" cm="1">
        <f t="array" aca="1" ref="V145" ca="1">IF(ISBLANK(INDIRECT("'Incentives Worksheet'!L"&amp;'Configurable Tab'!H14+6)),"",INDIRECT("'Incentives Worksheet'!L"&amp;'Configurable Tab'!H14+6))</f>
        <v/>
      </c>
      <c r="W145" s="1188"/>
      <c r="X145" s="1188"/>
      <c r="Y145" s="1188"/>
      <c r="Z145" s="1188"/>
      <c r="AA145" s="1188"/>
      <c r="AB145" s="1188"/>
      <c r="AC145" s="1188"/>
      <c r="AD145" s="1188"/>
      <c r="AE145" s="1188"/>
      <c r="AF145" s="1188"/>
      <c r="AG145" s="1188"/>
      <c r="AH145" s="1189"/>
      <c r="AI145" s="1296"/>
      <c r="AJ145" s="1296"/>
      <c r="AK145" s="1296"/>
      <c r="AL145" s="1296"/>
      <c r="AM145" s="1296"/>
      <c r="AN145" s="1296"/>
      <c r="AO145" s="1296"/>
      <c r="AP145" s="1296"/>
      <c r="AQ145" s="1296"/>
      <c r="AR145" s="1296"/>
      <c r="AS145" s="1296"/>
      <c r="AT145" s="1296"/>
      <c r="AU145" s="1296"/>
      <c r="AV145" s="1296"/>
      <c r="AW145" s="1296"/>
      <c r="AX145" s="1296"/>
      <c r="AY145" s="1296"/>
      <c r="AZ145" s="1296"/>
      <c r="BA145" s="1296"/>
      <c r="BB145" s="1296"/>
      <c r="BC145" s="1296"/>
      <c r="BD145" s="1296"/>
      <c r="BE145" s="1296"/>
      <c r="BF145" s="1296"/>
      <c r="BG145" s="1296"/>
      <c r="BH145" s="1296"/>
      <c r="BI145" s="1296"/>
      <c r="BJ145" s="1296"/>
      <c r="BK145" s="1296"/>
      <c r="BL145" s="1296"/>
      <c r="BM145" s="1296"/>
      <c r="BN145" s="1296"/>
      <c r="BO145" s="1296"/>
      <c r="BP145" s="1296"/>
      <c r="BQ145" s="1296"/>
      <c r="BR145" s="1296"/>
      <c r="BS145" s="1296"/>
      <c r="BT145" s="1296"/>
      <c r="BU145" s="1296"/>
      <c r="BV145" s="1296"/>
      <c r="BW145" s="1296"/>
      <c r="BX145" s="1296"/>
      <c r="BY145" s="1296"/>
      <c r="BZ145" s="1296"/>
      <c r="CA145" s="1296"/>
      <c r="CB145" s="1296"/>
      <c r="CC145" s="1296"/>
      <c r="CD145" s="1296"/>
      <c r="CE145" s="1296"/>
      <c r="CF145" s="1296"/>
      <c r="CG145" s="1296"/>
      <c r="CH145" s="1296"/>
      <c r="CI145" s="1296"/>
      <c r="CJ145" s="1296"/>
      <c r="CK145" s="1296"/>
    </row>
    <row r="146" spans="1:89" ht="15.75" customHeight="1" thickBot="1" x14ac:dyDescent="0.3">
      <c r="A146" s="1296"/>
      <c r="B146" s="1723" t="s">
        <v>1842</v>
      </c>
      <c r="C146" s="1191" t="s">
        <v>1843</v>
      </c>
      <c r="D146" s="1192" t="s">
        <v>131</v>
      </c>
      <c r="E146" s="1192" t="s">
        <v>1844</v>
      </c>
      <c r="F146" s="1296"/>
      <c r="G146" s="1296"/>
      <c r="H146" s="1296"/>
      <c r="I146" s="1296"/>
      <c r="J146" s="1296"/>
      <c r="K146" s="1296"/>
      <c r="L146" s="1296"/>
      <c r="M146" s="1296"/>
      <c r="N146" s="1296"/>
      <c r="O146" s="1296"/>
      <c r="P146" s="138"/>
      <c r="Q146" s="1296"/>
      <c r="R146" s="1296"/>
      <c r="S146" s="1296"/>
      <c r="T146" s="1723" t="s">
        <v>1842</v>
      </c>
      <c r="U146" s="1191" t="s">
        <v>1843</v>
      </c>
      <c r="V146" s="1192" t="s">
        <v>131</v>
      </c>
      <c r="W146" s="1192" t="s">
        <v>1844</v>
      </c>
      <c r="X146" s="1296"/>
      <c r="Y146" s="1296"/>
      <c r="Z146" s="1296"/>
      <c r="AA146" s="1296"/>
      <c r="AB146" s="1296"/>
      <c r="AC146" s="1296"/>
      <c r="AD146" s="1296"/>
      <c r="AE146" s="1296"/>
      <c r="AF146" s="1296"/>
      <c r="AG146" s="1296"/>
      <c r="AH146" s="138"/>
      <c r="AI146" s="1296"/>
      <c r="AJ146" s="1296"/>
      <c r="AK146" s="1296"/>
      <c r="AL146" s="1296"/>
      <c r="AM146" s="1296"/>
      <c r="AN146" s="1296"/>
      <c r="AO146" s="1296"/>
      <c r="AP146" s="1296"/>
      <c r="AQ146" s="1296"/>
      <c r="AR146" s="1296"/>
      <c r="AS146" s="1296"/>
      <c r="AT146" s="1296"/>
      <c r="AU146" s="1296"/>
      <c r="AV146" s="1296"/>
      <c r="AW146" s="1296"/>
      <c r="AX146" s="1296"/>
      <c r="AY146" s="1296"/>
      <c r="AZ146" s="1296"/>
      <c r="BA146" s="1296"/>
      <c r="BB146" s="1296"/>
      <c r="BC146" s="1296"/>
      <c r="BD146" s="1296"/>
      <c r="BE146" s="1296"/>
      <c r="BF146" s="1296"/>
      <c r="BG146" s="1296"/>
      <c r="BH146" s="1296"/>
      <c r="BI146" s="1296"/>
      <c r="BJ146" s="1296"/>
      <c r="BK146" s="1296"/>
      <c r="BL146" s="1296"/>
      <c r="BM146" s="1296"/>
      <c r="BN146" s="1296"/>
      <c r="BO146" s="1296"/>
      <c r="BP146" s="1296"/>
      <c r="BQ146" s="1296"/>
      <c r="BR146" s="1296"/>
      <c r="BS146" s="1296"/>
      <c r="BT146" s="1296"/>
      <c r="BU146" s="1296"/>
      <c r="BV146" s="1296"/>
      <c r="BW146" s="1296"/>
      <c r="BX146" s="1296"/>
      <c r="BY146" s="1296"/>
      <c r="BZ146" s="1296"/>
      <c r="CA146" s="1296"/>
      <c r="CB146" s="1296"/>
      <c r="CC146" s="1296"/>
      <c r="CD146" s="1296"/>
      <c r="CE146" s="1296"/>
      <c r="CF146" s="1296"/>
      <c r="CG146" s="1296"/>
      <c r="CH146" s="1296"/>
      <c r="CI146" s="1296"/>
      <c r="CJ146" s="1296"/>
      <c r="CK146" s="1296"/>
    </row>
    <row r="147" spans="1:89" x14ac:dyDescent="0.25">
      <c r="A147" s="1296"/>
      <c r="B147" s="1721"/>
      <c r="C147" s="1193" t="s">
        <v>1845</v>
      </c>
      <c r="D147" s="1193" t="s">
        <v>1846</v>
      </c>
      <c r="E147" s="1194"/>
      <c r="F147" s="1296"/>
      <c r="G147" s="1296"/>
      <c r="H147" s="1296"/>
      <c r="I147" s="1296"/>
      <c r="J147" s="1296"/>
      <c r="K147" s="1296"/>
      <c r="L147" s="1296"/>
      <c r="M147" s="1296"/>
      <c r="N147" s="1296"/>
      <c r="O147" s="1296"/>
      <c r="P147" s="138"/>
      <c r="Q147" s="1296"/>
      <c r="R147" s="1296"/>
      <c r="S147" s="1296"/>
      <c r="T147" s="1721"/>
      <c r="U147" s="1193" t="s">
        <v>1845</v>
      </c>
      <c r="V147" s="1193" t="s">
        <v>1846</v>
      </c>
      <c r="W147" s="1194"/>
      <c r="X147" s="1296"/>
      <c r="Y147" s="1296"/>
      <c r="Z147" s="1296"/>
      <c r="AA147" s="1296"/>
      <c r="AB147" s="1296"/>
      <c r="AC147" s="1296"/>
      <c r="AD147" s="1296"/>
      <c r="AE147" s="1296"/>
      <c r="AF147" s="1296"/>
      <c r="AG147" s="1296"/>
      <c r="AH147" s="138"/>
      <c r="AI147" s="1296"/>
      <c r="AJ147" s="1296"/>
      <c r="AK147" s="1296"/>
      <c r="AL147" s="1296"/>
      <c r="AM147" s="1296"/>
      <c r="AN147" s="1296"/>
      <c r="AO147" s="1296"/>
      <c r="AP147" s="1296"/>
      <c r="AQ147" s="1296"/>
      <c r="AR147" s="1296"/>
      <c r="AS147" s="1296"/>
      <c r="AT147" s="1296"/>
      <c r="AU147" s="1296"/>
      <c r="AV147" s="1296"/>
      <c r="AW147" s="1296"/>
      <c r="AX147" s="1296"/>
      <c r="AY147" s="1296"/>
      <c r="AZ147" s="1296"/>
      <c r="BA147" s="1296"/>
      <c r="BB147" s="1296"/>
      <c r="BC147" s="1296"/>
      <c r="BD147" s="1296"/>
      <c r="BE147" s="1296"/>
      <c r="BF147" s="1296"/>
      <c r="BG147" s="1296"/>
      <c r="BH147" s="1296"/>
      <c r="BI147" s="1296"/>
      <c r="BJ147" s="1296"/>
      <c r="BK147" s="1296"/>
      <c r="BL147" s="1296"/>
      <c r="BM147" s="1296"/>
      <c r="BN147" s="1296"/>
      <c r="BO147" s="1296"/>
      <c r="BP147" s="1296"/>
      <c r="BQ147" s="1296"/>
      <c r="BR147" s="1296"/>
      <c r="BS147" s="1296"/>
      <c r="BT147" s="1296"/>
      <c r="BU147" s="1296"/>
      <c r="BV147" s="1296"/>
      <c r="BW147" s="1296"/>
      <c r="BX147" s="1296"/>
      <c r="BY147" s="1296"/>
      <c r="BZ147" s="1296"/>
      <c r="CA147" s="1296"/>
      <c r="CB147" s="1296"/>
      <c r="CC147" s="1296"/>
      <c r="CD147" s="1296"/>
      <c r="CE147" s="1296"/>
      <c r="CF147" s="1296"/>
      <c r="CG147" s="1296"/>
      <c r="CH147" s="1296"/>
      <c r="CI147" s="1296"/>
      <c r="CJ147" s="1296"/>
      <c r="CK147" s="1296"/>
    </row>
    <row r="148" spans="1:89" x14ac:dyDescent="0.25">
      <c r="A148" s="1296"/>
      <c r="B148" s="1721"/>
      <c r="C148" s="1195" t="s">
        <v>1845</v>
      </c>
      <c r="D148" s="1195" t="s">
        <v>1847</v>
      </c>
      <c r="E148" s="1196" t="s">
        <v>1848</v>
      </c>
      <c r="F148" s="1296"/>
      <c r="G148" s="1296"/>
      <c r="H148" s="1296"/>
      <c r="I148" s="1296"/>
      <c r="J148" s="1296"/>
      <c r="K148" s="1296"/>
      <c r="L148" s="1296"/>
      <c r="M148" s="1296"/>
      <c r="N148" s="1296"/>
      <c r="O148" s="1296"/>
      <c r="P148" s="138"/>
      <c r="Q148" s="1296"/>
      <c r="R148" s="1296"/>
      <c r="S148" s="1296"/>
      <c r="T148" s="1721"/>
      <c r="U148" s="1195" t="s">
        <v>1845</v>
      </c>
      <c r="V148" s="1195" t="s">
        <v>1847</v>
      </c>
      <c r="W148" s="1196" t="s">
        <v>1848</v>
      </c>
      <c r="X148" s="1296"/>
      <c r="Y148" s="1296"/>
      <c r="Z148" s="1296"/>
      <c r="AA148" s="1296"/>
      <c r="AB148" s="1296"/>
      <c r="AC148" s="1296"/>
      <c r="AD148" s="1296"/>
      <c r="AE148" s="1296"/>
      <c r="AF148" s="1296"/>
      <c r="AG148" s="1296"/>
      <c r="AH148" s="138"/>
      <c r="AI148" s="1296"/>
      <c r="AJ148" s="1296"/>
      <c r="AK148" s="1296"/>
      <c r="AL148" s="1296"/>
      <c r="AM148" s="1296"/>
      <c r="AN148" s="1296"/>
      <c r="AO148" s="1296"/>
      <c r="AP148" s="1296"/>
      <c r="AQ148" s="1296"/>
      <c r="AR148" s="1296"/>
      <c r="AS148" s="1296"/>
      <c r="AT148" s="1296"/>
      <c r="AU148" s="1296"/>
      <c r="AV148" s="1296"/>
      <c r="AW148" s="1296"/>
      <c r="AX148" s="1296"/>
      <c r="AY148" s="1296"/>
      <c r="AZ148" s="1296"/>
      <c r="BA148" s="1296"/>
      <c r="BB148" s="1296"/>
      <c r="BC148" s="1296"/>
      <c r="BD148" s="1296"/>
      <c r="BE148" s="1296"/>
      <c r="BF148" s="1296"/>
      <c r="BG148" s="1296"/>
      <c r="BH148" s="1296"/>
      <c r="BI148" s="1296"/>
      <c r="BJ148" s="1296"/>
      <c r="BK148" s="1296"/>
      <c r="BL148" s="1296"/>
      <c r="BM148" s="1296"/>
      <c r="BN148" s="1296"/>
      <c r="BO148" s="1296"/>
      <c r="BP148" s="1296"/>
      <c r="BQ148" s="1296"/>
      <c r="BR148" s="1296"/>
      <c r="BS148" s="1296"/>
      <c r="BT148" s="1296"/>
      <c r="BU148" s="1296"/>
      <c r="BV148" s="1296"/>
      <c r="BW148" s="1296"/>
      <c r="BX148" s="1296"/>
      <c r="BY148" s="1296"/>
      <c r="BZ148" s="1296"/>
      <c r="CA148" s="1296"/>
      <c r="CB148" s="1296"/>
      <c r="CC148" s="1296"/>
      <c r="CD148" s="1296"/>
      <c r="CE148" s="1296"/>
      <c r="CF148" s="1296"/>
      <c r="CG148" s="1296"/>
      <c r="CH148" s="1296"/>
      <c r="CI148" s="1296"/>
      <c r="CJ148" s="1296"/>
      <c r="CK148" s="1296"/>
    </row>
    <row r="149" spans="1:89" x14ac:dyDescent="0.25">
      <c r="A149" s="1296"/>
      <c r="B149" s="1721"/>
      <c r="C149" s="1195" t="s">
        <v>1845</v>
      </c>
      <c r="D149" s="1195" t="s">
        <v>1849</v>
      </c>
      <c r="E149" s="1196" t="s">
        <v>1718</v>
      </c>
      <c r="F149" s="1296"/>
      <c r="G149" s="1296"/>
      <c r="H149" s="1296"/>
      <c r="I149" s="1296"/>
      <c r="J149" s="1296"/>
      <c r="K149" s="1296"/>
      <c r="L149" s="1296"/>
      <c r="M149" s="1296"/>
      <c r="N149" s="1296"/>
      <c r="O149" s="1296"/>
      <c r="P149" s="138"/>
      <c r="Q149" s="1296"/>
      <c r="R149" s="1296"/>
      <c r="S149" s="1296"/>
      <c r="T149" s="1721"/>
      <c r="U149" s="1195" t="s">
        <v>1845</v>
      </c>
      <c r="V149" s="1195" t="s">
        <v>1849</v>
      </c>
      <c r="W149" s="1196" t="s">
        <v>1718</v>
      </c>
      <c r="X149" s="1296"/>
      <c r="Y149" s="1296"/>
      <c r="Z149" s="1296"/>
      <c r="AA149" s="1296"/>
      <c r="AB149" s="1296"/>
      <c r="AC149" s="1296"/>
      <c r="AD149" s="1296"/>
      <c r="AE149" s="1296"/>
      <c r="AF149" s="1296"/>
      <c r="AG149" s="1296"/>
      <c r="AH149" s="138"/>
      <c r="AI149" s="1296"/>
      <c r="AJ149" s="1296"/>
      <c r="AK149" s="1296"/>
      <c r="AL149" s="1296"/>
      <c r="AM149" s="1296"/>
      <c r="AN149" s="1296"/>
      <c r="AO149" s="1296"/>
      <c r="AP149" s="1296"/>
      <c r="AQ149" s="1296"/>
      <c r="AR149" s="1296"/>
      <c r="AS149" s="1296"/>
      <c r="AT149" s="1296"/>
      <c r="AU149" s="1296"/>
      <c r="AV149" s="1296"/>
      <c r="AW149" s="1296"/>
      <c r="AX149" s="1296"/>
      <c r="AY149" s="1296"/>
      <c r="AZ149" s="1296"/>
      <c r="BA149" s="1296"/>
      <c r="BB149" s="1296"/>
      <c r="BC149" s="1296"/>
      <c r="BD149" s="1296"/>
      <c r="BE149" s="1296"/>
      <c r="BF149" s="1296"/>
      <c r="BG149" s="1296"/>
      <c r="BH149" s="1296"/>
      <c r="BI149" s="1296"/>
      <c r="BJ149" s="1296"/>
      <c r="BK149" s="1296"/>
      <c r="BL149" s="1296"/>
      <c r="BM149" s="1296"/>
      <c r="BN149" s="1296"/>
      <c r="BO149" s="1296"/>
      <c r="BP149" s="1296"/>
      <c r="BQ149" s="1296"/>
      <c r="BR149" s="1296"/>
      <c r="BS149" s="1296"/>
      <c r="BT149" s="1296"/>
      <c r="BU149" s="1296"/>
      <c r="BV149" s="1296"/>
      <c r="BW149" s="1296"/>
      <c r="BX149" s="1296"/>
      <c r="BY149" s="1296"/>
      <c r="BZ149" s="1296"/>
      <c r="CA149" s="1296"/>
      <c r="CB149" s="1296"/>
      <c r="CC149" s="1296"/>
      <c r="CD149" s="1296"/>
      <c r="CE149" s="1296"/>
      <c r="CF149" s="1296"/>
      <c r="CG149" s="1296"/>
      <c r="CH149" s="1296"/>
      <c r="CI149" s="1296"/>
      <c r="CJ149" s="1296"/>
      <c r="CK149" s="1296"/>
    </row>
    <row r="150" spans="1:89" ht="15.75" thickBot="1" x14ac:dyDescent="0.3">
      <c r="A150" s="1296"/>
      <c r="B150" s="1722"/>
      <c r="C150" s="1197" t="s">
        <v>1845</v>
      </c>
      <c r="D150" s="1197" t="s">
        <v>1850</v>
      </c>
      <c r="E150" s="1198" t="s">
        <v>1851</v>
      </c>
      <c r="F150" s="1296"/>
      <c r="G150" s="1296"/>
      <c r="H150" s="1296"/>
      <c r="I150" s="1296"/>
      <c r="J150" s="1296"/>
      <c r="K150" s="1296"/>
      <c r="L150" s="1296"/>
      <c r="M150" s="1296"/>
      <c r="N150" s="1296"/>
      <c r="O150" s="1296"/>
      <c r="P150" s="138"/>
      <c r="Q150" s="1296"/>
      <c r="R150" s="1296"/>
      <c r="S150" s="1296"/>
      <c r="T150" s="1722"/>
      <c r="U150" s="1197" t="s">
        <v>1845</v>
      </c>
      <c r="V150" s="1197" t="s">
        <v>1850</v>
      </c>
      <c r="W150" s="1198" t="s">
        <v>1851</v>
      </c>
      <c r="X150" s="1296"/>
      <c r="Y150" s="1296"/>
      <c r="Z150" s="1296"/>
      <c r="AA150" s="1296"/>
      <c r="AB150" s="1296"/>
      <c r="AC150" s="1296"/>
      <c r="AD150" s="1296"/>
      <c r="AE150" s="1296"/>
      <c r="AF150" s="1296"/>
      <c r="AG150" s="1296"/>
      <c r="AH150" s="138"/>
      <c r="AI150" s="1296"/>
      <c r="AJ150" s="1296"/>
      <c r="AK150" s="1296"/>
      <c r="AL150" s="1296"/>
      <c r="AM150" s="1296"/>
      <c r="AN150" s="1296"/>
      <c r="AO150" s="1296"/>
      <c r="AP150" s="1296"/>
      <c r="AQ150" s="1296"/>
      <c r="AR150" s="1296"/>
      <c r="AS150" s="1296"/>
      <c r="AT150" s="1296"/>
      <c r="AU150" s="1296"/>
      <c r="AV150" s="1296"/>
      <c r="AW150" s="1296"/>
      <c r="AX150" s="1296"/>
      <c r="AY150" s="1296"/>
      <c r="AZ150" s="1296"/>
      <c r="BA150" s="1296"/>
      <c r="BB150" s="1296"/>
      <c r="BC150" s="1296"/>
      <c r="BD150" s="1296"/>
      <c r="BE150" s="1296"/>
      <c r="BF150" s="1296"/>
      <c r="BG150" s="1296"/>
      <c r="BH150" s="1296"/>
      <c r="BI150" s="1296"/>
      <c r="BJ150" s="1296"/>
      <c r="BK150" s="1296"/>
      <c r="BL150" s="1296"/>
      <c r="BM150" s="1296"/>
      <c r="BN150" s="1296"/>
      <c r="BO150" s="1296"/>
      <c r="BP150" s="1296"/>
      <c r="BQ150" s="1296"/>
      <c r="BR150" s="1296"/>
      <c r="BS150" s="1296"/>
      <c r="BT150" s="1296"/>
      <c r="BU150" s="1296"/>
      <c r="BV150" s="1296"/>
      <c r="BW150" s="1296"/>
      <c r="BX150" s="1296"/>
      <c r="BY150" s="1296"/>
      <c r="BZ150" s="1296"/>
      <c r="CA150" s="1296"/>
      <c r="CB150" s="1296"/>
      <c r="CC150" s="1296"/>
      <c r="CD150" s="1296"/>
      <c r="CE150" s="1296"/>
      <c r="CF150" s="1296"/>
      <c r="CG150" s="1296"/>
      <c r="CH150" s="1296"/>
      <c r="CI150" s="1296"/>
      <c r="CJ150" s="1296"/>
      <c r="CK150" s="1296"/>
    </row>
    <row r="151" spans="1:89" ht="15.75" customHeight="1" thickBot="1" x14ac:dyDescent="0.3">
      <c r="A151" s="1296"/>
      <c r="B151" s="1719" t="s">
        <v>1852</v>
      </c>
      <c r="C151" s="1258" t="s">
        <v>1853</v>
      </c>
      <c r="D151" s="1200" t="s">
        <v>1843</v>
      </c>
      <c r="E151" s="1200" t="s">
        <v>131</v>
      </c>
      <c r="F151" s="1200" t="s">
        <v>1844</v>
      </c>
      <c r="G151" s="1200" t="s">
        <v>1854</v>
      </c>
      <c r="H151" s="1201" t="s">
        <v>1855</v>
      </c>
      <c r="I151" s="1202" t="s">
        <v>767</v>
      </c>
      <c r="J151" s="1202" t="s">
        <v>768</v>
      </c>
      <c r="K151" s="1202" t="s">
        <v>769</v>
      </c>
      <c r="L151" s="1202" t="s">
        <v>770</v>
      </c>
      <c r="M151" s="1202" t="s">
        <v>204</v>
      </c>
      <c r="N151" s="1296"/>
      <c r="O151" s="1296"/>
      <c r="P151" s="138"/>
      <c r="Q151" s="1296"/>
      <c r="R151" s="1296"/>
      <c r="S151" s="1296"/>
      <c r="T151" s="1719" t="s">
        <v>1852</v>
      </c>
      <c r="U151" s="1258" t="s">
        <v>1853</v>
      </c>
      <c r="V151" s="1200" t="s">
        <v>1843</v>
      </c>
      <c r="W151" s="1200" t="s">
        <v>131</v>
      </c>
      <c r="X151" s="1200" t="s">
        <v>1844</v>
      </c>
      <c r="Y151" s="1200" t="s">
        <v>1854</v>
      </c>
      <c r="Z151" s="1201" t="s">
        <v>1855</v>
      </c>
      <c r="AA151" s="1202" t="s">
        <v>767</v>
      </c>
      <c r="AB151" s="1202" t="s">
        <v>768</v>
      </c>
      <c r="AC151" s="1202" t="s">
        <v>769</v>
      </c>
      <c r="AD151" s="1202" t="s">
        <v>770</v>
      </c>
      <c r="AE151" s="1202" t="s">
        <v>204</v>
      </c>
      <c r="AF151" s="1296"/>
      <c r="AG151" s="1296"/>
      <c r="AH151" s="138"/>
      <c r="AI151" s="1296"/>
      <c r="AJ151" s="1296"/>
      <c r="AK151" s="1296"/>
      <c r="AL151" s="1296"/>
      <c r="AM151" s="1296"/>
      <c r="AN151" s="1296"/>
      <c r="AO151" s="1296"/>
      <c r="AP151" s="1296"/>
      <c r="AQ151" s="1296"/>
      <c r="AR151" s="1296"/>
      <c r="AS151" s="1296"/>
      <c r="AT151" s="1296"/>
      <c r="AU151" s="1296"/>
      <c r="AV151" s="1296"/>
      <c r="AW151" s="1296"/>
      <c r="AX151" s="1296"/>
      <c r="AY151" s="1296"/>
      <c r="AZ151" s="1296"/>
      <c r="BA151" s="1296"/>
      <c r="BB151" s="1296"/>
      <c r="BC151" s="1296"/>
      <c r="BD151" s="1296"/>
      <c r="BE151" s="1296"/>
      <c r="BF151" s="1296"/>
      <c r="BG151" s="1296"/>
      <c r="BH151" s="1296"/>
      <c r="BI151" s="1296"/>
      <c r="BJ151" s="1296"/>
      <c r="BK151" s="1296"/>
      <c r="BL151" s="1296"/>
      <c r="BM151" s="1296"/>
      <c r="BN151" s="1296"/>
      <c r="BO151" s="1296"/>
      <c r="BP151" s="1296"/>
      <c r="BQ151" s="1296"/>
      <c r="BR151" s="1296"/>
      <c r="BS151" s="1296"/>
      <c r="BT151" s="1296"/>
      <c r="BU151" s="1296"/>
      <c r="BV151" s="1296"/>
      <c r="BW151" s="1296"/>
      <c r="BX151" s="1296"/>
      <c r="BY151" s="1296"/>
      <c r="BZ151" s="1296"/>
      <c r="CA151" s="1296"/>
      <c r="CB151" s="1296"/>
      <c r="CC151" s="1296"/>
      <c r="CD151" s="1296"/>
      <c r="CE151" s="1296"/>
      <c r="CF151" s="1296"/>
      <c r="CG151" s="1296"/>
      <c r="CH151" s="1296"/>
      <c r="CI151" s="1296"/>
      <c r="CJ151" s="1296"/>
      <c r="CK151" s="1296"/>
    </row>
    <row r="152" spans="1:89" x14ac:dyDescent="0.25">
      <c r="A152" s="1296"/>
      <c r="B152" s="1721"/>
      <c r="C152" s="1199">
        <v>1</v>
      </c>
      <c r="D152" s="1196" t="s">
        <v>1856</v>
      </c>
      <c r="E152" s="1196" t="s">
        <v>1444</v>
      </c>
      <c r="F152" s="1196" t="str">
        <f>'Required Info to Submit'!E23</f>
        <v/>
      </c>
      <c r="G152" s="1393" t="str">
        <f>IF(F152="","",'Required Info to Submit'!K23)</f>
        <v/>
      </c>
      <c r="H152" s="1394" t="str">
        <f>IF(F152="","",'Required Info to Submit'!L23)</f>
        <v/>
      </c>
      <c r="I152" s="1196" t="str">
        <f>'Required Info to Submit'!F23</f>
        <v/>
      </c>
      <c r="J152" s="1196" t="str">
        <f>'Required Info to Submit'!G23</f>
        <v/>
      </c>
      <c r="K152" s="1196" t="str">
        <f>'Required Info to Submit'!H23</f>
        <v/>
      </c>
      <c r="L152" s="1196" t="str">
        <f>'Required Info to Submit'!I23</f>
        <v/>
      </c>
      <c r="M152" s="1196" t="str">
        <f>'Required Info to Submit'!J23</f>
        <v/>
      </c>
      <c r="N152" s="1296"/>
      <c r="O152" s="1296"/>
      <c r="P152" s="138"/>
      <c r="Q152" s="1296"/>
      <c r="R152" s="1296"/>
      <c r="S152" s="1296"/>
      <c r="T152" s="1721"/>
      <c r="U152" s="1199">
        <v>1</v>
      </c>
      <c r="V152" s="1196" t="s">
        <v>1856</v>
      </c>
      <c r="W152" s="1196" t="s">
        <v>1444</v>
      </c>
      <c r="X152" s="1204" t="str">
        <f>'Required Info to Submit'!E23</f>
        <v/>
      </c>
      <c r="Y152" s="1400" t="str">
        <f>IF(X152="","",'Required Info to Submit'!K23)</f>
        <v/>
      </c>
      <c r="Z152" s="1401" t="str">
        <f>IF(X152="","",'Required Info to Submit'!L23)</f>
        <v/>
      </c>
      <c r="AA152" s="1204" t="str">
        <f>'Required Info to Submit'!F23</f>
        <v/>
      </c>
      <c r="AB152" s="1204" t="str">
        <f>'Required Info to Submit'!G23</f>
        <v/>
      </c>
      <c r="AC152" s="1204" t="str">
        <f>'Required Info to Submit'!H23</f>
        <v/>
      </c>
      <c r="AD152" s="1204" t="str">
        <f>'Required Info to Submit'!I23</f>
        <v/>
      </c>
      <c r="AE152" s="1204" t="str">
        <f>'Required Info to Submit'!J23</f>
        <v/>
      </c>
      <c r="AF152" s="1296"/>
      <c r="AG152" s="1296"/>
      <c r="AH152" s="138"/>
      <c r="AI152" s="1296"/>
      <c r="AJ152" s="1296"/>
      <c r="AK152" s="1296"/>
      <c r="AL152" s="1296"/>
      <c r="AM152" s="1296"/>
      <c r="AN152" s="1296"/>
      <c r="AO152" s="1296"/>
      <c r="AP152" s="1296"/>
      <c r="AQ152" s="1296"/>
      <c r="AR152" s="1296"/>
      <c r="AS152" s="1296"/>
      <c r="AT152" s="1296"/>
      <c r="AU152" s="1296"/>
      <c r="AV152" s="1296"/>
      <c r="AW152" s="1296"/>
      <c r="AX152" s="1296"/>
      <c r="AY152" s="1296"/>
      <c r="AZ152" s="1296"/>
      <c r="BA152" s="1296"/>
      <c r="BB152" s="1296"/>
      <c r="BC152" s="1296"/>
      <c r="BD152" s="1296"/>
      <c r="BE152" s="1296"/>
      <c r="BF152" s="1296"/>
      <c r="BG152" s="1296"/>
      <c r="BH152" s="1296"/>
      <c r="BI152" s="1296"/>
      <c r="BJ152" s="1296"/>
      <c r="BK152" s="1296"/>
      <c r="BL152" s="1296"/>
      <c r="BM152" s="1296"/>
      <c r="BN152" s="1296"/>
      <c r="BO152" s="1296"/>
      <c r="BP152" s="1296"/>
      <c r="BQ152" s="1296"/>
      <c r="BR152" s="1296"/>
      <c r="BS152" s="1296"/>
      <c r="BT152" s="1296"/>
      <c r="BU152" s="1296"/>
      <c r="BV152" s="1296"/>
      <c r="BW152" s="1296"/>
      <c r="BX152" s="1296"/>
      <c r="BY152" s="1296"/>
      <c r="BZ152" s="1296"/>
      <c r="CA152" s="1296"/>
      <c r="CB152" s="1296"/>
      <c r="CC152" s="1296"/>
      <c r="CD152" s="1296"/>
      <c r="CE152" s="1296"/>
      <c r="CF152" s="1296"/>
      <c r="CG152" s="1296"/>
      <c r="CH152" s="1296"/>
      <c r="CI152" s="1296"/>
      <c r="CJ152" s="1296"/>
      <c r="CK152" s="1296"/>
    </row>
    <row r="153" spans="1:89" x14ac:dyDescent="0.25">
      <c r="A153" s="1296"/>
      <c r="B153" s="1721"/>
      <c r="C153" s="1205">
        <v>2</v>
      </c>
      <c r="D153" s="1196" t="s">
        <v>1856</v>
      </c>
      <c r="E153" s="1196" t="s">
        <v>1444</v>
      </c>
      <c r="F153" s="1196" t="str">
        <f>'Required Info to Submit'!E24</f>
        <v/>
      </c>
      <c r="G153" s="1393" t="str">
        <f>IF(F153="","",'Required Info to Submit'!K24)</f>
        <v/>
      </c>
      <c r="H153" s="1394" t="str">
        <f>IF(F153="","",'Required Info to Submit'!L24)</f>
        <v/>
      </c>
      <c r="I153" s="1196" t="str">
        <f>'Required Info to Submit'!F24</f>
        <v/>
      </c>
      <c r="J153" s="1196" t="str">
        <f>'Required Info to Submit'!G24</f>
        <v/>
      </c>
      <c r="K153" s="1196" t="str">
        <f>'Required Info to Submit'!H24</f>
        <v/>
      </c>
      <c r="L153" s="1196" t="str">
        <f>'Required Info to Submit'!I24</f>
        <v/>
      </c>
      <c r="M153" s="1196" t="str">
        <f>'Required Info to Submit'!J24</f>
        <v/>
      </c>
      <c r="N153" s="1296"/>
      <c r="O153" s="1296"/>
      <c r="P153" s="138"/>
      <c r="Q153" s="1296"/>
      <c r="R153" s="1296"/>
      <c r="S153" s="1296"/>
      <c r="T153" s="1721"/>
      <c r="U153" s="1205">
        <v>2</v>
      </c>
      <c r="V153" s="1196" t="s">
        <v>1856</v>
      </c>
      <c r="W153" s="1196" t="s">
        <v>1444</v>
      </c>
      <c r="X153" s="1204" t="str">
        <f>'Required Info to Submit'!E24</f>
        <v/>
      </c>
      <c r="Y153" s="1400" t="str">
        <f>IF(X153="","",'Required Info to Submit'!K24)</f>
        <v/>
      </c>
      <c r="Z153" s="1401" t="str">
        <f>IF(X153="","",'Required Info to Submit'!L24)</f>
        <v/>
      </c>
      <c r="AA153" s="1204" t="str">
        <f>'Required Info to Submit'!F24</f>
        <v/>
      </c>
      <c r="AB153" s="1204" t="str">
        <f>'Required Info to Submit'!G24</f>
        <v/>
      </c>
      <c r="AC153" s="1204" t="str">
        <f>'Required Info to Submit'!H24</f>
        <v/>
      </c>
      <c r="AD153" s="1204" t="str">
        <f>'Required Info to Submit'!I24</f>
        <v/>
      </c>
      <c r="AE153" s="1204" t="str">
        <f>'Required Info to Submit'!J24</f>
        <v/>
      </c>
      <c r="AF153" s="1296"/>
      <c r="AG153" s="1296"/>
      <c r="AH153" s="138"/>
      <c r="AI153" s="1296"/>
      <c r="AJ153" s="1296"/>
      <c r="AK153" s="1296"/>
      <c r="AL153" s="1296"/>
      <c r="AM153" s="1296"/>
      <c r="AN153" s="1296"/>
      <c r="AO153" s="1296"/>
      <c r="AP153" s="1296"/>
      <c r="AQ153" s="1296"/>
      <c r="AR153" s="1296"/>
      <c r="AS153" s="1296"/>
      <c r="AT153" s="1296"/>
      <c r="AU153" s="1296"/>
      <c r="AV153" s="1296"/>
      <c r="AW153" s="1296"/>
      <c r="AX153" s="1296"/>
      <c r="AY153" s="1296"/>
      <c r="AZ153" s="1296"/>
      <c r="BA153" s="1296"/>
      <c r="BB153" s="1296"/>
      <c r="BC153" s="1296"/>
      <c r="BD153" s="1296"/>
      <c r="BE153" s="1296"/>
      <c r="BF153" s="1296"/>
      <c r="BG153" s="1296"/>
      <c r="BH153" s="1296"/>
      <c r="BI153" s="1296"/>
      <c r="BJ153" s="1296"/>
      <c r="BK153" s="1296"/>
      <c r="BL153" s="1296"/>
      <c r="BM153" s="1296"/>
      <c r="BN153" s="1296"/>
      <c r="BO153" s="1296"/>
      <c r="BP153" s="1296"/>
      <c r="BQ153" s="1296"/>
      <c r="BR153" s="1296"/>
      <c r="BS153" s="1296"/>
      <c r="BT153" s="1296"/>
      <c r="BU153" s="1296"/>
      <c r="BV153" s="1296"/>
      <c r="BW153" s="1296"/>
      <c r="BX153" s="1296"/>
      <c r="BY153" s="1296"/>
      <c r="BZ153" s="1296"/>
      <c r="CA153" s="1296"/>
      <c r="CB153" s="1296"/>
      <c r="CC153" s="1296"/>
      <c r="CD153" s="1296"/>
      <c r="CE153" s="1296"/>
      <c r="CF153" s="1296"/>
      <c r="CG153" s="1296"/>
      <c r="CH153" s="1296"/>
      <c r="CI153" s="1296"/>
      <c r="CJ153" s="1296"/>
      <c r="CK153" s="1296"/>
    </row>
    <row r="154" spans="1:89" x14ac:dyDescent="0.25">
      <c r="A154" s="1296"/>
      <c r="B154" s="1721"/>
      <c r="C154" s="1205">
        <v>3</v>
      </c>
      <c r="D154" s="1196" t="s">
        <v>1856</v>
      </c>
      <c r="E154" s="1196" t="s">
        <v>1444</v>
      </c>
      <c r="F154" s="1196" t="str">
        <f>'Required Info to Submit'!E25</f>
        <v/>
      </c>
      <c r="G154" s="1393" t="str">
        <f>IF(F154="","",'Required Info to Submit'!K25)</f>
        <v/>
      </c>
      <c r="H154" s="1394" t="str">
        <f>IF(F154="","",'Required Info to Submit'!L25)</f>
        <v/>
      </c>
      <c r="I154" s="1196" t="str">
        <f>'Required Info to Submit'!F25</f>
        <v/>
      </c>
      <c r="J154" s="1196" t="str">
        <f>'Required Info to Submit'!G25</f>
        <v/>
      </c>
      <c r="K154" s="1196" t="str">
        <f>'Required Info to Submit'!H25</f>
        <v/>
      </c>
      <c r="L154" s="1196" t="str">
        <f>'Required Info to Submit'!I25</f>
        <v/>
      </c>
      <c r="M154" s="1196" t="str">
        <f>'Required Info to Submit'!J25</f>
        <v/>
      </c>
      <c r="N154" s="1296"/>
      <c r="O154" s="1296"/>
      <c r="P154" s="138"/>
      <c r="Q154" s="1296"/>
      <c r="R154" s="1296"/>
      <c r="S154" s="1296"/>
      <c r="T154" s="1721"/>
      <c r="U154" s="1205">
        <v>3</v>
      </c>
      <c r="V154" s="1196" t="s">
        <v>1856</v>
      </c>
      <c r="W154" s="1196" t="s">
        <v>1444</v>
      </c>
      <c r="X154" s="1204" t="str">
        <f>'Required Info to Submit'!E25</f>
        <v/>
      </c>
      <c r="Y154" s="1400" t="str">
        <f>IF(X154="","",'Required Info to Submit'!K25)</f>
        <v/>
      </c>
      <c r="Z154" s="1401" t="str">
        <f>IF(X154="","",'Required Info to Submit'!L25)</f>
        <v/>
      </c>
      <c r="AA154" s="1204" t="str">
        <f>'Required Info to Submit'!F25</f>
        <v/>
      </c>
      <c r="AB154" s="1204" t="str">
        <f>'Required Info to Submit'!G25</f>
        <v/>
      </c>
      <c r="AC154" s="1204" t="str">
        <f>'Required Info to Submit'!H25</f>
        <v/>
      </c>
      <c r="AD154" s="1204" t="str">
        <f>'Required Info to Submit'!I25</f>
        <v/>
      </c>
      <c r="AE154" s="1204" t="str">
        <f>'Required Info to Submit'!J25</f>
        <v/>
      </c>
      <c r="AF154" s="1296"/>
      <c r="AG154" s="1296"/>
      <c r="AH154" s="138"/>
      <c r="AI154" s="1296"/>
      <c r="AJ154" s="1296"/>
      <c r="AK154" s="1296"/>
      <c r="AL154" s="1296"/>
      <c r="AM154" s="1296"/>
      <c r="AN154" s="1296"/>
      <c r="AO154" s="1296"/>
      <c r="AP154" s="1296"/>
      <c r="AQ154" s="1296"/>
      <c r="AR154" s="1296"/>
      <c r="AS154" s="1296"/>
      <c r="AT154" s="1296"/>
      <c r="AU154" s="1296"/>
      <c r="AV154" s="1296"/>
      <c r="AW154" s="1296"/>
      <c r="AX154" s="1296"/>
      <c r="AY154" s="1296"/>
      <c r="AZ154" s="1296"/>
      <c r="BA154" s="1296"/>
      <c r="BB154" s="1296"/>
      <c r="BC154" s="1296"/>
      <c r="BD154" s="1296"/>
      <c r="BE154" s="1296"/>
      <c r="BF154" s="1296"/>
      <c r="BG154" s="1296"/>
      <c r="BH154" s="1296"/>
      <c r="BI154" s="1296"/>
      <c r="BJ154" s="1296"/>
      <c r="BK154" s="1296"/>
      <c r="BL154" s="1296"/>
      <c r="BM154" s="1296"/>
      <c r="BN154" s="1296"/>
      <c r="BO154" s="1296"/>
      <c r="BP154" s="1296"/>
      <c r="BQ154" s="1296"/>
      <c r="BR154" s="1296"/>
      <c r="BS154" s="1296"/>
      <c r="BT154" s="1296"/>
      <c r="BU154" s="1296"/>
      <c r="BV154" s="1296"/>
      <c r="BW154" s="1296"/>
      <c r="BX154" s="1296"/>
      <c r="BY154" s="1296"/>
      <c r="BZ154" s="1296"/>
      <c r="CA154" s="1296"/>
      <c r="CB154" s="1296"/>
      <c r="CC154" s="1296"/>
      <c r="CD154" s="1296"/>
      <c r="CE154" s="1296"/>
      <c r="CF154" s="1296"/>
      <c r="CG154" s="1296"/>
      <c r="CH154" s="1296"/>
      <c r="CI154" s="1296"/>
      <c r="CJ154" s="1296"/>
      <c r="CK154" s="1296"/>
    </row>
    <row r="155" spans="1:89" x14ac:dyDescent="0.25">
      <c r="A155" s="1296"/>
      <c r="B155" s="1721"/>
      <c r="C155" s="1205">
        <v>4</v>
      </c>
      <c r="D155" s="1196" t="s">
        <v>1856</v>
      </c>
      <c r="E155" s="1196" t="s">
        <v>1444</v>
      </c>
      <c r="F155" s="1196" t="str">
        <f>'Required Info to Submit'!E26</f>
        <v/>
      </c>
      <c r="G155" s="1393" t="str">
        <f>IF(F155="","",'Required Info to Submit'!K26)</f>
        <v/>
      </c>
      <c r="H155" s="1394" t="str">
        <f>IF(F155="","",'Required Info to Submit'!L26)</f>
        <v/>
      </c>
      <c r="I155" s="1196" t="str">
        <f>'Required Info to Submit'!F26</f>
        <v/>
      </c>
      <c r="J155" s="1196" t="str">
        <f>'Required Info to Submit'!G26</f>
        <v/>
      </c>
      <c r="K155" s="1196" t="str">
        <f>'Required Info to Submit'!H26</f>
        <v/>
      </c>
      <c r="L155" s="1196" t="str">
        <f>'Required Info to Submit'!I26</f>
        <v/>
      </c>
      <c r="M155" s="1196" t="str">
        <f>'Required Info to Submit'!J26</f>
        <v/>
      </c>
      <c r="N155" s="1296"/>
      <c r="O155" s="1296"/>
      <c r="P155" s="138"/>
      <c r="Q155" s="1296"/>
      <c r="R155" s="1296"/>
      <c r="S155" s="1296"/>
      <c r="T155" s="1721"/>
      <c r="U155" s="1205">
        <v>4</v>
      </c>
      <c r="V155" s="1196" t="s">
        <v>1856</v>
      </c>
      <c r="W155" s="1196" t="s">
        <v>1444</v>
      </c>
      <c r="X155" s="1204" t="str">
        <f>'Required Info to Submit'!E26</f>
        <v/>
      </c>
      <c r="Y155" s="1400" t="str">
        <f>IF(X155="","",'Required Info to Submit'!K26)</f>
        <v/>
      </c>
      <c r="Z155" s="1401" t="str">
        <f>IF(X155="","",'Required Info to Submit'!L26)</f>
        <v/>
      </c>
      <c r="AA155" s="1204" t="str">
        <f>'Required Info to Submit'!F26</f>
        <v/>
      </c>
      <c r="AB155" s="1204" t="str">
        <f>'Required Info to Submit'!G26</f>
        <v/>
      </c>
      <c r="AC155" s="1204" t="str">
        <f>'Required Info to Submit'!H26</f>
        <v/>
      </c>
      <c r="AD155" s="1204" t="str">
        <f>'Required Info to Submit'!I26</f>
        <v/>
      </c>
      <c r="AE155" s="1204" t="str">
        <f>'Required Info to Submit'!J26</f>
        <v/>
      </c>
      <c r="AF155" s="1296"/>
      <c r="AG155" s="1296"/>
      <c r="AH155" s="138"/>
      <c r="AI155" s="1296"/>
      <c r="AJ155" s="1296"/>
      <c r="AK155" s="1296"/>
      <c r="AL155" s="1296"/>
      <c r="AM155" s="1296"/>
      <c r="AN155" s="1296"/>
      <c r="AO155" s="1296"/>
      <c r="AP155" s="1296"/>
      <c r="AQ155" s="1296"/>
      <c r="AR155" s="1296"/>
      <c r="AS155" s="1296"/>
      <c r="AT155" s="1296"/>
      <c r="AU155" s="1296"/>
      <c r="AV155" s="1296"/>
      <c r="AW155" s="1296"/>
      <c r="AX155" s="1296"/>
      <c r="AY155" s="1296"/>
      <c r="AZ155" s="1296"/>
      <c r="BA155" s="1296"/>
      <c r="BB155" s="1296"/>
      <c r="BC155" s="1296"/>
      <c r="BD155" s="1296"/>
      <c r="BE155" s="1296"/>
      <c r="BF155" s="1296"/>
      <c r="BG155" s="1296"/>
      <c r="BH155" s="1296"/>
      <c r="BI155" s="1296"/>
      <c r="BJ155" s="1296"/>
      <c r="BK155" s="1296"/>
      <c r="BL155" s="1296"/>
      <c r="BM155" s="1296"/>
      <c r="BN155" s="1296"/>
      <c r="BO155" s="1296"/>
      <c r="BP155" s="1296"/>
      <c r="BQ155" s="1296"/>
      <c r="BR155" s="1296"/>
      <c r="BS155" s="1296"/>
      <c r="BT155" s="1296"/>
      <c r="BU155" s="1296"/>
      <c r="BV155" s="1296"/>
      <c r="BW155" s="1296"/>
      <c r="BX155" s="1296"/>
      <c r="BY155" s="1296"/>
      <c r="BZ155" s="1296"/>
      <c r="CA155" s="1296"/>
      <c r="CB155" s="1296"/>
      <c r="CC155" s="1296"/>
      <c r="CD155" s="1296"/>
      <c r="CE155" s="1296"/>
      <c r="CF155" s="1296"/>
      <c r="CG155" s="1296"/>
      <c r="CH155" s="1296"/>
      <c r="CI155" s="1296"/>
      <c r="CJ155" s="1296"/>
      <c r="CK155" s="1296"/>
    </row>
    <row r="156" spans="1:89" x14ac:dyDescent="0.25">
      <c r="A156" s="1296"/>
      <c r="B156" s="1721"/>
      <c r="C156" s="1205">
        <v>5</v>
      </c>
      <c r="D156" s="1196" t="s">
        <v>1856</v>
      </c>
      <c r="E156" s="1196" t="s">
        <v>1444</v>
      </c>
      <c r="F156" s="1196" t="str">
        <f>'Required Info to Submit'!E27</f>
        <v/>
      </c>
      <c r="G156" s="1393" t="str">
        <f>IF(F156="","",'Required Info to Submit'!K27)</f>
        <v/>
      </c>
      <c r="H156" s="1394" t="str">
        <f>IF(F156="","",'Required Info to Submit'!L27)</f>
        <v/>
      </c>
      <c r="I156" s="1196" t="str">
        <f>'Required Info to Submit'!F27</f>
        <v/>
      </c>
      <c r="J156" s="1196" t="str">
        <f>'Required Info to Submit'!G27</f>
        <v/>
      </c>
      <c r="K156" s="1196" t="str">
        <f>'Required Info to Submit'!H27</f>
        <v/>
      </c>
      <c r="L156" s="1196" t="str">
        <f>'Required Info to Submit'!I27</f>
        <v/>
      </c>
      <c r="M156" s="1196" t="str">
        <f>'Required Info to Submit'!J27</f>
        <v/>
      </c>
      <c r="N156" s="1296"/>
      <c r="O156" s="1296"/>
      <c r="P156" s="138"/>
      <c r="Q156" s="1296"/>
      <c r="R156" s="1296"/>
      <c r="S156" s="1296"/>
      <c r="T156" s="1721"/>
      <c r="U156" s="1205">
        <v>5</v>
      </c>
      <c r="V156" s="1196" t="s">
        <v>1856</v>
      </c>
      <c r="W156" s="1196" t="s">
        <v>1444</v>
      </c>
      <c r="X156" s="1204" t="str">
        <f>'Required Info to Submit'!E27</f>
        <v/>
      </c>
      <c r="Y156" s="1400" t="str">
        <f>IF(X156="","",'Required Info to Submit'!K27)</f>
        <v/>
      </c>
      <c r="Z156" s="1401" t="str">
        <f>IF(X156="","",'Required Info to Submit'!L27)</f>
        <v/>
      </c>
      <c r="AA156" s="1204" t="str">
        <f>'Required Info to Submit'!F27</f>
        <v/>
      </c>
      <c r="AB156" s="1204" t="str">
        <f>'Required Info to Submit'!G27</f>
        <v/>
      </c>
      <c r="AC156" s="1204" t="str">
        <f>'Required Info to Submit'!H27</f>
        <v/>
      </c>
      <c r="AD156" s="1204" t="str">
        <f>'Required Info to Submit'!I27</f>
        <v/>
      </c>
      <c r="AE156" s="1204" t="str">
        <f>'Required Info to Submit'!J27</f>
        <v/>
      </c>
      <c r="AF156" s="1296"/>
      <c r="AG156" s="1296"/>
      <c r="AH156" s="138"/>
      <c r="AI156" s="1296"/>
      <c r="AJ156" s="1296"/>
      <c r="AK156" s="1296"/>
      <c r="AL156" s="1296"/>
      <c r="AM156" s="1296"/>
      <c r="AN156" s="1296"/>
      <c r="AO156" s="1296"/>
      <c r="AP156" s="1296"/>
      <c r="AQ156" s="1296"/>
      <c r="AR156" s="1296"/>
      <c r="AS156" s="1296"/>
      <c r="AT156" s="1296"/>
      <c r="AU156" s="1296"/>
      <c r="AV156" s="1296"/>
      <c r="AW156" s="1296"/>
      <c r="AX156" s="1296"/>
      <c r="AY156" s="1296"/>
      <c r="AZ156" s="1296"/>
      <c r="BA156" s="1296"/>
      <c r="BB156" s="1296"/>
      <c r="BC156" s="1296"/>
      <c r="BD156" s="1296"/>
      <c r="BE156" s="1296"/>
      <c r="BF156" s="1296"/>
      <c r="BG156" s="1296"/>
      <c r="BH156" s="1296"/>
      <c r="BI156" s="1296"/>
      <c r="BJ156" s="1296"/>
      <c r="BK156" s="1296"/>
      <c r="BL156" s="1296"/>
      <c r="BM156" s="1296"/>
      <c r="BN156" s="1296"/>
      <c r="BO156" s="1296"/>
      <c r="BP156" s="1296"/>
      <c r="BQ156" s="1296"/>
      <c r="BR156" s="1296"/>
      <c r="BS156" s="1296"/>
      <c r="BT156" s="1296"/>
      <c r="BU156" s="1296"/>
      <c r="BV156" s="1296"/>
      <c r="BW156" s="1296"/>
      <c r="BX156" s="1296"/>
      <c r="BY156" s="1296"/>
      <c r="BZ156" s="1296"/>
      <c r="CA156" s="1296"/>
      <c r="CB156" s="1296"/>
      <c r="CC156" s="1296"/>
      <c r="CD156" s="1296"/>
      <c r="CE156" s="1296"/>
      <c r="CF156" s="1296"/>
      <c r="CG156" s="1296"/>
      <c r="CH156" s="1296"/>
      <c r="CI156" s="1296"/>
      <c r="CJ156" s="1296"/>
      <c r="CK156" s="1296"/>
    </row>
    <row r="157" spans="1:89" x14ac:dyDescent="0.25">
      <c r="A157" s="1296"/>
      <c r="B157" s="1721"/>
      <c r="C157" s="1205">
        <v>6</v>
      </c>
      <c r="D157" s="1196" t="s">
        <v>1856</v>
      </c>
      <c r="E157" s="1196" t="s">
        <v>1444</v>
      </c>
      <c r="F157" s="1196" t="str">
        <f>'Required Info to Submit'!E28</f>
        <v/>
      </c>
      <c r="G157" s="1393" t="str">
        <f>IF(F157="","",'Required Info to Submit'!K28)</f>
        <v/>
      </c>
      <c r="H157" s="1394" t="str">
        <f>IF(F157="","",'Required Info to Submit'!L28)</f>
        <v/>
      </c>
      <c r="I157" s="1196" t="str">
        <f>'Required Info to Submit'!F28</f>
        <v/>
      </c>
      <c r="J157" s="1196" t="str">
        <f>'Required Info to Submit'!G28</f>
        <v/>
      </c>
      <c r="K157" s="1196" t="str">
        <f>'Required Info to Submit'!H28</f>
        <v/>
      </c>
      <c r="L157" s="1196" t="str">
        <f>'Required Info to Submit'!I28</f>
        <v/>
      </c>
      <c r="M157" s="1196" t="str">
        <f>'Required Info to Submit'!J28</f>
        <v/>
      </c>
      <c r="N157" s="1296"/>
      <c r="O157" s="1296"/>
      <c r="P157" s="138"/>
      <c r="Q157" s="1296"/>
      <c r="R157" s="1296"/>
      <c r="S157" s="1296"/>
      <c r="T157" s="1721"/>
      <c r="U157" s="1205">
        <v>6</v>
      </c>
      <c r="V157" s="1196" t="s">
        <v>1856</v>
      </c>
      <c r="W157" s="1196" t="s">
        <v>1444</v>
      </c>
      <c r="X157" s="1204" t="str">
        <f>'Required Info to Submit'!E28</f>
        <v/>
      </c>
      <c r="Y157" s="1400" t="str">
        <f>IF(X157="","",'Required Info to Submit'!K28)</f>
        <v/>
      </c>
      <c r="Z157" s="1401" t="str">
        <f>IF(X157="","",'Required Info to Submit'!L28)</f>
        <v/>
      </c>
      <c r="AA157" s="1204" t="str">
        <f>'Required Info to Submit'!F28</f>
        <v/>
      </c>
      <c r="AB157" s="1204" t="str">
        <f>'Required Info to Submit'!G28</f>
        <v/>
      </c>
      <c r="AC157" s="1204" t="str">
        <f>'Required Info to Submit'!H28</f>
        <v/>
      </c>
      <c r="AD157" s="1204" t="str">
        <f>'Required Info to Submit'!I28</f>
        <v/>
      </c>
      <c r="AE157" s="1204" t="str">
        <f>'Required Info to Submit'!J28</f>
        <v/>
      </c>
      <c r="AF157" s="1296"/>
      <c r="AG157" s="1296"/>
      <c r="AH157" s="138"/>
      <c r="AI157" s="1296"/>
      <c r="AJ157" s="1296"/>
      <c r="AK157" s="1296"/>
      <c r="AL157" s="1296"/>
      <c r="AM157" s="1296"/>
      <c r="AN157" s="1296"/>
      <c r="AO157" s="1296"/>
      <c r="AP157" s="1296"/>
      <c r="AQ157" s="1296"/>
      <c r="AR157" s="1296"/>
      <c r="AS157" s="1296"/>
      <c r="AT157" s="1296"/>
      <c r="AU157" s="1296"/>
      <c r="AV157" s="1296"/>
      <c r="AW157" s="1296"/>
      <c r="AX157" s="1296"/>
      <c r="AY157" s="1296"/>
      <c r="AZ157" s="1296"/>
      <c r="BA157" s="1296"/>
      <c r="BB157" s="1296"/>
      <c r="BC157" s="1296"/>
      <c r="BD157" s="1296"/>
      <c r="BE157" s="1296"/>
      <c r="BF157" s="1296"/>
      <c r="BG157" s="1296"/>
      <c r="BH157" s="1296"/>
      <c r="BI157" s="1296"/>
      <c r="BJ157" s="1296"/>
      <c r="BK157" s="1296"/>
      <c r="BL157" s="1296"/>
      <c r="BM157" s="1296"/>
      <c r="BN157" s="1296"/>
      <c r="BO157" s="1296"/>
      <c r="BP157" s="1296"/>
      <c r="BQ157" s="1296"/>
      <c r="BR157" s="1296"/>
      <c r="BS157" s="1296"/>
      <c r="BT157" s="1296"/>
      <c r="BU157" s="1296"/>
      <c r="BV157" s="1296"/>
      <c r="BW157" s="1296"/>
      <c r="BX157" s="1296"/>
      <c r="BY157" s="1296"/>
      <c r="BZ157" s="1296"/>
      <c r="CA157" s="1296"/>
      <c r="CB157" s="1296"/>
      <c r="CC157" s="1296"/>
      <c r="CD157" s="1296"/>
      <c r="CE157" s="1296"/>
      <c r="CF157" s="1296"/>
      <c r="CG157" s="1296"/>
      <c r="CH157" s="1296"/>
      <c r="CI157" s="1296"/>
      <c r="CJ157" s="1296"/>
      <c r="CK157" s="1296"/>
    </row>
    <row r="158" spans="1:89" x14ac:dyDescent="0.25">
      <c r="A158" s="1296"/>
      <c r="B158" s="1721"/>
      <c r="C158" s="1205">
        <v>7</v>
      </c>
      <c r="D158" s="1196" t="s">
        <v>1856</v>
      </c>
      <c r="E158" s="1196" t="s">
        <v>1444</v>
      </c>
      <c r="F158" s="1196" t="str">
        <f>'Required Info to Submit'!E29</f>
        <v/>
      </c>
      <c r="G158" s="1393" t="str">
        <f>IF(F158="","",'Required Info to Submit'!K29)</f>
        <v/>
      </c>
      <c r="H158" s="1394" t="str">
        <f>IF(F158="","",'Required Info to Submit'!L29)</f>
        <v/>
      </c>
      <c r="I158" s="1196" t="str">
        <f>'Required Info to Submit'!F29</f>
        <v/>
      </c>
      <c r="J158" s="1196" t="str">
        <f>'Required Info to Submit'!G29</f>
        <v/>
      </c>
      <c r="K158" s="1196" t="str">
        <f>'Required Info to Submit'!H29</f>
        <v/>
      </c>
      <c r="L158" s="1196" t="str">
        <f>'Required Info to Submit'!I29</f>
        <v/>
      </c>
      <c r="M158" s="1196" t="str">
        <f>'Required Info to Submit'!J29</f>
        <v/>
      </c>
      <c r="N158" s="1296"/>
      <c r="O158" s="1296"/>
      <c r="P158" s="138"/>
      <c r="Q158" s="1296"/>
      <c r="R158" s="1296"/>
      <c r="S158" s="1296"/>
      <c r="T158" s="1721"/>
      <c r="U158" s="1205">
        <v>7</v>
      </c>
      <c r="V158" s="1196" t="s">
        <v>1856</v>
      </c>
      <c r="W158" s="1196" t="s">
        <v>1444</v>
      </c>
      <c r="X158" s="1204" t="str">
        <f>'Required Info to Submit'!E29</f>
        <v/>
      </c>
      <c r="Y158" s="1400" t="str">
        <f>IF(X158="","",'Required Info to Submit'!K29)</f>
        <v/>
      </c>
      <c r="Z158" s="1401" t="str">
        <f>IF(X158="","",'Required Info to Submit'!L29)</f>
        <v/>
      </c>
      <c r="AA158" s="1204" t="str">
        <f>'Required Info to Submit'!F29</f>
        <v/>
      </c>
      <c r="AB158" s="1204" t="str">
        <f>'Required Info to Submit'!G29</f>
        <v/>
      </c>
      <c r="AC158" s="1204" t="str">
        <f>'Required Info to Submit'!H29</f>
        <v/>
      </c>
      <c r="AD158" s="1204" t="str">
        <f>'Required Info to Submit'!I29</f>
        <v/>
      </c>
      <c r="AE158" s="1204" t="str">
        <f>'Required Info to Submit'!J29</f>
        <v/>
      </c>
      <c r="AF158" s="1296"/>
      <c r="AG158" s="1296"/>
      <c r="AH158" s="138"/>
      <c r="AI158" s="1296"/>
      <c r="AJ158" s="1296"/>
      <c r="AK158" s="1296"/>
      <c r="AL158" s="1296"/>
      <c r="AM158" s="1296"/>
      <c r="AN158" s="1296"/>
      <c r="AO158" s="1296"/>
      <c r="AP158" s="1296"/>
      <c r="AQ158" s="1296"/>
      <c r="AR158" s="1296"/>
      <c r="AS158" s="1296"/>
      <c r="AT158" s="1296"/>
      <c r="AU158" s="1296"/>
      <c r="AV158" s="1296"/>
      <c r="AW158" s="1296"/>
      <c r="AX158" s="1296"/>
      <c r="AY158" s="1296"/>
      <c r="AZ158" s="1296"/>
      <c r="BA158" s="1296"/>
      <c r="BB158" s="1296"/>
      <c r="BC158" s="1296"/>
      <c r="BD158" s="1296"/>
      <c r="BE158" s="1296"/>
      <c r="BF158" s="1296"/>
      <c r="BG158" s="1296"/>
      <c r="BH158" s="1296"/>
      <c r="BI158" s="1296"/>
      <c r="BJ158" s="1296"/>
      <c r="BK158" s="1296"/>
      <c r="BL158" s="1296"/>
      <c r="BM158" s="1296"/>
      <c r="BN158" s="1296"/>
      <c r="BO158" s="1296"/>
      <c r="BP158" s="1296"/>
      <c r="BQ158" s="1296"/>
      <c r="BR158" s="1296"/>
      <c r="BS158" s="1296"/>
      <c r="BT158" s="1296"/>
      <c r="BU158" s="1296"/>
      <c r="BV158" s="1296"/>
      <c r="BW158" s="1296"/>
      <c r="BX158" s="1296"/>
      <c r="BY158" s="1296"/>
      <c r="BZ158" s="1296"/>
      <c r="CA158" s="1296"/>
      <c r="CB158" s="1296"/>
      <c r="CC158" s="1296"/>
      <c r="CD158" s="1296"/>
      <c r="CE158" s="1296"/>
      <c r="CF158" s="1296"/>
      <c r="CG158" s="1296"/>
      <c r="CH158" s="1296"/>
      <c r="CI158" s="1296"/>
      <c r="CJ158" s="1296"/>
      <c r="CK158" s="1296"/>
    </row>
    <row r="159" spans="1:89" x14ac:dyDescent="0.25">
      <c r="A159" s="1296"/>
      <c r="B159" s="1721"/>
      <c r="C159" s="1205">
        <v>8</v>
      </c>
      <c r="D159" s="1196" t="s">
        <v>1856</v>
      </c>
      <c r="E159" s="1196" t="s">
        <v>1444</v>
      </c>
      <c r="F159" s="1196" t="str">
        <f>'Required Info to Submit'!E30</f>
        <v/>
      </c>
      <c r="G159" s="1393" t="str">
        <f>IF(F159="","",'Required Info to Submit'!K30)</f>
        <v/>
      </c>
      <c r="H159" s="1394" t="str">
        <f>IF(F159="","",'Required Info to Submit'!L30)</f>
        <v/>
      </c>
      <c r="I159" s="1196" t="str">
        <f>'Required Info to Submit'!F30</f>
        <v/>
      </c>
      <c r="J159" s="1196" t="str">
        <f>'Required Info to Submit'!G30</f>
        <v/>
      </c>
      <c r="K159" s="1196" t="str">
        <f>'Required Info to Submit'!H30</f>
        <v/>
      </c>
      <c r="L159" s="1196" t="str">
        <f>'Required Info to Submit'!I30</f>
        <v/>
      </c>
      <c r="M159" s="1196" t="str">
        <f>'Required Info to Submit'!J30</f>
        <v/>
      </c>
      <c r="N159" s="1296"/>
      <c r="O159" s="1296"/>
      <c r="P159" s="138"/>
      <c r="Q159" s="1296"/>
      <c r="R159" s="1296"/>
      <c r="S159" s="1296"/>
      <c r="T159" s="1721"/>
      <c r="U159" s="1205">
        <v>8</v>
      </c>
      <c r="V159" s="1196" t="s">
        <v>1856</v>
      </c>
      <c r="W159" s="1196" t="s">
        <v>1444</v>
      </c>
      <c r="X159" s="1204" t="str">
        <f>'Required Info to Submit'!E30</f>
        <v/>
      </c>
      <c r="Y159" s="1400" t="str">
        <f>IF(X159="","",'Required Info to Submit'!K30)</f>
        <v/>
      </c>
      <c r="Z159" s="1401" t="str">
        <f>IF(X159="","",'Required Info to Submit'!L30)</f>
        <v/>
      </c>
      <c r="AA159" s="1204" t="str">
        <f>'Required Info to Submit'!F30</f>
        <v/>
      </c>
      <c r="AB159" s="1204" t="str">
        <f>'Required Info to Submit'!G30</f>
        <v/>
      </c>
      <c r="AC159" s="1204" t="str">
        <f>'Required Info to Submit'!H30</f>
        <v/>
      </c>
      <c r="AD159" s="1204" t="str">
        <f>'Required Info to Submit'!I30</f>
        <v/>
      </c>
      <c r="AE159" s="1204" t="str">
        <f>'Required Info to Submit'!J30</f>
        <v/>
      </c>
      <c r="AF159" s="1296"/>
      <c r="AG159" s="1296"/>
      <c r="AH159" s="138"/>
      <c r="AI159" s="1296"/>
      <c r="AJ159" s="1296"/>
      <c r="AK159" s="1296"/>
      <c r="AL159" s="1296"/>
      <c r="AM159" s="1296"/>
      <c r="AN159" s="1296"/>
      <c r="AO159" s="1296"/>
      <c r="AP159" s="1296"/>
      <c r="AQ159" s="1296"/>
      <c r="AR159" s="1296"/>
      <c r="AS159" s="1296"/>
      <c r="AT159" s="1296"/>
      <c r="AU159" s="1296"/>
      <c r="AV159" s="1296"/>
      <c r="AW159" s="1296"/>
      <c r="AX159" s="1296"/>
      <c r="AY159" s="1296"/>
      <c r="AZ159" s="1296"/>
      <c r="BA159" s="1296"/>
      <c r="BB159" s="1296"/>
      <c r="BC159" s="1296"/>
      <c r="BD159" s="1296"/>
      <c r="BE159" s="1296"/>
      <c r="BF159" s="1296"/>
      <c r="BG159" s="1296"/>
      <c r="BH159" s="1296"/>
      <c r="BI159" s="1296"/>
      <c r="BJ159" s="1296"/>
      <c r="BK159" s="1296"/>
      <c r="BL159" s="1296"/>
      <c r="BM159" s="1296"/>
      <c r="BN159" s="1296"/>
      <c r="BO159" s="1296"/>
      <c r="BP159" s="1296"/>
      <c r="BQ159" s="1296"/>
      <c r="BR159" s="1296"/>
      <c r="BS159" s="1296"/>
      <c r="BT159" s="1296"/>
      <c r="BU159" s="1296"/>
      <c r="BV159" s="1296"/>
      <c r="BW159" s="1296"/>
      <c r="BX159" s="1296"/>
      <c r="BY159" s="1296"/>
      <c r="BZ159" s="1296"/>
      <c r="CA159" s="1296"/>
      <c r="CB159" s="1296"/>
      <c r="CC159" s="1296"/>
      <c r="CD159" s="1296"/>
      <c r="CE159" s="1296"/>
      <c r="CF159" s="1296"/>
      <c r="CG159" s="1296"/>
      <c r="CH159" s="1296"/>
      <c r="CI159" s="1296"/>
      <c r="CJ159" s="1296"/>
      <c r="CK159" s="1296"/>
    </row>
    <row r="160" spans="1:89" x14ac:dyDescent="0.25">
      <c r="A160" s="1296"/>
      <c r="B160" s="1721"/>
      <c r="C160" s="1205">
        <v>9</v>
      </c>
      <c r="D160" s="1196" t="s">
        <v>1856</v>
      </c>
      <c r="E160" s="1196" t="s">
        <v>1444</v>
      </c>
      <c r="F160" s="1196" t="str">
        <f>'Required Info to Submit'!E31</f>
        <v/>
      </c>
      <c r="G160" s="1393" t="str">
        <f>IF(F160="","",'Required Info to Submit'!K31)</f>
        <v/>
      </c>
      <c r="H160" s="1394" t="str">
        <f>IF(F160="","",'Required Info to Submit'!L31)</f>
        <v/>
      </c>
      <c r="I160" s="1196" t="str">
        <f>'Required Info to Submit'!F31</f>
        <v/>
      </c>
      <c r="J160" s="1196" t="str">
        <f>'Required Info to Submit'!G31</f>
        <v/>
      </c>
      <c r="K160" s="1196" t="str">
        <f>'Required Info to Submit'!H31</f>
        <v/>
      </c>
      <c r="L160" s="1196" t="str">
        <f>'Required Info to Submit'!I31</f>
        <v/>
      </c>
      <c r="M160" s="1196" t="str">
        <f>'Required Info to Submit'!J31</f>
        <v/>
      </c>
      <c r="N160" s="1296"/>
      <c r="O160" s="1296"/>
      <c r="P160" s="138"/>
      <c r="Q160" s="1296"/>
      <c r="R160" s="1296"/>
      <c r="S160" s="1296"/>
      <c r="T160" s="1721"/>
      <c r="U160" s="1205">
        <v>9</v>
      </c>
      <c r="V160" s="1196" t="s">
        <v>1856</v>
      </c>
      <c r="W160" s="1196" t="s">
        <v>1444</v>
      </c>
      <c r="X160" s="1204" t="str">
        <f>'Required Info to Submit'!E31</f>
        <v/>
      </c>
      <c r="Y160" s="1400" t="str">
        <f>IF(X160="","",'Required Info to Submit'!K31)</f>
        <v/>
      </c>
      <c r="Z160" s="1401" t="str">
        <f>IF(X160="","",'Required Info to Submit'!L31)</f>
        <v/>
      </c>
      <c r="AA160" s="1204" t="str">
        <f>'Required Info to Submit'!F31</f>
        <v/>
      </c>
      <c r="AB160" s="1204" t="str">
        <f>'Required Info to Submit'!G31</f>
        <v/>
      </c>
      <c r="AC160" s="1204" t="str">
        <f>'Required Info to Submit'!H31</f>
        <v/>
      </c>
      <c r="AD160" s="1204" t="str">
        <f>'Required Info to Submit'!I31</f>
        <v/>
      </c>
      <c r="AE160" s="1204" t="str">
        <f>'Required Info to Submit'!J31</f>
        <v/>
      </c>
      <c r="AF160" s="1296"/>
      <c r="AG160" s="1296"/>
      <c r="AH160" s="138"/>
      <c r="AI160" s="1296"/>
      <c r="AJ160" s="1296"/>
      <c r="AK160" s="1296"/>
      <c r="AL160" s="1296"/>
      <c r="AM160" s="1296"/>
      <c r="AN160" s="1296"/>
      <c r="AO160" s="1296"/>
      <c r="AP160" s="1296"/>
      <c r="AQ160" s="1296"/>
      <c r="AR160" s="1296"/>
      <c r="AS160" s="1296"/>
      <c r="AT160" s="1296"/>
      <c r="AU160" s="1296"/>
      <c r="AV160" s="1296"/>
      <c r="AW160" s="1296"/>
      <c r="AX160" s="1296"/>
      <c r="AY160" s="1296"/>
      <c r="AZ160" s="1296"/>
      <c r="BA160" s="1296"/>
      <c r="BB160" s="1296"/>
      <c r="BC160" s="1296"/>
      <c r="BD160" s="1296"/>
      <c r="BE160" s="1296"/>
      <c r="BF160" s="1296"/>
      <c r="BG160" s="1296"/>
      <c r="BH160" s="1296"/>
      <c r="BI160" s="1296"/>
      <c r="BJ160" s="1296"/>
      <c r="BK160" s="1296"/>
      <c r="BL160" s="1296"/>
      <c r="BM160" s="1296"/>
      <c r="BN160" s="1296"/>
      <c r="BO160" s="1296"/>
      <c r="BP160" s="1296"/>
      <c r="BQ160" s="1296"/>
      <c r="BR160" s="1296"/>
      <c r="BS160" s="1296"/>
      <c r="BT160" s="1296"/>
      <c r="BU160" s="1296"/>
      <c r="BV160" s="1296"/>
      <c r="BW160" s="1296"/>
      <c r="BX160" s="1296"/>
      <c r="BY160" s="1296"/>
      <c r="BZ160" s="1296"/>
      <c r="CA160" s="1296"/>
      <c r="CB160" s="1296"/>
      <c r="CC160" s="1296"/>
      <c r="CD160" s="1296"/>
      <c r="CE160" s="1296"/>
      <c r="CF160" s="1296"/>
      <c r="CG160" s="1296"/>
      <c r="CH160" s="1296"/>
      <c r="CI160" s="1296"/>
      <c r="CJ160" s="1296"/>
      <c r="CK160" s="1296"/>
    </row>
    <row r="161" spans="1:89" ht="15.75" thickBot="1" x14ac:dyDescent="0.3">
      <c r="A161" s="1296"/>
      <c r="B161" s="1722"/>
      <c r="C161" s="1207">
        <v>10</v>
      </c>
      <c r="D161" s="1198" t="s">
        <v>1856</v>
      </c>
      <c r="E161" s="1198" t="s">
        <v>1444</v>
      </c>
      <c r="F161" s="1198" t="str">
        <f>'Required Info to Submit'!E32</f>
        <v/>
      </c>
      <c r="G161" s="1395" t="str">
        <f>IF(F161="","",'Required Info to Submit'!K32)</f>
        <v/>
      </c>
      <c r="H161" s="1399" t="str">
        <f>IF(F161="","",'Required Info to Submit'!L32)</f>
        <v/>
      </c>
      <c r="I161" s="1198" t="str">
        <f>'Required Info to Submit'!F32</f>
        <v/>
      </c>
      <c r="J161" s="1198" t="str">
        <f>'Required Info to Submit'!G32</f>
        <v/>
      </c>
      <c r="K161" s="1198" t="str">
        <f>'Required Info to Submit'!H32</f>
        <v/>
      </c>
      <c r="L161" s="1198" t="str">
        <f>'Required Info to Submit'!I32</f>
        <v/>
      </c>
      <c r="M161" s="1198" t="str">
        <f>'Required Info to Submit'!J32</f>
        <v/>
      </c>
      <c r="N161" s="256"/>
      <c r="O161" s="256"/>
      <c r="P161" s="257"/>
      <c r="Q161" s="1296"/>
      <c r="R161" s="1296"/>
      <c r="S161" s="1296"/>
      <c r="T161" s="1722"/>
      <c r="U161" s="1207">
        <v>10</v>
      </c>
      <c r="V161" s="1198" t="s">
        <v>1856</v>
      </c>
      <c r="W161" s="1198" t="s">
        <v>1444</v>
      </c>
      <c r="X161" s="1209" t="str">
        <f>'Required Info to Submit'!E32</f>
        <v/>
      </c>
      <c r="Y161" s="1402" t="str">
        <f>IF(X161="","",'Required Info to Submit'!K32)</f>
        <v/>
      </c>
      <c r="Z161" s="1405" t="str">
        <f>IF(X161="","",'Required Info to Submit'!L32)</f>
        <v/>
      </c>
      <c r="AA161" s="1209" t="str">
        <f>'Required Info to Submit'!F32</f>
        <v/>
      </c>
      <c r="AB161" s="1209" t="str">
        <f>'Required Info to Submit'!G32</f>
        <v/>
      </c>
      <c r="AC161" s="1209" t="str">
        <f>'Required Info to Submit'!H32</f>
        <v/>
      </c>
      <c r="AD161" s="1209" t="str">
        <f>'Required Info to Submit'!I32</f>
        <v/>
      </c>
      <c r="AE161" s="1209" t="str">
        <f>'Required Info to Submit'!J32</f>
        <v/>
      </c>
      <c r="AF161" s="256"/>
      <c r="AG161" s="256"/>
      <c r="AH161" s="257"/>
      <c r="AI161" s="1296"/>
      <c r="AJ161" s="1296"/>
      <c r="AK161" s="1296"/>
      <c r="AL161" s="1296"/>
      <c r="AM161" s="1296"/>
      <c r="AN161" s="1296"/>
      <c r="AO161" s="1296"/>
      <c r="AP161" s="1296"/>
      <c r="AQ161" s="1296"/>
      <c r="AR161" s="1296"/>
      <c r="AS161" s="1296"/>
      <c r="AT161" s="1296"/>
      <c r="AU161" s="1296"/>
      <c r="AV161" s="1296"/>
      <c r="AW161" s="1296"/>
      <c r="AX161" s="1296"/>
      <c r="AY161" s="1296"/>
      <c r="AZ161" s="1296"/>
      <c r="BA161" s="1296"/>
      <c r="BB161" s="1296"/>
      <c r="BC161" s="1296"/>
      <c r="BD161" s="1296"/>
      <c r="BE161" s="1296"/>
      <c r="BF161" s="1296"/>
      <c r="BG161" s="1296"/>
      <c r="BH161" s="1296"/>
      <c r="BI161" s="1296"/>
      <c r="BJ161" s="1296"/>
      <c r="BK161" s="1296"/>
      <c r="BL161" s="1296"/>
      <c r="BM161" s="1296"/>
      <c r="BN161" s="1296"/>
      <c r="BO161" s="1296"/>
      <c r="BP161" s="1296"/>
      <c r="BQ161" s="1296"/>
      <c r="BR161" s="1296"/>
      <c r="BS161" s="1296"/>
      <c r="BT161" s="1296"/>
      <c r="BU161" s="1296"/>
      <c r="BV161" s="1296"/>
      <c r="BW161" s="1296"/>
      <c r="BX161" s="1296"/>
      <c r="BY161" s="1296"/>
      <c r="BZ161" s="1296"/>
      <c r="CA161" s="1296"/>
      <c r="CB161" s="1296"/>
      <c r="CC161" s="1296"/>
      <c r="CD161" s="1296"/>
      <c r="CE161" s="1296"/>
      <c r="CF161" s="1296"/>
      <c r="CG161" s="1296"/>
      <c r="CH161" s="1296"/>
      <c r="CI161" s="1296"/>
      <c r="CJ161" s="1296"/>
      <c r="CK161" s="1296"/>
    </row>
    <row r="162" spans="1:89" x14ac:dyDescent="0.25">
      <c r="A162" s="1296"/>
      <c r="B162" s="1296"/>
      <c r="C162" s="1296"/>
      <c r="D162" s="1296"/>
      <c r="E162" s="1296"/>
      <c r="F162" s="1296"/>
      <c r="G162" s="1296"/>
      <c r="H162" s="1296"/>
      <c r="I162" s="1296"/>
      <c r="J162" s="1296"/>
      <c r="K162" s="1296"/>
      <c r="L162" s="1296"/>
      <c r="M162" s="1296"/>
      <c r="N162" s="1296"/>
      <c r="O162" s="1296"/>
      <c r="P162" s="1296"/>
      <c r="Q162" s="1296"/>
      <c r="R162" s="1296"/>
      <c r="S162" s="1296"/>
      <c r="T162" s="1296"/>
      <c r="U162" s="1296"/>
      <c r="V162" s="1296"/>
      <c r="W162" s="1296"/>
      <c r="X162" s="1296"/>
      <c r="Y162" s="1296"/>
      <c r="Z162" s="1296"/>
      <c r="AA162" s="1296"/>
      <c r="AB162" s="1296"/>
      <c r="AC162" s="1296"/>
      <c r="AD162" s="1296"/>
      <c r="AE162" s="1296"/>
      <c r="AF162" s="1296"/>
      <c r="AG162" s="1296"/>
      <c r="AH162" s="1296"/>
      <c r="AI162" s="1296"/>
      <c r="AJ162" s="1296"/>
      <c r="AK162" s="1296"/>
      <c r="AL162" s="1296"/>
      <c r="AM162" s="1296"/>
      <c r="AN162" s="1296"/>
      <c r="AO162" s="1296"/>
      <c r="AP162" s="1296"/>
      <c r="AQ162" s="1296"/>
      <c r="AR162" s="1296"/>
      <c r="AS162" s="1296"/>
      <c r="AT162" s="1296"/>
      <c r="AU162" s="1296"/>
      <c r="AV162" s="1296"/>
      <c r="AW162" s="1296"/>
      <c r="AX162" s="1296"/>
      <c r="AY162" s="1296"/>
      <c r="AZ162" s="1296"/>
      <c r="BA162" s="1296"/>
      <c r="BB162" s="1296"/>
      <c r="BC162" s="1296"/>
      <c r="BD162" s="1296"/>
      <c r="BE162" s="1296"/>
      <c r="BF162" s="1296"/>
      <c r="BG162" s="1296"/>
      <c r="BH162" s="1296"/>
      <c r="BI162" s="1296"/>
      <c r="BJ162" s="1296"/>
      <c r="BK162" s="1296"/>
      <c r="BL162" s="1296"/>
      <c r="BM162" s="1296"/>
      <c r="BN162" s="1296"/>
      <c r="BO162" s="1296"/>
      <c r="BP162" s="1296"/>
      <c r="BQ162" s="1296"/>
      <c r="BR162" s="1296"/>
      <c r="BS162" s="1296"/>
      <c r="BT162" s="1296"/>
      <c r="BU162" s="1296"/>
      <c r="BV162" s="1296"/>
      <c r="BW162" s="1296"/>
      <c r="BX162" s="1296"/>
      <c r="BY162" s="1296"/>
      <c r="BZ162" s="1296"/>
      <c r="CA162" s="1296"/>
      <c r="CB162" s="1296"/>
      <c r="CC162" s="1296"/>
      <c r="CD162" s="1296"/>
      <c r="CE162" s="1296"/>
      <c r="CF162" s="1296"/>
      <c r="CG162" s="1296"/>
      <c r="CH162" s="1296"/>
      <c r="CI162" s="1296"/>
      <c r="CJ162" s="1296"/>
      <c r="CK162" s="1296"/>
    </row>
    <row r="163" spans="1:89" ht="15.75" thickBot="1" x14ac:dyDescent="0.3">
      <c r="A163" s="1296"/>
      <c r="B163" s="1296"/>
      <c r="C163" s="1296"/>
      <c r="D163" s="1296"/>
      <c r="E163" s="1296"/>
      <c r="F163" s="1296"/>
      <c r="G163" s="1296"/>
      <c r="H163" s="1296"/>
      <c r="I163" s="1296"/>
      <c r="J163" s="1296"/>
      <c r="K163" s="1296"/>
      <c r="L163" s="1296"/>
      <c r="M163" s="1296"/>
      <c r="N163" s="1296"/>
      <c r="O163" s="1296"/>
      <c r="P163" s="1296"/>
      <c r="Q163" s="1296"/>
      <c r="R163" s="1296"/>
      <c r="S163" s="1296"/>
      <c r="T163" s="1296"/>
      <c r="U163" s="1296"/>
      <c r="V163" s="1296"/>
      <c r="W163" s="1296"/>
      <c r="X163" s="1296"/>
      <c r="Y163" s="1296"/>
      <c r="Z163" s="1296"/>
      <c r="AA163" s="1296"/>
      <c r="AB163" s="1296"/>
      <c r="AC163" s="1296"/>
      <c r="AD163" s="1296"/>
      <c r="AE163" s="1296"/>
      <c r="AF163" s="1296"/>
      <c r="AG163" s="1296"/>
      <c r="AH163" s="1296"/>
      <c r="AI163" s="1296"/>
      <c r="AJ163" s="1296"/>
      <c r="AK163" s="1296"/>
      <c r="AL163" s="1296"/>
      <c r="AM163" s="1296"/>
      <c r="AN163" s="1296"/>
      <c r="AO163" s="1296"/>
      <c r="AP163" s="1296"/>
      <c r="AQ163" s="1296"/>
      <c r="AR163" s="1296"/>
      <c r="AS163" s="1296"/>
      <c r="AT163" s="1296"/>
      <c r="AU163" s="1296"/>
      <c r="AV163" s="1296"/>
      <c r="AW163" s="1296"/>
      <c r="AX163" s="1296"/>
      <c r="AY163" s="1296"/>
      <c r="AZ163" s="1296"/>
      <c r="BA163" s="1296"/>
      <c r="BB163" s="1296"/>
      <c r="BC163" s="1296"/>
      <c r="BD163" s="1296"/>
      <c r="BE163" s="1296"/>
      <c r="BF163" s="1296"/>
      <c r="BG163" s="1296"/>
      <c r="BH163" s="1296"/>
      <c r="BI163" s="1296"/>
      <c r="BJ163" s="1296"/>
      <c r="BK163" s="1296"/>
      <c r="BL163" s="1296"/>
      <c r="BM163" s="1296"/>
      <c r="BN163" s="1296"/>
      <c r="BO163" s="1296"/>
      <c r="BP163" s="1296"/>
      <c r="BQ163" s="1296"/>
      <c r="BR163" s="1296"/>
      <c r="BS163" s="1296"/>
      <c r="BT163" s="1296"/>
      <c r="BU163" s="1296"/>
      <c r="BV163" s="1296"/>
      <c r="BW163" s="1296"/>
      <c r="BX163" s="1296"/>
      <c r="BY163" s="1296"/>
      <c r="BZ163" s="1296"/>
      <c r="CA163" s="1296"/>
      <c r="CB163" s="1296"/>
      <c r="CC163" s="1296"/>
      <c r="CD163" s="1296"/>
      <c r="CE163" s="1296"/>
      <c r="CF163" s="1296"/>
      <c r="CG163" s="1296"/>
      <c r="CH163" s="1296"/>
      <c r="CI163" s="1296"/>
      <c r="CJ163" s="1296"/>
      <c r="CK163" s="1296"/>
    </row>
    <row r="164" spans="1:89" ht="45.75" customHeight="1" thickBot="1" x14ac:dyDescent="0.3">
      <c r="A164" s="1296"/>
      <c r="B164" s="1182"/>
      <c r="C164" s="1177" t="s">
        <v>1400</v>
      </c>
      <c r="D164" s="1177" t="s">
        <v>1510</v>
      </c>
      <c r="E164" s="1177" t="s">
        <v>767</v>
      </c>
      <c r="F164" s="1177" t="s">
        <v>1515</v>
      </c>
      <c r="G164" s="1177" t="s">
        <v>1833</v>
      </c>
      <c r="H164" s="1178" t="s">
        <v>1834</v>
      </c>
      <c r="I164" s="1178" t="s">
        <v>1835</v>
      </c>
      <c r="J164" s="1177" t="s">
        <v>1857</v>
      </c>
      <c r="K164" s="1177" t="s">
        <v>1836</v>
      </c>
      <c r="L164" s="1178" t="s">
        <v>1414</v>
      </c>
      <c r="M164" s="1178" t="s">
        <v>1398</v>
      </c>
      <c r="N164" s="1177" t="s">
        <v>1399</v>
      </c>
      <c r="O164" s="1177" t="s">
        <v>722</v>
      </c>
      <c r="P164" s="1177" t="s">
        <v>723</v>
      </c>
      <c r="Q164" s="1178" t="s">
        <v>1514</v>
      </c>
      <c r="R164" s="1296"/>
      <c r="S164" s="1296"/>
      <c r="T164" s="1182"/>
      <c r="U164" s="1177" t="s">
        <v>1400</v>
      </c>
      <c r="V164" s="1177" t="s">
        <v>1510</v>
      </c>
      <c r="W164" s="1177" t="s">
        <v>767</v>
      </c>
      <c r="X164" s="1177" t="s">
        <v>1515</v>
      </c>
      <c r="Y164" s="1177" t="s">
        <v>1833</v>
      </c>
      <c r="Z164" s="1178" t="s">
        <v>1834</v>
      </c>
      <c r="AA164" s="1178" t="s">
        <v>1835</v>
      </c>
      <c r="AB164" s="1177" t="s">
        <v>1857</v>
      </c>
      <c r="AC164" s="1177" t="s">
        <v>1836</v>
      </c>
      <c r="AD164" s="1178" t="s">
        <v>1414</v>
      </c>
      <c r="AE164" s="1178" t="s">
        <v>1398</v>
      </c>
      <c r="AF164" s="1177" t="s">
        <v>1399</v>
      </c>
      <c r="AG164" s="1177" t="s">
        <v>722</v>
      </c>
      <c r="AH164" s="1177" t="s">
        <v>723</v>
      </c>
      <c r="AI164" s="1178" t="s">
        <v>1514</v>
      </c>
      <c r="AJ164" s="1296"/>
      <c r="AK164" s="1296"/>
      <c r="AL164" s="1296"/>
      <c r="AM164" s="1296"/>
      <c r="AN164" s="1296"/>
      <c r="AO164" s="1296"/>
      <c r="AP164" s="1296"/>
      <c r="AQ164" s="1296"/>
      <c r="AR164" s="1296"/>
      <c r="AS164" s="1296"/>
      <c r="AT164" s="1296"/>
      <c r="AU164" s="1296"/>
      <c r="AV164" s="1296"/>
      <c r="AW164" s="1296"/>
      <c r="AX164" s="1296"/>
      <c r="AY164" s="1296"/>
      <c r="AZ164" s="1296"/>
      <c r="BA164" s="1296"/>
      <c r="BB164" s="1296"/>
      <c r="BC164" s="1296"/>
      <c r="BD164" s="1296"/>
      <c r="BE164" s="1296"/>
      <c r="BF164" s="1296"/>
      <c r="BG164" s="1296"/>
      <c r="BH164" s="1296"/>
      <c r="BI164" s="1296"/>
      <c r="BJ164" s="1296"/>
      <c r="BK164" s="1296"/>
      <c r="BL164" s="1296"/>
      <c r="BM164" s="1296"/>
      <c r="BN164" s="1296"/>
      <c r="BO164" s="1296"/>
      <c r="BP164" s="1296"/>
      <c r="BQ164" s="1296"/>
      <c r="BR164" s="1296"/>
      <c r="BS164" s="1296"/>
      <c r="BT164" s="1296"/>
      <c r="BU164" s="1296"/>
      <c r="BV164" s="1296"/>
      <c r="BW164" s="1296"/>
      <c r="BX164" s="1296"/>
      <c r="BY164" s="1296"/>
      <c r="BZ164" s="1296"/>
      <c r="CA164" s="1296"/>
      <c r="CB164" s="1296"/>
      <c r="CC164" s="1296"/>
      <c r="CD164" s="1296"/>
      <c r="CE164" s="1296"/>
      <c r="CF164" s="1296"/>
      <c r="CG164" s="1296"/>
      <c r="CH164" s="1296"/>
      <c r="CI164" s="1296"/>
      <c r="CJ164" s="1296"/>
      <c r="CK164" s="1296"/>
    </row>
    <row r="165" spans="1:89" ht="71.25" customHeight="1" thickBot="1" x14ac:dyDescent="0.3">
      <c r="A165" s="1296"/>
      <c r="B165" s="1184" t="s">
        <v>1837</v>
      </c>
      <c r="C165" s="1185" t="s">
        <v>1553</v>
      </c>
      <c r="D165" s="1186">
        <v>3501</v>
      </c>
      <c r="E165" s="1181" t="s">
        <v>1873</v>
      </c>
      <c r="F165" s="1181" t="s">
        <v>1550</v>
      </c>
      <c r="G165" s="1179" t="str" cm="1">
        <f t="array" aca="1" ref="G165" ca="1">INDIRECT("'Incentives Worksheet'!P"&amp;'Configurable Tab'!H15+3)</f>
        <v>Same as Payout Cycle</v>
      </c>
      <c r="H165" s="1179" t="str" cm="1">
        <f t="array" aca="1" ref="H165" ca="1">IF(ISBLANK(INDIRECT("'Incentives Worksheet'!H"&amp;'Configurable Tab'!H15+3)),"",INDIRECT("'Incentives Worksheet'!H"&amp;'Configurable Tab'!H15+3))</f>
        <v/>
      </c>
      <c r="I165" s="1179" t="str" cm="1">
        <f t="array" aca="1" ref="I165" ca="1">IF(INDIRECT("'Incentives Worksheet'!R"&amp;'Configurable Tab'!H15+3)="USF Calendar","Fiscal",INDIRECT("'Incentives Worksheet'!R"&amp;'Configurable Tab'!H15+3))</f>
        <v>Fiscal</v>
      </c>
      <c r="J165" s="1179" t="str" cm="1">
        <f t="array" aca="1" ref="J165" ca="1">IF(INDIRECT("'Incentives Worksheet'!L"&amp;'Configurable Tab'!H15+9)="All"," Select All Products","Unselect All Products")</f>
        <v>Unselect All Products</v>
      </c>
      <c r="K165" s="1179" t="str" cm="1">
        <f t="array" aca="1" ref="K165" ca="1">IF(INDIRECT("'Incentives Worksheet'!T"&amp;'Configurable Tab'!H15+3)="Yes","Post to GL","")</f>
        <v/>
      </c>
      <c r="L165" s="1179" t="str" cm="1">
        <f t="array" aca="1" ref="L165" ca="1">IF(ISBLANK(INDIRECT("'Incentives Worksheet'!L"&amp;'Configurable Tab'!H15+3)),"",INDIRECT("'Incentives Worksheet'!L"&amp;'Configurable Tab'!H15+3))</f>
        <v/>
      </c>
      <c r="M165" s="1179" t="str" cm="1">
        <f t="array" aca="1" ref="M165" ca="1">IF(ISBLANK(INDIRECT("'Incentives Worksheet'!J"&amp;'Configurable Tab'!H15+3)),"",INDIRECT("'Incentives Worksheet'!J"&amp;'Configurable Tab'!H15+3))</f>
        <v/>
      </c>
      <c r="N165" s="1179" t="str" cm="1">
        <f t="array" aca="1" ref="N165" ca="1">IF(ISBLANK(INDIRECT("'Incentives Worksheet'!N"&amp;'Configurable Tab'!H15+3)),"",INDIRECT("'Incentives Worksheet'!N"&amp;'Configurable Tab'!H15+3))</f>
        <v/>
      </c>
      <c r="O165" s="1180" t="str" cm="1">
        <f t="array" aca="1" ref="O165" ca="1">INDIRECT("'Incentives Worksheet'!D"&amp;'Configurable Tab'!H15+6)</f>
        <v/>
      </c>
      <c r="P165" s="1180" t="str" cm="1">
        <f t="array" aca="1" ref="P165" ca="1">INDIRECT("'Incentives Worksheet'!D"&amp;'Configurable Tab'!H15+8)</f>
        <v/>
      </c>
      <c r="Q165" s="1179" t="str" cm="1">
        <f t="array" aca="1" ref="Q165" ca="1">IF(INDIRECT("'Incentives Worksheet'!D"&amp;'Configurable Tab'!H15+10)="No","Update tracking dates",INDIRECT("'Incentives Worksheet'!D"&amp;'Configurable Tab'!H15+10))</f>
        <v>Yes</v>
      </c>
      <c r="R165" s="1296"/>
      <c r="S165" s="1296"/>
      <c r="T165" s="1184" t="s">
        <v>1837</v>
      </c>
      <c r="U165" s="1185" t="s">
        <v>1553</v>
      </c>
      <c r="V165" s="1186">
        <v>3502</v>
      </c>
      <c r="W165" s="1181" t="s">
        <v>1873</v>
      </c>
      <c r="X165" s="1181" t="s">
        <v>1550</v>
      </c>
      <c r="Y165" s="1179" t="str" cm="1">
        <f t="array" aca="1" ref="Y165" ca="1">INDIRECT("'Incentives Worksheet'!P"&amp;'Configurable Tab'!H16+3)</f>
        <v>Same as Payout Cycle</v>
      </c>
      <c r="Z165" s="1179" t="str" cm="1">
        <f t="array" aca="1" ref="Z165" ca="1">IF(ISBLANK(INDIRECT("'Incentives Worksheet'!H"&amp;'Configurable Tab'!H16+3)),"",INDIRECT("'Incentives Worksheet'!H"&amp;'Configurable Tab'!H16+3))</f>
        <v/>
      </c>
      <c r="AA165" s="1179" t="str" cm="1">
        <f t="array" aca="1" ref="AA165" ca="1">IF(INDIRECT("'Incentives Worksheet'!R"&amp;'Configurable Tab'!H16+3)="USF Calendar","Fiscal",INDIRECT("'Incentives Worksheet'!R"&amp;'Configurable Tab'!H16+3))</f>
        <v>Fiscal</v>
      </c>
      <c r="AB165" s="1179" t="str" cm="1">
        <f t="array" aca="1" ref="AB165" ca="1">IF(INDIRECT("'Incentives Worksheet'!L"&amp;'Configurable Tab'!H16+9)="All"," Select All Products","Unselect All Products")</f>
        <v>Unselect All Products</v>
      </c>
      <c r="AC165" s="1179" t="str" cm="1">
        <f t="array" aca="1" ref="AC165" ca="1">IF(INDIRECT("'Incentives Worksheet'!T"&amp;'Configurable Tab'!H16+3)="Yes","Post to GL","")</f>
        <v/>
      </c>
      <c r="AD165" s="1179" t="str" cm="1">
        <f t="array" aca="1" ref="AD165" ca="1">IF(ISBLANK(INDIRECT("'Incentives Worksheet'!L"&amp;'Configurable Tab'!H16+3)),"",INDIRECT("'Incentives Worksheet'!L"&amp;'Configurable Tab'!H16+3))</f>
        <v/>
      </c>
      <c r="AE165" s="1179" t="str" cm="1">
        <f t="array" aca="1" ref="AE165" ca="1">IF(ISBLANK(INDIRECT("'Incentives Worksheet'!J"&amp;'Configurable Tab'!H16+3)),"",INDIRECT("'Incentives Worksheet'!J"&amp;'Configurable Tab'!H16+3))</f>
        <v/>
      </c>
      <c r="AF165" s="1179" t="str" cm="1">
        <f t="array" aca="1" ref="AF165" ca="1">IF(ISBLANK(INDIRECT("'Incentives Worksheet'!N"&amp;'Configurable Tab'!H16+3)),"",INDIRECT("'Incentives Worksheet'!N"&amp;'Configurable Tab'!H16+3))</f>
        <v/>
      </c>
      <c r="AG165" s="1180" t="str" cm="1">
        <f t="array" aca="1" ref="AG165" ca="1">INDIRECT("'Incentives Worksheet'!D"&amp;'Configurable Tab'!H16+6)</f>
        <v/>
      </c>
      <c r="AH165" s="1180" t="str" cm="1">
        <f t="array" aca="1" ref="AH165" ca="1">INDIRECT("'Incentives Worksheet'!D"&amp;'Configurable Tab'!H16+8)</f>
        <v/>
      </c>
      <c r="AI165" s="1179" t="str" cm="1">
        <f t="array" aca="1" ref="AI165" ca="1">IF(INDIRECT("'Incentives Worksheet'!D"&amp;'Configurable Tab'!H16+10)="No","Update tracking dates",INDIRECT("'Incentives Worksheet'!D"&amp;'Configurable Tab'!H16+10))</f>
        <v>Yes</v>
      </c>
      <c r="AJ165" s="1296"/>
      <c r="AK165" s="1296"/>
      <c r="AL165" s="1296"/>
      <c r="AM165" s="1296"/>
      <c r="AN165" s="1296"/>
      <c r="AO165" s="1296"/>
      <c r="AP165" s="1296"/>
      <c r="AQ165" s="1296"/>
      <c r="AR165" s="1296"/>
      <c r="AS165" s="1296"/>
      <c r="AT165" s="1296"/>
      <c r="AU165" s="1296"/>
      <c r="AV165" s="1296"/>
      <c r="AW165" s="1296"/>
      <c r="AX165" s="1296"/>
      <c r="AY165" s="1296"/>
      <c r="AZ165" s="1296"/>
      <c r="BA165" s="1296"/>
      <c r="BB165" s="1296"/>
      <c r="BC165" s="1296"/>
      <c r="BD165" s="1296"/>
      <c r="BE165" s="1296"/>
      <c r="BF165" s="1296"/>
      <c r="BG165" s="1296"/>
      <c r="BH165" s="1296"/>
      <c r="BI165" s="1296"/>
      <c r="BJ165" s="1296"/>
      <c r="BK165" s="1296"/>
      <c r="BL165" s="1296"/>
      <c r="BM165" s="1296"/>
      <c r="BN165" s="1296"/>
      <c r="BO165" s="1296"/>
      <c r="BP165" s="1296"/>
      <c r="BQ165" s="1296"/>
      <c r="BR165" s="1296"/>
      <c r="BS165" s="1296"/>
      <c r="BT165" s="1296"/>
      <c r="BU165" s="1296"/>
      <c r="BV165" s="1296"/>
      <c r="BW165" s="1296"/>
      <c r="BX165" s="1296"/>
      <c r="BY165" s="1296"/>
      <c r="BZ165" s="1296"/>
      <c r="CA165" s="1296"/>
      <c r="CB165" s="1296"/>
      <c r="CC165" s="1296"/>
      <c r="CD165" s="1296"/>
      <c r="CE165" s="1296"/>
      <c r="CF165" s="1296"/>
      <c r="CG165" s="1296"/>
      <c r="CH165" s="1296"/>
      <c r="CI165" s="1296"/>
      <c r="CJ165" s="1296"/>
      <c r="CK165" s="1296"/>
    </row>
    <row r="166" spans="1:89" ht="45.75" customHeight="1" thickBot="1" x14ac:dyDescent="0.3">
      <c r="A166" s="1296"/>
      <c r="B166" s="1719" t="s">
        <v>1872</v>
      </c>
      <c r="C166" s="1210" t="s">
        <v>1858</v>
      </c>
      <c r="D166" s="1177" t="s">
        <v>1859</v>
      </c>
      <c r="E166" s="1178" t="s">
        <v>1376</v>
      </c>
      <c r="F166" s="1177" t="s">
        <v>1861</v>
      </c>
      <c r="G166" s="1211" t="s">
        <v>1864</v>
      </c>
      <c r="H166" s="1212"/>
      <c r="I166" s="1212"/>
      <c r="J166" s="1296"/>
      <c r="K166" s="1212"/>
      <c r="L166" s="1212"/>
      <c r="M166" s="1212"/>
      <c r="N166" s="1212"/>
      <c r="O166" s="1212"/>
      <c r="P166" s="1296"/>
      <c r="Q166" s="1213"/>
      <c r="R166" s="1296"/>
      <c r="S166" s="1296"/>
      <c r="T166" s="1719" t="s">
        <v>1872</v>
      </c>
      <c r="U166" s="1214" t="s">
        <v>1858</v>
      </c>
      <c r="V166" s="1177" t="s">
        <v>1859</v>
      </c>
      <c r="W166" s="1178" t="s">
        <v>1376</v>
      </c>
      <c r="X166" s="1177" t="s">
        <v>1861</v>
      </c>
      <c r="Y166" s="1215" t="s">
        <v>1864</v>
      </c>
      <c r="Z166" s="1296"/>
      <c r="AA166" s="1212"/>
      <c r="AB166" s="1296"/>
      <c r="AC166" s="1212"/>
      <c r="AD166" s="1212"/>
      <c r="AE166" s="1212"/>
      <c r="AF166" s="1212"/>
      <c r="AG166" s="1212"/>
      <c r="AH166" s="1212"/>
      <c r="AI166" s="1213"/>
      <c r="AJ166" s="1296"/>
      <c r="AK166" s="1296"/>
      <c r="AL166" s="1296"/>
      <c r="AM166" s="1296"/>
      <c r="AN166" s="1296"/>
      <c r="AO166" s="1296"/>
      <c r="AP166" s="1296"/>
      <c r="AQ166" s="1296"/>
      <c r="AR166" s="1296"/>
      <c r="AS166" s="1296"/>
      <c r="AT166" s="1296"/>
      <c r="AU166" s="1296"/>
      <c r="AV166" s="1296"/>
      <c r="AW166" s="1296"/>
      <c r="AX166" s="1296"/>
      <c r="AY166" s="1296"/>
      <c r="AZ166" s="1296"/>
      <c r="BA166" s="1296"/>
      <c r="BB166" s="1296"/>
      <c r="BC166" s="1296"/>
      <c r="BD166" s="1296"/>
      <c r="BE166" s="1296"/>
      <c r="BF166" s="1296"/>
      <c r="BG166" s="1296"/>
      <c r="BH166" s="1296"/>
      <c r="BI166" s="1296"/>
      <c r="BJ166" s="1296"/>
      <c r="BK166" s="1296"/>
      <c r="BL166" s="1296"/>
      <c r="BM166" s="1296"/>
      <c r="BN166" s="1296"/>
      <c r="BO166" s="1296"/>
      <c r="BP166" s="1296"/>
      <c r="BQ166" s="1296"/>
      <c r="BR166" s="1296"/>
      <c r="BS166" s="1296"/>
      <c r="BT166" s="1296"/>
      <c r="BU166" s="1296"/>
      <c r="BV166" s="1296"/>
      <c r="BW166" s="1296"/>
      <c r="BX166" s="1296"/>
      <c r="BY166" s="1296"/>
      <c r="BZ166" s="1296"/>
      <c r="CA166" s="1296"/>
      <c r="CB166" s="1296"/>
      <c r="CC166" s="1296"/>
      <c r="CD166" s="1296"/>
      <c r="CE166" s="1296"/>
      <c r="CF166" s="1296"/>
      <c r="CG166" s="1296"/>
      <c r="CH166" s="1296"/>
      <c r="CI166" s="1296"/>
      <c r="CJ166" s="1296"/>
      <c r="CK166" s="1296"/>
    </row>
    <row r="167" spans="1:89" ht="15.75" thickBot="1" x14ac:dyDescent="0.3">
      <c r="A167" s="1296"/>
      <c r="B167" s="1726"/>
      <c r="C167" s="1245" t="s">
        <v>1874</v>
      </c>
      <c r="D167" s="1245" t="str" cm="1">
        <f t="array" aca="1" ref="D167" ca="1">IF(INDIRECT("'Incentives Worksheet'!L"&amp;'Configurable Tab'!H15+9)="All"," All Products","Included Products")</f>
        <v>Included Products</v>
      </c>
      <c r="E167" s="1245" t="str" cm="1">
        <f t="array" aca="1" ref="E167" ca="1">IF(INDIRECT("'Incentives Worksheet'!J"&amp;'Configurable Tab'!H15+9)="All","All Customers","Individual")</f>
        <v>All Customers</v>
      </c>
      <c r="F167" s="1245" t="str" cm="1">
        <f t="array" aca="1" ref="F167" ca="1">IF(INDIRECT("'Incentives Worksheet'!L"&amp;'Configurable Tab'!H15+6)&lt;&gt;0,INDIRECT("'Incentives Worksheet'!L"&amp;'Configurable Tab'!H15+6),"")</f>
        <v/>
      </c>
      <c r="G167" s="1247" t="str" cm="1">
        <f t="array" aca="1" ref="G167" ca="1">INDIRECT("'Incentives Worksheet'!N"&amp;'Configurable Tab'!H15+6)</f>
        <v>%</v>
      </c>
      <c r="H167" s="1188"/>
      <c r="I167" s="1188"/>
      <c r="J167" s="1296"/>
      <c r="K167" s="1188"/>
      <c r="L167" s="1188"/>
      <c r="M167" s="1188"/>
      <c r="N167" s="1188"/>
      <c r="O167" s="1188"/>
      <c r="P167" s="1296"/>
      <c r="Q167" s="138"/>
      <c r="R167" s="1296"/>
      <c r="S167" s="1296"/>
      <c r="T167" s="1726"/>
      <c r="U167" s="1245" t="s">
        <v>1865</v>
      </c>
      <c r="V167" s="1246" t="str" cm="1">
        <f t="array" aca="1" ref="V167" ca="1">IF(INDIRECT("'Incentives Worksheet'!L"&amp;'Configurable Tab'!H16+9)="All"," All Products","Included Products")</f>
        <v>Included Products</v>
      </c>
      <c r="W167" s="1246" t="str" cm="1">
        <f t="array" aca="1" ref="W167" ca="1">IF(INDIRECT("'Incentives Worksheet'!J"&amp;'Configurable Tab'!H16+9)="All","All Customers","Individual")</f>
        <v>All Customers</v>
      </c>
      <c r="X167" s="1246" t="str" cm="1">
        <f t="array" aca="1" ref="X167" ca="1">IF(INDIRECT("'Incentives Worksheet'!L"&amp;'Configurable Tab'!H16+6)&lt;&gt;0,INDIRECT("'Incentives Worksheet'!L"&amp;'Configurable Tab'!H16+6),"")</f>
        <v/>
      </c>
      <c r="Y167" s="1247" t="str" cm="1">
        <f t="array" aca="1" ref="Y167" ca="1">INDIRECT("'Incentives Worksheet'!N"&amp;'Configurable Tab'!H16+6)</f>
        <v>%</v>
      </c>
      <c r="Z167" s="1296"/>
      <c r="AA167" s="1188"/>
      <c r="AB167" s="1296"/>
      <c r="AC167" s="1188"/>
      <c r="AD167" s="1188"/>
      <c r="AE167" s="1188"/>
      <c r="AF167" s="1188"/>
      <c r="AG167" s="1188"/>
      <c r="AH167" s="1188"/>
      <c r="AI167" s="138"/>
      <c r="AJ167" s="1296"/>
      <c r="AK167" s="1296"/>
      <c r="AL167" s="1296"/>
      <c r="AM167" s="1296"/>
      <c r="AN167" s="1296"/>
      <c r="AO167" s="1296"/>
      <c r="AP167" s="1296"/>
      <c r="AQ167" s="1296"/>
      <c r="AR167" s="1296"/>
      <c r="AS167" s="1296"/>
      <c r="AT167" s="1296"/>
      <c r="AU167" s="1296"/>
      <c r="AV167" s="1296"/>
      <c r="AW167" s="1296"/>
      <c r="AX167" s="1296"/>
      <c r="AY167" s="1296"/>
      <c r="AZ167" s="1296"/>
      <c r="BA167" s="1296"/>
      <c r="BB167" s="1296"/>
      <c r="BC167" s="1296"/>
      <c r="BD167" s="1296"/>
      <c r="BE167" s="1296"/>
      <c r="BF167" s="1296"/>
      <c r="BG167" s="1296"/>
      <c r="BH167" s="1296"/>
      <c r="BI167" s="1296"/>
      <c r="BJ167" s="1296"/>
      <c r="BK167" s="1296"/>
      <c r="BL167" s="1296"/>
      <c r="BM167" s="1296"/>
      <c r="BN167" s="1296"/>
      <c r="BO167" s="1296"/>
      <c r="BP167" s="1296"/>
      <c r="BQ167" s="1296"/>
      <c r="BR167" s="1296"/>
      <c r="BS167" s="1296"/>
      <c r="BT167" s="1296"/>
      <c r="BU167" s="1296"/>
      <c r="BV167" s="1296"/>
      <c r="BW167" s="1296"/>
      <c r="BX167" s="1296"/>
      <c r="BY167" s="1296"/>
      <c r="BZ167" s="1296"/>
      <c r="CA167" s="1296"/>
      <c r="CB167" s="1296"/>
      <c r="CC167" s="1296"/>
      <c r="CD167" s="1296"/>
      <c r="CE167" s="1296"/>
      <c r="CF167" s="1296"/>
      <c r="CG167" s="1296"/>
      <c r="CH167" s="1296"/>
      <c r="CI167" s="1296"/>
      <c r="CJ167" s="1296"/>
      <c r="CK167" s="1296"/>
    </row>
    <row r="168" spans="1:89" ht="15.75" thickBot="1" x14ac:dyDescent="0.3">
      <c r="A168" s="1296"/>
      <c r="B168" s="1721"/>
      <c r="C168" s="1220" t="s">
        <v>1868</v>
      </c>
      <c r="D168" s="1221" t="s">
        <v>126</v>
      </c>
      <c r="E168" s="1222" t="s">
        <v>128</v>
      </c>
      <c r="F168" s="1223" t="s">
        <v>1110</v>
      </c>
      <c r="G168" s="1188"/>
      <c r="H168" s="1188"/>
      <c r="I168" s="1267"/>
      <c r="J168" s="1188"/>
      <c r="K168" s="1188"/>
      <c r="L168" s="1188"/>
      <c r="M168" s="1188"/>
      <c r="N168" s="1188"/>
      <c r="O168" s="1188"/>
      <c r="P168" s="1296"/>
      <c r="Q168" s="1189"/>
      <c r="R168" s="1296"/>
      <c r="S168" s="1296"/>
      <c r="T168" s="1726"/>
      <c r="U168" s="1177" t="s">
        <v>1868</v>
      </c>
      <c r="V168" s="1268" t="s">
        <v>126</v>
      </c>
      <c r="W168" s="1269" t="s">
        <v>128</v>
      </c>
      <c r="X168" s="1269" t="s">
        <v>1110</v>
      </c>
      <c r="Y168" s="1188"/>
      <c r="Z168" s="1188"/>
      <c r="AA168" s="1188"/>
      <c r="AB168" s="1188"/>
      <c r="AC168" s="1188"/>
      <c r="AD168" s="1188"/>
      <c r="AE168" s="1188"/>
      <c r="AF168" s="1188"/>
      <c r="AG168" s="1188"/>
      <c r="AH168" s="1188"/>
      <c r="AI168" s="1189"/>
      <c r="AJ168" s="1296"/>
      <c r="AK168" s="1296"/>
      <c r="AL168" s="1296"/>
      <c r="AM168" s="1296"/>
      <c r="AN168" s="1296"/>
      <c r="AO168" s="1296"/>
      <c r="AP168" s="1296"/>
      <c r="AQ168" s="1296"/>
      <c r="AR168" s="1296"/>
      <c r="AS168" s="1296"/>
      <c r="AT168" s="1296"/>
      <c r="AU168" s="1296"/>
      <c r="AV168" s="1296"/>
      <c r="AW168" s="1296"/>
      <c r="AX168" s="1296"/>
      <c r="AY168" s="1296"/>
      <c r="AZ168" s="1296"/>
      <c r="BA168" s="1296"/>
      <c r="BB168" s="1296"/>
      <c r="BC168" s="1296"/>
      <c r="BD168" s="1296"/>
      <c r="BE168" s="1296"/>
      <c r="BF168" s="1296"/>
      <c r="BG168" s="1296"/>
      <c r="BH168" s="1296"/>
      <c r="BI168" s="1296"/>
      <c r="BJ168" s="1296"/>
      <c r="BK168" s="1296"/>
      <c r="BL168" s="1296"/>
      <c r="BM168" s="1296"/>
      <c r="BN168" s="1296"/>
      <c r="BO168" s="1296"/>
      <c r="BP168" s="1296"/>
      <c r="BQ168" s="1296"/>
      <c r="BR168" s="1296"/>
      <c r="BS168" s="1296"/>
      <c r="BT168" s="1296"/>
      <c r="BU168" s="1296"/>
      <c r="BV168" s="1296"/>
      <c r="BW168" s="1296"/>
      <c r="BX168" s="1296"/>
      <c r="BY168" s="1296"/>
      <c r="BZ168" s="1296"/>
      <c r="CA168" s="1296"/>
      <c r="CB168" s="1296"/>
      <c r="CC168" s="1296"/>
      <c r="CD168" s="1296"/>
      <c r="CE168" s="1296"/>
      <c r="CF168" s="1296"/>
      <c r="CG168" s="1296"/>
      <c r="CH168" s="1296"/>
      <c r="CI168" s="1296"/>
      <c r="CJ168" s="1296"/>
      <c r="CK168" s="1296"/>
    </row>
    <row r="169" spans="1:89" x14ac:dyDescent="0.25">
      <c r="A169" s="1296"/>
      <c r="B169" s="1721"/>
      <c r="C169" s="1228">
        <v>0</v>
      </c>
      <c r="D169" s="1229" t="str" cm="1">
        <f t="array" aca="1" ref="D169" ca="1">IF(INDIRECT("'Incentives Worksheet'!H"&amp;'Configurable Tab'!H15+6)&lt;&gt;0,0,"")</f>
        <v/>
      </c>
      <c r="E169" s="1270" t="str" cm="1">
        <f t="array" aca="1" ref="E169" ca="1">IF(INDIRECT("'Incentives Worksheet'!H"&amp;'Configurable Tab'!H15+6)&lt;&gt;0,INDIRECT("'Incentives Worksheet'!H"&amp;'Configurable Tab'!H15+6)-0.01,"")</f>
        <v/>
      </c>
      <c r="F169" s="1271" t="str" cm="1">
        <f t="array" aca="1" ref="F169" ca="1">IF(INDIRECT("'Incentives Worksheet'!H"&amp;'Configurable Tab'!H15+6)&lt;&gt;0,0,"")</f>
        <v/>
      </c>
      <c r="G169" s="1188"/>
      <c r="H169" s="1188"/>
      <c r="I169" s="1188"/>
      <c r="J169" s="1188"/>
      <c r="K169" s="1188"/>
      <c r="L169" s="1188"/>
      <c r="M169" s="1188"/>
      <c r="N169" s="1188"/>
      <c r="O169" s="1188"/>
      <c r="P169" s="1296"/>
      <c r="Q169" s="1189"/>
      <c r="R169" s="1296"/>
      <c r="S169" s="1296"/>
      <c r="T169" s="1726"/>
      <c r="U169" s="1232">
        <v>0</v>
      </c>
      <c r="V169" s="1204" t="str" cm="1">
        <f t="array" aca="1" ref="V169" ca="1">IF(INDIRECT("'Incentives Worksheet'!H"&amp;'Configurable Tab'!H16+6)&lt;&gt;0,0,"")</f>
        <v/>
      </c>
      <c r="W169" s="1272" t="str" cm="1">
        <f t="array" aca="1" ref="W169" ca="1">IF(INDIRECT("'Incentives Worksheet'!H"&amp;'Configurable Tab'!H16+6)&lt;&gt;0,INDIRECT("'Incentives Worksheet'!H"&amp;'Configurable Tab'!H16+6)-0.01,"")</f>
        <v/>
      </c>
      <c r="X169" s="1204" t="str" cm="1">
        <f t="array" aca="1" ref="X169" ca="1">IF(INDIRECT("'Incentives Worksheet'!H"&amp;'Configurable Tab'!H16+6)&lt;&gt;0,0,"")</f>
        <v/>
      </c>
      <c r="Y169" s="1188"/>
      <c r="Z169" s="1188"/>
      <c r="AA169" s="1188"/>
      <c r="AB169" s="1188"/>
      <c r="AC169" s="1188"/>
      <c r="AD169" s="1188"/>
      <c r="AE169" s="1188"/>
      <c r="AF169" s="1188"/>
      <c r="AG169" s="1188"/>
      <c r="AH169" s="1188"/>
      <c r="AI169" s="1189"/>
      <c r="AJ169" s="1296"/>
      <c r="AK169" s="1296"/>
      <c r="AL169" s="1296"/>
      <c r="AM169" s="1296"/>
      <c r="AN169" s="1296"/>
      <c r="AO169" s="1296"/>
      <c r="AP169" s="1296"/>
      <c r="AQ169" s="1296"/>
      <c r="AR169" s="1296"/>
      <c r="AS169" s="1296"/>
      <c r="AT169" s="1296"/>
      <c r="AU169" s="1296"/>
      <c r="AV169" s="1296"/>
      <c r="AW169" s="1296"/>
      <c r="AX169" s="1296"/>
      <c r="AY169" s="1296"/>
      <c r="AZ169" s="1296"/>
      <c r="BA169" s="1296"/>
      <c r="BB169" s="1296"/>
      <c r="BC169" s="1296"/>
      <c r="BD169" s="1296"/>
      <c r="BE169" s="1296"/>
      <c r="BF169" s="1296"/>
      <c r="BG169" s="1296"/>
      <c r="BH169" s="1296"/>
      <c r="BI169" s="1296"/>
      <c r="BJ169" s="1296"/>
      <c r="BK169" s="1296"/>
      <c r="BL169" s="1296"/>
      <c r="BM169" s="1296"/>
      <c r="BN169" s="1296"/>
      <c r="BO169" s="1296"/>
      <c r="BP169" s="1296"/>
      <c r="BQ169" s="1296"/>
      <c r="BR169" s="1296"/>
      <c r="BS169" s="1296"/>
      <c r="BT169" s="1296"/>
      <c r="BU169" s="1296"/>
      <c r="BV169" s="1296"/>
      <c r="BW169" s="1296"/>
      <c r="BX169" s="1296"/>
      <c r="BY169" s="1296"/>
      <c r="BZ169" s="1296"/>
      <c r="CA169" s="1296"/>
      <c r="CB169" s="1296"/>
      <c r="CC169" s="1296"/>
      <c r="CD169" s="1296"/>
      <c r="CE169" s="1296"/>
      <c r="CF169" s="1296"/>
      <c r="CG169" s="1296"/>
      <c r="CH169" s="1296"/>
      <c r="CI169" s="1296"/>
      <c r="CJ169" s="1296"/>
      <c r="CK169" s="1296"/>
    </row>
    <row r="170" spans="1:89" ht="15.75" thickBot="1" x14ac:dyDescent="0.3">
      <c r="A170" s="1296"/>
      <c r="B170" s="1722"/>
      <c r="C170" s="1234">
        <v>1</v>
      </c>
      <c r="D170" s="1253" t="str" cm="1">
        <f t="array" aca="1" ref="D170" ca="1">IF(INDIRECT("'Incentives Worksheet'!H"&amp;'Configurable Tab'!H15+6)="","",INDIRECT("'Incentives Worksheet'!H"&amp;'Configurable Tab'!H15+6))</f>
        <v/>
      </c>
      <c r="E170" s="1235" t="str" cm="1">
        <f t="array" aca="1" ref="E170" ca="1">IF(INDIRECT("'Incentives Worksheet'!J"&amp;'Configurable Tab'!H15+6)="","",INDIRECT("'Incentives Worksheet'!J"&amp;'Configurable Tab'!H15+6))</f>
        <v/>
      </c>
      <c r="F170" s="1273" t="str" cm="1">
        <f t="array" aca="1" ref="F170" ca="1">IF(INDIRECT("'Incentives Worksheet'!L"&amp;'Configurable Tab'!H15+6)="","",INDIRECT("'Incentives Worksheet'!L"&amp;'Configurable Tab'!H15+6))</f>
        <v/>
      </c>
      <c r="G170" s="1188"/>
      <c r="H170" s="1188"/>
      <c r="I170" s="1188"/>
      <c r="J170" s="1188"/>
      <c r="K170" s="1188"/>
      <c r="L170" s="1188"/>
      <c r="M170" s="1188"/>
      <c r="N170" s="1188"/>
      <c r="O170" s="1188"/>
      <c r="P170" s="1296"/>
      <c r="Q170" s="1189"/>
      <c r="R170" s="1296"/>
      <c r="S170" s="1296"/>
      <c r="T170" s="1725"/>
      <c r="U170" s="1238">
        <v>1</v>
      </c>
      <c r="V170" s="1274" t="str" cm="1">
        <f t="array" aca="1" ref="V170" ca="1">IF(INDIRECT("'Incentives Worksheet'!H"&amp;'Configurable Tab'!H16+6)="","",INDIRECT("'Incentives Worksheet'!H"&amp;'Configurable Tab'!H16+6))</f>
        <v/>
      </c>
      <c r="W170" s="1275" t="str" cm="1">
        <f t="array" aca="1" ref="W170" ca="1">IF(INDIRECT("'Incentives Worksheet'!J"&amp;'Configurable Tab'!H16+6)="","",INDIRECT("'Incentives Worksheet'!J"&amp;'Configurable Tab'!H16+6))</f>
        <v/>
      </c>
      <c r="X170" s="1209" t="str" cm="1">
        <f t="array" aca="1" ref="X170" ca="1">IF(INDIRECT("'Incentives Worksheet'!L"&amp;'Configurable Tab'!H16+6)="","",INDIRECT("'Incentives Worksheet'!L"&amp;'Configurable Tab'!H16+6))</f>
        <v/>
      </c>
      <c r="Y170" s="1188"/>
      <c r="Z170" s="1188"/>
      <c r="AA170" s="1188"/>
      <c r="AB170" s="1188"/>
      <c r="AC170" s="1188"/>
      <c r="AD170" s="1188"/>
      <c r="AE170" s="1188"/>
      <c r="AF170" s="1188"/>
      <c r="AG170" s="1188"/>
      <c r="AH170" s="1188"/>
      <c r="AI170" s="1189"/>
      <c r="AJ170" s="1296"/>
      <c r="AK170" s="1296"/>
      <c r="AL170" s="1296"/>
      <c r="AM170" s="1296"/>
      <c r="AN170" s="1296"/>
      <c r="AO170" s="1296"/>
      <c r="AP170" s="1296"/>
      <c r="AQ170" s="1296"/>
      <c r="AR170" s="1296"/>
      <c r="AS170" s="1296"/>
      <c r="AT170" s="1296"/>
      <c r="AU170" s="1296"/>
      <c r="AV170" s="1296"/>
      <c r="AW170" s="1296"/>
      <c r="AX170" s="1296"/>
      <c r="AY170" s="1296"/>
      <c r="AZ170" s="1296"/>
      <c r="BA170" s="1296"/>
      <c r="BB170" s="1296"/>
      <c r="BC170" s="1296"/>
      <c r="BD170" s="1296"/>
      <c r="BE170" s="1296"/>
      <c r="BF170" s="1296"/>
      <c r="BG170" s="1296"/>
      <c r="BH170" s="1296"/>
      <c r="BI170" s="1296"/>
      <c r="BJ170" s="1296"/>
      <c r="BK170" s="1296"/>
      <c r="BL170" s="1296"/>
      <c r="BM170" s="1296"/>
      <c r="BN170" s="1296"/>
      <c r="BO170" s="1296"/>
      <c r="BP170" s="1296"/>
      <c r="BQ170" s="1296"/>
      <c r="BR170" s="1296"/>
      <c r="BS170" s="1296"/>
      <c r="BT170" s="1296"/>
      <c r="BU170" s="1296"/>
      <c r="BV170" s="1296"/>
      <c r="BW170" s="1296"/>
      <c r="BX170" s="1296"/>
      <c r="BY170" s="1296"/>
      <c r="BZ170" s="1296"/>
      <c r="CA170" s="1296"/>
      <c r="CB170" s="1296"/>
      <c r="CC170" s="1296"/>
      <c r="CD170" s="1296"/>
      <c r="CE170" s="1296"/>
      <c r="CF170" s="1296"/>
      <c r="CG170" s="1296"/>
      <c r="CH170" s="1296"/>
      <c r="CI170" s="1296"/>
      <c r="CJ170" s="1296"/>
      <c r="CK170" s="1296"/>
    </row>
    <row r="171" spans="1:89" ht="15.75" customHeight="1" thickBot="1" x14ac:dyDescent="0.3">
      <c r="A171" s="1296"/>
      <c r="B171" s="1719" t="s">
        <v>1842</v>
      </c>
      <c r="C171" s="1241" t="s">
        <v>1843</v>
      </c>
      <c r="D171" s="1242" t="s">
        <v>131</v>
      </c>
      <c r="E171" s="1242" t="s">
        <v>1844</v>
      </c>
      <c r="F171" s="1296"/>
      <c r="G171" s="1296"/>
      <c r="H171" s="1296"/>
      <c r="I171" s="1296"/>
      <c r="J171" s="1296"/>
      <c r="K171" s="1296"/>
      <c r="L171" s="1296"/>
      <c r="M171" s="1296"/>
      <c r="N171" s="1296"/>
      <c r="O171" s="1296"/>
      <c r="P171" s="1296"/>
      <c r="Q171" s="138"/>
      <c r="R171" s="1296"/>
      <c r="S171" s="1296"/>
      <c r="T171" s="1719" t="s">
        <v>1842</v>
      </c>
      <c r="U171" s="1241" t="s">
        <v>1843</v>
      </c>
      <c r="V171" s="1192" t="s">
        <v>131</v>
      </c>
      <c r="W171" s="1192" t="s">
        <v>1844</v>
      </c>
      <c r="X171" s="1296"/>
      <c r="Y171" s="1296"/>
      <c r="Z171" s="1296"/>
      <c r="AA171" s="1296"/>
      <c r="AB171" s="1296"/>
      <c r="AC171" s="1296"/>
      <c r="AD171" s="1296"/>
      <c r="AE171" s="1296"/>
      <c r="AF171" s="1296"/>
      <c r="AG171" s="1296"/>
      <c r="AH171" s="1296"/>
      <c r="AI171" s="138"/>
      <c r="AJ171" s="1296"/>
      <c r="AK171" s="1296"/>
      <c r="AL171" s="1296"/>
      <c r="AM171" s="1296"/>
      <c r="AN171" s="1296"/>
      <c r="AO171" s="1296"/>
      <c r="AP171" s="1296"/>
      <c r="AQ171" s="1296"/>
      <c r="AR171" s="1296"/>
      <c r="AS171" s="1296"/>
      <c r="AT171" s="1296"/>
      <c r="AU171" s="1296"/>
      <c r="AV171" s="1296"/>
      <c r="AW171" s="1296"/>
      <c r="AX171" s="1296"/>
      <c r="AY171" s="1296"/>
      <c r="AZ171" s="1296"/>
      <c r="BA171" s="1296"/>
      <c r="BB171" s="1296"/>
      <c r="BC171" s="1296"/>
      <c r="BD171" s="1296"/>
      <c r="BE171" s="1296"/>
      <c r="BF171" s="1296"/>
      <c r="BG171" s="1296"/>
      <c r="BH171" s="1296"/>
      <c r="BI171" s="1296"/>
      <c r="BJ171" s="1296"/>
      <c r="BK171" s="1296"/>
      <c r="BL171" s="1296"/>
      <c r="BM171" s="1296"/>
      <c r="BN171" s="1296"/>
      <c r="BO171" s="1296"/>
      <c r="BP171" s="1296"/>
      <c r="BQ171" s="1296"/>
      <c r="BR171" s="1296"/>
      <c r="BS171" s="1296"/>
      <c r="BT171" s="1296"/>
      <c r="BU171" s="1296"/>
      <c r="BV171" s="1296"/>
      <c r="BW171" s="1296"/>
      <c r="BX171" s="1296"/>
      <c r="BY171" s="1296"/>
      <c r="BZ171" s="1296"/>
      <c r="CA171" s="1296"/>
      <c r="CB171" s="1296"/>
      <c r="CC171" s="1296"/>
      <c r="CD171" s="1296"/>
      <c r="CE171" s="1296"/>
      <c r="CF171" s="1296"/>
      <c r="CG171" s="1296"/>
      <c r="CH171" s="1296"/>
      <c r="CI171" s="1296"/>
      <c r="CJ171" s="1296"/>
      <c r="CK171" s="1296"/>
    </row>
    <row r="172" spans="1:89" x14ac:dyDescent="0.25">
      <c r="A172" s="1296"/>
      <c r="B172" s="1726"/>
      <c r="C172" s="1193" t="s">
        <v>1845</v>
      </c>
      <c r="D172" s="1193" t="s">
        <v>1846</v>
      </c>
      <c r="E172" s="1194"/>
      <c r="F172" s="1296"/>
      <c r="G172" s="1296"/>
      <c r="H172" s="1296"/>
      <c r="I172" s="1296"/>
      <c r="J172" s="1296"/>
      <c r="K172" s="1296"/>
      <c r="L172" s="1296"/>
      <c r="M172" s="1296"/>
      <c r="N172" s="1296"/>
      <c r="O172" s="1296"/>
      <c r="P172" s="1296"/>
      <c r="Q172" s="138"/>
      <c r="R172" s="1296"/>
      <c r="S172" s="1296"/>
      <c r="T172" s="1726"/>
      <c r="U172" s="1193" t="s">
        <v>1845</v>
      </c>
      <c r="V172" s="1193" t="s">
        <v>1846</v>
      </c>
      <c r="W172" s="1194"/>
      <c r="X172" s="1296"/>
      <c r="Y172" s="1296"/>
      <c r="Z172" s="1296"/>
      <c r="AA172" s="1296"/>
      <c r="AB172" s="1296"/>
      <c r="AC172" s="1296"/>
      <c r="AD172" s="1296"/>
      <c r="AE172" s="1296"/>
      <c r="AF172" s="1296"/>
      <c r="AG172" s="1296"/>
      <c r="AH172" s="1296"/>
      <c r="AI172" s="138"/>
      <c r="AJ172" s="1296"/>
      <c r="AK172" s="1296"/>
      <c r="AL172" s="1296"/>
      <c r="AM172" s="1296"/>
      <c r="AN172" s="1296"/>
      <c r="AO172" s="1296"/>
      <c r="AP172" s="1296"/>
      <c r="AQ172" s="1296"/>
      <c r="AR172" s="1296"/>
      <c r="AS172" s="1296"/>
      <c r="AT172" s="1296"/>
      <c r="AU172" s="1296"/>
      <c r="AV172" s="1296"/>
      <c r="AW172" s="1296"/>
      <c r="AX172" s="1296"/>
      <c r="AY172" s="1296"/>
      <c r="AZ172" s="1296"/>
      <c r="BA172" s="1296"/>
      <c r="BB172" s="1296"/>
      <c r="BC172" s="1296"/>
      <c r="BD172" s="1296"/>
      <c r="BE172" s="1296"/>
      <c r="BF172" s="1296"/>
      <c r="BG172" s="1296"/>
      <c r="BH172" s="1296"/>
      <c r="BI172" s="1296"/>
      <c r="BJ172" s="1296"/>
      <c r="BK172" s="1296"/>
      <c r="BL172" s="1296"/>
      <c r="BM172" s="1296"/>
      <c r="BN172" s="1296"/>
      <c r="BO172" s="1296"/>
      <c r="BP172" s="1296"/>
      <c r="BQ172" s="1296"/>
      <c r="BR172" s="1296"/>
      <c r="BS172" s="1296"/>
      <c r="BT172" s="1296"/>
      <c r="BU172" s="1296"/>
      <c r="BV172" s="1296"/>
      <c r="BW172" s="1296"/>
      <c r="BX172" s="1296"/>
      <c r="BY172" s="1296"/>
      <c r="BZ172" s="1296"/>
      <c r="CA172" s="1296"/>
      <c r="CB172" s="1296"/>
      <c r="CC172" s="1296"/>
      <c r="CD172" s="1296"/>
      <c r="CE172" s="1296"/>
      <c r="CF172" s="1296"/>
      <c r="CG172" s="1296"/>
      <c r="CH172" s="1296"/>
      <c r="CI172" s="1296"/>
      <c r="CJ172" s="1296"/>
      <c r="CK172" s="1296"/>
    </row>
    <row r="173" spans="1:89" x14ac:dyDescent="0.25">
      <c r="A173" s="1296"/>
      <c r="B173" s="1726"/>
      <c r="C173" s="1195" t="s">
        <v>1845</v>
      </c>
      <c r="D173" s="1195" t="s">
        <v>1847</v>
      </c>
      <c r="E173" s="1196" t="s">
        <v>1848</v>
      </c>
      <c r="F173" s="1296"/>
      <c r="G173" s="1296"/>
      <c r="H173" s="1296"/>
      <c r="I173" s="1296"/>
      <c r="J173" s="1296"/>
      <c r="K173" s="1296"/>
      <c r="L173" s="1296"/>
      <c r="M173" s="1296"/>
      <c r="N173" s="1296"/>
      <c r="O173" s="1296"/>
      <c r="P173" s="1296"/>
      <c r="Q173" s="138"/>
      <c r="R173" s="1296"/>
      <c r="S173" s="1296"/>
      <c r="T173" s="1726"/>
      <c r="U173" s="1195" t="s">
        <v>1845</v>
      </c>
      <c r="V173" s="1195" t="s">
        <v>1847</v>
      </c>
      <c r="W173" s="1196" t="s">
        <v>1848</v>
      </c>
      <c r="X173" s="1296"/>
      <c r="Y173" s="1296"/>
      <c r="Z173" s="1296"/>
      <c r="AA173" s="1296"/>
      <c r="AB173" s="1296"/>
      <c r="AC173" s="1296"/>
      <c r="AD173" s="1296"/>
      <c r="AE173" s="1296"/>
      <c r="AF173" s="1296"/>
      <c r="AG173" s="1296"/>
      <c r="AH173" s="1296"/>
      <c r="AI173" s="138"/>
      <c r="AJ173" s="1296"/>
      <c r="AK173" s="1296"/>
      <c r="AL173" s="1296"/>
      <c r="AM173" s="1296"/>
      <c r="AN173" s="1296"/>
      <c r="AO173" s="1296"/>
      <c r="AP173" s="1296"/>
      <c r="AQ173" s="1296"/>
      <c r="AR173" s="1296"/>
      <c r="AS173" s="1296"/>
      <c r="AT173" s="1296"/>
      <c r="AU173" s="1296"/>
      <c r="AV173" s="1296"/>
      <c r="AW173" s="1296"/>
      <c r="AX173" s="1296"/>
      <c r="AY173" s="1296"/>
      <c r="AZ173" s="1296"/>
      <c r="BA173" s="1296"/>
      <c r="BB173" s="1296"/>
      <c r="BC173" s="1296"/>
      <c r="BD173" s="1296"/>
      <c r="BE173" s="1296"/>
      <c r="BF173" s="1296"/>
      <c r="BG173" s="1296"/>
      <c r="BH173" s="1296"/>
      <c r="BI173" s="1296"/>
      <c r="BJ173" s="1296"/>
      <c r="BK173" s="1296"/>
      <c r="BL173" s="1296"/>
      <c r="BM173" s="1296"/>
      <c r="BN173" s="1296"/>
      <c r="BO173" s="1296"/>
      <c r="BP173" s="1296"/>
      <c r="BQ173" s="1296"/>
      <c r="BR173" s="1296"/>
      <c r="BS173" s="1296"/>
      <c r="BT173" s="1296"/>
      <c r="BU173" s="1296"/>
      <c r="BV173" s="1296"/>
      <c r="BW173" s="1296"/>
      <c r="BX173" s="1296"/>
      <c r="BY173" s="1296"/>
      <c r="BZ173" s="1296"/>
      <c r="CA173" s="1296"/>
      <c r="CB173" s="1296"/>
      <c r="CC173" s="1296"/>
      <c r="CD173" s="1296"/>
      <c r="CE173" s="1296"/>
      <c r="CF173" s="1296"/>
      <c r="CG173" s="1296"/>
      <c r="CH173" s="1296"/>
      <c r="CI173" s="1296"/>
      <c r="CJ173" s="1296"/>
      <c r="CK173" s="1296"/>
    </row>
    <row r="174" spans="1:89" x14ac:dyDescent="0.25">
      <c r="A174" s="1296"/>
      <c r="B174" s="1726"/>
      <c r="C174" s="1195" t="s">
        <v>1845</v>
      </c>
      <c r="D174" s="1195" t="s">
        <v>1849</v>
      </c>
      <c r="E174" s="1196" t="s">
        <v>1718</v>
      </c>
      <c r="F174" s="1296"/>
      <c r="G174" s="1296"/>
      <c r="H174" s="1296"/>
      <c r="I174" s="1296"/>
      <c r="J174" s="1296"/>
      <c r="K174" s="1296"/>
      <c r="L174" s="1296"/>
      <c r="M174" s="1296"/>
      <c r="N174" s="1296"/>
      <c r="O174" s="1296"/>
      <c r="P174" s="1296"/>
      <c r="Q174" s="138"/>
      <c r="R174" s="1296"/>
      <c r="S174" s="1296"/>
      <c r="T174" s="1726"/>
      <c r="U174" s="1195" t="s">
        <v>1845</v>
      </c>
      <c r="V174" s="1195" t="s">
        <v>1849</v>
      </c>
      <c r="W174" s="1196" t="s">
        <v>1718</v>
      </c>
      <c r="X174" s="1296"/>
      <c r="Y174" s="1296"/>
      <c r="Z174" s="1296"/>
      <c r="AA174" s="1296"/>
      <c r="AB174" s="1296"/>
      <c r="AC174" s="1296"/>
      <c r="AD174" s="1296"/>
      <c r="AE174" s="1296"/>
      <c r="AF174" s="1296"/>
      <c r="AG174" s="1296"/>
      <c r="AH174" s="1296"/>
      <c r="AI174" s="138"/>
      <c r="AJ174" s="1296"/>
      <c r="AK174" s="1296"/>
      <c r="AL174" s="1296"/>
      <c r="AM174" s="1296"/>
      <c r="AN174" s="1296"/>
      <c r="AO174" s="1296"/>
      <c r="AP174" s="1296"/>
      <c r="AQ174" s="1296"/>
      <c r="AR174" s="1296"/>
      <c r="AS174" s="1296"/>
      <c r="AT174" s="1296"/>
      <c r="AU174" s="1296"/>
      <c r="AV174" s="1296"/>
      <c r="AW174" s="1296"/>
      <c r="AX174" s="1296"/>
      <c r="AY174" s="1296"/>
      <c r="AZ174" s="1296"/>
      <c r="BA174" s="1296"/>
      <c r="BB174" s="1296"/>
      <c r="BC174" s="1296"/>
      <c r="BD174" s="1296"/>
      <c r="BE174" s="1296"/>
      <c r="BF174" s="1296"/>
      <c r="BG174" s="1296"/>
      <c r="BH174" s="1296"/>
      <c r="BI174" s="1296"/>
      <c r="BJ174" s="1296"/>
      <c r="BK174" s="1296"/>
      <c r="BL174" s="1296"/>
      <c r="BM174" s="1296"/>
      <c r="BN174" s="1296"/>
      <c r="BO174" s="1296"/>
      <c r="BP174" s="1296"/>
      <c r="BQ174" s="1296"/>
      <c r="BR174" s="1296"/>
      <c r="BS174" s="1296"/>
      <c r="BT174" s="1296"/>
      <c r="BU174" s="1296"/>
      <c r="BV174" s="1296"/>
      <c r="BW174" s="1296"/>
      <c r="BX174" s="1296"/>
      <c r="BY174" s="1296"/>
      <c r="BZ174" s="1296"/>
      <c r="CA174" s="1296"/>
      <c r="CB174" s="1296"/>
      <c r="CC174" s="1296"/>
      <c r="CD174" s="1296"/>
      <c r="CE174" s="1296"/>
      <c r="CF174" s="1296"/>
      <c r="CG174" s="1296"/>
      <c r="CH174" s="1296"/>
      <c r="CI174" s="1296"/>
      <c r="CJ174" s="1296"/>
      <c r="CK174" s="1296"/>
    </row>
    <row r="175" spans="1:89" ht="15.75" thickBot="1" x14ac:dyDescent="0.3">
      <c r="A175" s="1296"/>
      <c r="B175" s="1725"/>
      <c r="C175" s="1197" t="s">
        <v>1845</v>
      </c>
      <c r="D175" s="1197" t="s">
        <v>1850</v>
      </c>
      <c r="E175" s="1198" t="s">
        <v>1851</v>
      </c>
      <c r="F175" s="1296"/>
      <c r="G175" s="1296"/>
      <c r="H175" s="1296"/>
      <c r="I175" s="1296"/>
      <c r="J175" s="1296"/>
      <c r="K175" s="1296"/>
      <c r="L175" s="1296"/>
      <c r="M175" s="1296"/>
      <c r="N175" s="1296"/>
      <c r="O175" s="1296"/>
      <c r="P175" s="1296"/>
      <c r="Q175" s="138"/>
      <c r="R175" s="1296"/>
      <c r="S175" s="1296"/>
      <c r="T175" s="1725"/>
      <c r="U175" s="1197" t="s">
        <v>1845</v>
      </c>
      <c r="V175" s="1197" t="s">
        <v>1850</v>
      </c>
      <c r="W175" s="1198" t="s">
        <v>1851</v>
      </c>
      <c r="X175" s="1296"/>
      <c r="Y175" s="1296"/>
      <c r="Z175" s="1296"/>
      <c r="AA175" s="1296"/>
      <c r="AB175" s="1296"/>
      <c r="AC175" s="1296"/>
      <c r="AD175" s="1296"/>
      <c r="AE175" s="1296"/>
      <c r="AF175" s="1296"/>
      <c r="AG175" s="1296"/>
      <c r="AH175" s="1296"/>
      <c r="AI175" s="138"/>
      <c r="AJ175" s="1296"/>
      <c r="AK175" s="1296"/>
      <c r="AL175" s="1296"/>
      <c r="AM175" s="1296"/>
      <c r="AN175" s="1296"/>
      <c r="AO175" s="1296"/>
      <c r="AP175" s="1296"/>
      <c r="AQ175" s="1296"/>
      <c r="AR175" s="1296"/>
      <c r="AS175" s="1296"/>
      <c r="AT175" s="1296"/>
      <c r="AU175" s="1296"/>
      <c r="AV175" s="1296"/>
      <c r="AW175" s="1296"/>
      <c r="AX175" s="1296"/>
      <c r="AY175" s="1296"/>
      <c r="AZ175" s="1296"/>
      <c r="BA175" s="1296"/>
      <c r="BB175" s="1296"/>
      <c r="BC175" s="1296"/>
      <c r="BD175" s="1296"/>
      <c r="BE175" s="1296"/>
      <c r="BF175" s="1296"/>
      <c r="BG175" s="1296"/>
      <c r="BH175" s="1296"/>
      <c r="BI175" s="1296"/>
      <c r="BJ175" s="1296"/>
      <c r="BK175" s="1296"/>
      <c r="BL175" s="1296"/>
      <c r="BM175" s="1296"/>
      <c r="BN175" s="1296"/>
      <c r="BO175" s="1296"/>
      <c r="BP175" s="1296"/>
      <c r="BQ175" s="1296"/>
      <c r="BR175" s="1296"/>
      <c r="BS175" s="1296"/>
      <c r="BT175" s="1296"/>
      <c r="BU175" s="1296"/>
      <c r="BV175" s="1296"/>
      <c r="BW175" s="1296"/>
      <c r="BX175" s="1296"/>
      <c r="BY175" s="1296"/>
      <c r="BZ175" s="1296"/>
      <c r="CA175" s="1296"/>
      <c r="CB175" s="1296"/>
      <c r="CC175" s="1296"/>
      <c r="CD175" s="1296"/>
      <c r="CE175" s="1296"/>
      <c r="CF175" s="1296"/>
      <c r="CG175" s="1296"/>
      <c r="CH175" s="1296"/>
      <c r="CI175" s="1296"/>
      <c r="CJ175" s="1296"/>
      <c r="CK175" s="1296"/>
    </row>
    <row r="176" spans="1:89" ht="15.75" customHeight="1" thickBot="1" x14ac:dyDescent="0.3">
      <c r="A176" s="1296"/>
      <c r="B176" s="1719" t="s">
        <v>1852</v>
      </c>
      <c r="C176" s="1258" t="s">
        <v>1853</v>
      </c>
      <c r="D176" s="1200" t="s">
        <v>1843</v>
      </c>
      <c r="E176" s="1200" t="s">
        <v>131</v>
      </c>
      <c r="F176" s="1200" t="s">
        <v>1844</v>
      </c>
      <c r="G176" s="1200" t="s">
        <v>1854</v>
      </c>
      <c r="H176" s="1201" t="s">
        <v>1855</v>
      </c>
      <c r="I176" s="1202" t="s">
        <v>767</v>
      </c>
      <c r="J176" s="1202" t="s">
        <v>768</v>
      </c>
      <c r="K176" s="1202" t="s">
        <v>769</v>
      </c>
      <c r="L176" s="1202" t="s">
        <v>770</v>
      </c>
      <c r="M176" s="1202" t="s">
        <v>204</v>
      </c>
      <c r="N176" s="1296"/>
      <c r="O176" s="1296"/>
      <c r="P176" s="1296"/>
      <c r="Q176" s="138"/>
      <c r="R176" s="1296"/>
      <c r="S176" s="1296"/>
      <c r="T176" s="1719" t="s">
        <v>1852</v>
      </c>
      <c r="U176" s="1258" t="s">
        <v>1853</v>
      </c>
      <c r="V176" s="1200" t="s">
        <v>1843</v>
      </c>
      <c r="W176" s="1200" t="s">
        <v>131</v>
      </c>
      <c r="X176" s="1200" t="s">
        <v>1844</v>
      </c>
      <c r="Y176" s="1200" t="s">
        <v>1854</v>
      </c>
      <c r="Z176" s="1201" t="s">
        <v>1855</v>
      </c>
      <c r="AA176" s="1202" t="s">
        <v>767</v>
      </c>
      <c r="AB176" s="1202" t="s">
        <v>768</v>
      </c>
      <c r="AC176" s="1202" t="s">
        <v>769</v>
      </c>
      <c r="AD176" s="1202" t="s">
        <v>770</v>
      </c>
      <c r="AE176" s="1202" t="s">
        <v>204</v>
      </c>
      <c r="AF176" s="1296"/>
      <c r="AG176" s="1296"/>
      <c r="AH176" s="1296"/>
      <c r="AI176" s="138"/>
      <c r="AJ176" s="1296"/>
      <c r="AK176" s="1296"/>
      <c r="AL176" s="1296"/>
      <c r="AM176" s="1296"/>
      <c r="AN176" s="1296"/>
      <c r="AO176" s="1296"/>
      <c r="AP176" s="1296"/>
      <c r="AQ176" s="1296"/>
      <c r="AR176" s="1296"/>
      <c r="AS176" s="1296"/>
      <c r="AT176" s="1296"/>
      <c r="AU176" s="1296"/>
      <c r="AV176" s="1296"/>
      <c r="AW176" s="1296"/>
      <c r="AX176" s="1296"/>
      <c r="AY176" s="1296"/>
      <c r="AZ176" s="1296"/>
      <c r="BA176" s="1296"/>
      <c r="BB176" s="1296"/>
      <c r="BC176" s="1296"/>
      <c r="BD176" s="1296"/>
      <c r="BE176" s="1296"/>
      <c r="BF176" s="1296"/>
      <c r="BG176" s="1296"/>
      <c r="BH176" s="1296"/>
      <c r="BI176" s="1296"/>
      <c r="BJ176" s="1296"/>
      <c r="BK176" s="1296"/>
      <c r="BL176" s="1296"/>
      <c r="BM176" s="1296"/>
      <c r="BN176" s="1296"/>
      <c r="BO176" s="1296"/>
      <c r="BP176" s="1296"/>
      <c r="BQ176" s="1296"/>
      <c r="BR176" s="1296"/>
      <c r="BS176" s="1296"/>
      <c r="BT176" s="1296"/>
      <c r="BU176" s="1296"/>
      <c r="BV176" s="1296"/>
      <c r="BW176" s="1296"/>
      <c r="BX176" s="1296"/>
      <c r="BY176" s="1296"/>
      <c r="BZ176" s="1296"/>
      <c r="CA176" s="1296"/>
      <c r="CB176" s="1296"/>
      <c r="CC176" s="1296"/>
      <c r="CD176" s="1296"/>
      <c r="CE176" s="1296"/>
      <c r="CF176" s="1296"/>
      <c r="CG176" s="1296"/>
      <c r="CH176" s="1296"/>
      <c r="CI176" s="1296"/>
      <c r="CJ176" s="1296"/>
      <c r="CK176" s="1296"/>
    </row>
    <row r="177" spans="1:89" x14ac:dyDescent="0.25">
      <c r="A177" s="1296"/>
      <c r="B177" s="1721"/>
      <c r="C177" s="1199">
        <v>1</v>
      </c>
      <c r="D177" s="1196" t="s">
        <v>1856</v>
      </c>
      <c r="E177" s="1196" t="s">
        <v>1444</v>
      </c>
      <c r="F177" s="1204" t="str">
        <f>'Required Info to Submit'!E23</f>
        <v/>
      </c>
      <c r="G177" s="1400" t="str">
        <f>IF(F177="","",'Required Info to Submit'!K23)</f>
        <v/>
      </c>
      <c r="H177" s="1401" t="str">
        <f>IF(F177="","",'Required Info to Submit'!L23)</f>
        <v/>
      </c>
      <c r="I177" s="1204" t="str">
        <f>'Required Info to Submit'!F23</f>
        <v/>
      </c>
      <c r="J177" s="1204" t="str">
        <f>'Required Info to Submit'!G23</f>
        <v/>
      </c>
      <c r="K177" s="1204" t="str">
        <f>'Required Info to Submit'!H23</f>
        <v/>
      </c>
      <c r="L177" s="1204" t="str">
        <f>'Required Info to Submit'!I23</f>
        <v/>
      </c>
      <c r="M177" s="1204" t="str">
        <f>'Required Info to Submit'!J23</f>
        <v/>
      </c>
      <c r="N177" s="1296"/>
      <c r="O177" s="1296"/>
      <c r="P177" s="1296"/>
      <c r="Q177" s="138"/>
      <c r="R177" s="1296"/>
      <c r="S177" s="1296"/>
      <c r="T177" s="1721"/>
      <c r="U177" s="1199">
        <v>1</v>
      </c>
      <c r="V177" s="1196" t="s">
        <v>1856</v>
      </c>
      <c r="W177" s="1196" t="s">
        <v>1444</v>
      </c>
      <c r="X177" s="1196" t="str">
        <f>'Required Info to Submit'!E23</f>
        <v/>
      </c>
      <c r="Y177" s="1393" t="str">
        <f>IF(X177="","",'Required Info to Submit'!K23)</f>
        <v/>
      </c>
      <c r="Z177" s="1394" t="str">
        <f>IF(X177="","",'Required Info to Submit'!L23)</f>
        <v/>
      </c>
      <c r="AA177" s="1196" t="str">
        <f>'Required Info to Submit'!F23</f>
        <v/>
      </c>
      <c r="AB177" s="1196" t="str">
        <f>'Required Info to Submit'!G23</f>
        <v/>
      </c>
      <c r="AC177" s="1196" t="str">
        <f>'Required Info to Submit'!H23</f>
        <v/>
      </c>
      <c r="AD177" s="1196" t="str">
        <f>'Required Info to Submit'!I23</f>
        <v/>
      </c>
      <c r="AE177" s="1196" t="str">
        <f>'Required Info to Submit'!J23</f>
        <v/>
      </c>
      <c r="AF177" s="1296"/>
      <c r="AG177" s="1296"/>
      <c r="AH177" s="1296"/>
      <c r="AI177" s="138"/>
      <c r="AJ177" s="1296"/>
      <c r="AK177" s="1296"/>
      <c r="AL177" s="1296"/>
      <c r="AM177" s="1296"/>
      <c r="AN177" s="1296"/>
      <c r="AO177" s="1296"/>
      <c r="AP177" s="1296"/>
      <c r="AQ177" s="1296"/>
      <c r="AR177" s="1296"/>
      <c r="AS177" s="1296"/>
      <c r="AT177" s="1296"/>
      <c r="AU177" s="1296"/>
      <c r="AV177" s="1296"/>
      <c r="AW177" s="1296"/>
      <c r="AX177" s="1296"/>
      <c r="AY177" s="1296"/>
      <c r="AZ177" s="1296"/>
      <c r="BA177" s="1296"/>
      <c r="BB177" s="1296"/>
      <c r="BC177" s="1296"/>
      <c r="BD177" s="1296"/>
      <c r="BE177" s="1296"/>
      <c r="BF177" s="1296"/>
      <c r="BG177" s="1296"/>
      <c r="BH177" s="1296"/>
      <c r="BI177" s="1296"/>
      <c r="BJ177" s="1296"/>
      <c r="BK177" s="1296"/>
      <c r="BL177" s="1296"/>
      <c r="BM177" s="1296"/>
      <c r="BN177" s="1296"/>
      <c r="BO177" s="1296"/>
      <c r="BP177" s="1296"/>
      <c r="BQ177" s="1296"/>
      <c r="BR177" s="1296"/>
      <c r="BS177" s="1296"/>
      <c r="BT177" s="1296"/>
      <c r="BU177" s="1296"/>
      <c r="BV177" s="1296"/>
      <c r="BW177" s="1296"/>
      <c r="BX177" s="1296"/>
      <c r="BY177" s="1296"/>
      <c r="BZ177" s="1296"/>
      <c r="CA177" s="1296"/>
      <c r="CB177" s="1296"/>
      <c r="CC177" s="1296"/>
      <c r="CD177" s="1296"/>
      <c r="CE177" s="1296"/>
      <c r="CF177" s="1296"/>
      <c r="CG177" s="1296"/>
      <c r="CH177" s="1296"/>
      <c r="CI177" s="1296"/>
      <c r="CJ177" s="1296"/>
      <c r="CK177" s="1296"/>
    </row>
    <row r="178" spans="1:89" x14ac:dyDescent="0.25">
      <c r="A178" s="1296"/>
      <c r="B178" s="1721"/>
      <c r="C178" s="1205">
        <v>2</v>
      </c>
      <c r="D178" s="1196" t="s">
        <v>1856</v>
      </c>
      <c r="E178" s="1196" t="s">
        <v>1444</v>
      </c>
      <c r="F178" s="1204" t="str">
        <f>'Required Info to Submit'!E24</f>
        <v/>
      </c>
      <c r="G178" s="1400" t="str">
        <f>IF(F178="","",'Required Info to Submit'!K24)</f>
        <v/>
      </c>
      <c r="H178" s="1401" t="str">
        <f>IF(F178="","",'Required Info to Submit'!L24)</f>
        <v/>
      </c>
      <c r="I178" s="1204" t="str">
        <f>'Required Info to Submit'!F24</f>
        <v/>
      </c>
      <c r="J178" s="1204" t="str">
        <f>'Required Info to Submit'!G24</f>
        <v/>
      </c>
      <c r="K178" s="1204" t="str">
        <f>'Required Info to Submit'!H24</f>
        <v/>
      </c>
      <c r="L178" s="1204" t="str">
        <f>'Required Info to Submit'!I24</f>
        <v/>
      </c>
      <c r="M178" s="1204" t="str">
        <f>'Required Info to Submit'!J24</f>
        <v/>
      </c>
      <c r="N178" s="1296"/>
      <c r="O178" s="1296"/>
      <c r="P178" s="1296"/>
      <c r="Q178" s="138"/>
      <c r="R178" s="1296"/>
      <c r="S178" s="1296"/>
      <c r="T178" s="1721"/>
      <c r="U178" s="1205">
        <v>2</v>
      </c>
      <c r="V178" s="1196" t="s">
        <v>1856</v>
      </c>
      <c r="W178" s="1196" t="s">
        <v>1444</v>
      </c>
      <c r="X178" s="1196" t="str">
        <f>'Required Info to Submit'!E24</f>
        <v/>
      </c>
      <c r="Y178" s="1393" t="str">
        <f>IF(X178="","",'Required Info to Submit'!K24)</f>
        <v/>
      </c>
      <c r="Z178" s="1394" t="str">
        <f>IF(X178="","",'Required Info to Submit'!L24)</f>
        <v/>
      </c>
      <c r="AA178" s="1196" t="str">
        <f>'Required Info to Submit'!F24</f>
        <v/>
      </c>
      <c r="AB178" s="1196" t="str">
        <f>'Required Info to Submit'!G24</f>
        <v/>
      </c>
      <c r="AC178" s="1196" t="str">
        <f>'Required Info to Submit'!H24</f>
        <v/>
      </c>
      <c r="AD178" s="1196" t="str">
        <f>'Required Info to Submit'!I24</f>
        <v/>
      </c>
      <c r="AE178" s="1196" t="str">
        <f>'Required Info to Submit'!J24</f>
        <v/>
      </c>
      <c r="AF178" s="1296"/>
      <c r="AG178" s="1296"/>
      <c r="AH178" s="1296"/>
      <c r="AI178" s="138"/>
      <c r="AJ178" s="1296"/>
      <c r="AK178" s="1296"/>
      <c r="AL178" s="1296"/>
      <c r="AM178" s="1296"/>
      <c r="AN178" s="1296"/>
      <c r="AO178" s="1296"/>
      <c r="AP178" s="1296"/>
      <c r="AQ178" s="1296"/>
      <c r="AR178" s="1296"/>
      <c r="AS178" s="1296"/>
      <c r="AT178" s="1296"/>
      <c r="AU178" s="1296"/>
      <c r="AV178" s="1296"/>
      <c r="AW178" s="1296"/>
      <c r="AX178" s="1296"/>
      <c r="AY178" s="1296"/>
      <c r="AZ178" s="1296"/>
      <c r="BA178" s="1296"/>
      <c r="BB178" s="1296"/>
      <c r="BC178" s="1296"/>
      <c r="BD178" s="1296"/>
      <c r="BE178" s="1296"/>
      <c r="BF178" s="1296"/>
      <c r="BG178" s="1296"/>
      <c r="BH178" s="1296"/>
      <c r="BI178" s="1296"/>
      <c r="BJ178" s="1296"/>
      <c r="BK178" s="1296"/>
      <c r="BL178" s="1296"/>
      <c r="BM178" s="1296"/>
      <c r="BN178" s="1296"/>
      <c r="BO178" s="1296"/>
      <c r="BP178" s="1296"/>
      <c r="BQ178" s="1296"/>
      <c r="BR178" s="1296"/>
      <c r="BS178" s="1296"/>
      <c r="BT178" s="1296"/>
      <c r="BU178" s="1296"/>
      <c r="BV178" s="1296"/>
      <c r="BW178" s="1296"/>
      <c r="BX178" s="1296"/>
      <c r="BY178" s="1296"/>
      <c r="BZ178" s="1296"/>
      <c r="CA178" s="1296"/>
      <c r="CB178" s="1296"/>
      <c r="CC178" s="1296"/>
      <c r="CD178" s="1296"/>
      <c r="CE178" s="1296"/>
      <c r="CF178" s="1296"/>
      <c r="CG178" s="1296"/>
      <c r="CH178" s="1296"/>
      <c r="CI178" s="1296"/>
      <c r="CJ178" s="1296"/>
      <c r="CK178" s="1296"/>
    </row>
    <row r="179" spans="1:89" x14ac:dyDescent="0.25">
      <c r="A179" s="1296"/>
      <c r="B179" s="1721"/>
      <c r="C179" s="1205">
        <v>3</v>
      </c>
      <c r="D179" s="1196" t="s">
        <v>1856</v>
      </c>
      <c r="E179" s="1196" t="s">
        <v>1444</v>
      </c>
      <c r="F179" s="1204" t="str">
        <f>'Required Info to Submit'!E25</f>
        <v/>
      </c>
      <c r="G179" s="1400" t="str">
        <f>IF(F179="","",'Required Info to Submit'!K25)</f>
        <v/>
      </c>
      <c r="H179" s="1401" t="str">
        <f>IF(F179="","",'Required Info to Submit'!L25)</f>
        <v/>
      </c>
      <c r="I179" s="1204" t="str">
        <f>'Required Info to Submit'!F25</f>
        <v/>
      </c>
      <c r="J179" s="1204" t="str">
        <f>'Required Info to Submit'!G25</f>
        <v/>
      </c>
      <c r="K179" s="1204" t="str">
        <f>'Required Info to Submit'!H25</f>
        <v/>
      </c>
      <c r="L179" s="1204" t="str">
        <f>'Required Info to Submit'!I25</f>
        <v/>
      </c>
      <c r="M179" s="1204" t="str">
        <f>'Required Info to Submit'!J25</f>
        <v/>
      </c>
      <c r="N179" s="1296"/>
      <c r="O179" s="1296"/>
      <c r="P179" s="1296"/>
      <c r="Q179" s="138"/>
      <c r="R179" s="1296"/>
      <c r="S179" s="1296"/>
      <c r="T179" s="1721"/>
      <c r="U179" s="1205">
        <v>3</v>
      </c>
      <c r="V179" s="1196" t="s">
        <v>1856</v>
      </c>
      <c r="W179" s="1196" t="s">
        <v>1444</v>
      </c>
      <c r="X179" s="1196" t="str">
        <f>'Required Info to Submit'!E25</f>
        <v/>
      </c>
      <c r="Y179" s="1393" t="str">
        <f>IF(X179="","",'Required Info to Submit'!K25)</f>
        <v/>
      </c>
      <c r="Z179" s="1394" t="str">
        <f>IF(X179="","",'Required Info to Submit'!L25)</f>
        <v/>
      </c>
      <c r="AA179" s="1196" t="str">
        <f>'Required Info to Submit'!F25</f>
        <v/>
      </c>
      <c r="AB179" s="1196" t="str">
        <f>'Required Info to Submit'!G25</f>
        <v/>
      </c>
      <c r="AC179" s="1196" t="str">
        <f>'Required Info to Submit'!H25</f>
        <v/>
      </c>
      <c r="AD179" s="1196" t="str">
        <f>'Required Info to Submit'!I25</f>
        <v/>
      </c>
      <c r="AE179" s="1196" t="str">
        <f>'Required Info to Submit'!J25</f>
        <v/>
      </c>
      <c r="AF179" s="1296"/>
      <c r="AG179" s="1296"/>
      <c r="AH179" s="1296"/>
      <c r="AI179" s="138"/>
      <c r="AJ179" s="1296"/>
      <c r="AK179" s="1296"/>
      <c r="AL179" s="1296"/>
      <c r="AM179" s="1296"/>
      <c r="AN179" s="1296"/>
      <c r="AO179" s="1296"/>
      <c r="AP179" s="1296"/>
      <c r="AQ179" s="1296"/>
      <c r="AR179" s="1296"/>
      <c r="AS179" s="1296"/>
      <c r="AT179" s="1296"/>
      <c r="AU179" s="1296"/>
      <c r="AV179" s="1296"/>
      <c r="AW179" s="1296"/>
      <c r="AX179" s="1296"/>
      <c r="AY179" s="1296"/>
      <c r="AZ179" s="1296"/>
      <c r="BA179" s="1296"/>
      <c r="BB179" s="1296"/>
      <c r="BC179" s="1296"/>
      <c r="BD179" s="1296"/>
      <c r="BE179" s="1296"/>
      <c r="BF179" s="1296"/>
      <c r="BG179" s="1296"/>
      <c r="BH179" s="1296"/>
      <c r="BI179" s="1296"/>
      <c r="BJ179" s="1296"/>
      <c r="BK179" s="1296"/>
      <c r="BL179" s="1296"/>
      <c r="BM179" s="1296"/>
      <c r="BN179" s="1296"/>
      <c r="BO179" s="1296"/>
      <c r="BP179" s="1296"/>
      <c r="BQ179" s="1296"/>
      <c r="BR179" s="1296"/>
      <c r="BS179" s="1296"/>
      <c r="BT179" s="1296"/>
      <c r="BU179" s="1296"/>
      <c r="BV179" s="1296"/>
      <c r="BW179" s="1296"/>
      <c r="BX179" s="1296"/>
      <c r="BY179" s="1296"/>
      <c r="BZ179" s="1296"/>
      <c r="CA179" s="1296"/>
      <c r="CB179" s="1296"/>
      <c r="CC179" s="1296"/>
      <c r="CD179" s="1296"/>
      <c r="CE179" s="1296"/>
      <c r="CF179" s="1296"/>
      <c r="CG179" s="1296"/>
      <c r="CH179" s="1296"/>
      <c r="CI179" s="1296"/>
      <c r="CJ179" s="1296"/>
      <c r="CK179" s="1296"/>
    </row>
    <row r="180" spans="1:89" x14ac:dyDescent="0.25">
      <c r="A180" s="1296"/>
      <c r="B180" s="1721"/>
      <c r="C180" s="1205">
        <v>4</v>
      </c>
      <c r="D180" s="1196" t="s">
        <v>1856</v>
      </c>
      <c r="E180" s="1196" t="s">
        <v>1444</v>
      </c>
      <c r="F180" s="1204" t="str">
        <f>'Required Info to Submit'!E26</f>
        <v/>
      </c>
      <c r="G180" s="1400" t="str">
        <f>IF(F180="","",'Required Info to Submit'!K26)</f>
        <v/>
      </c>
      <c r="H180" s="1401" t="str">
        <f>IF(F180="","",'Required Info to Submit'!L26)</f>
        <v/>
      </c>
      <c r="I180" s="1204" t="str">
        <f>'Required Info to Submit'!F26</f>
        <v/>
      </c>
      <c r="J180" s="1204" t="str">
        <f>'Required Info to Submit'!G26</f>
        <v/>
      </c>
      <c r="K180" s="1204" t="str">
        <f>'Required Info to Submit'!H26</f>
        <v/>
      </c>
      <c r="L180" s="1204" t="str">
        <f>'Required Info to Submit'!I26</f>
        <v/>
      </c>
      <c r="M180" s="1204" t="str">
        <f>'Required Info to Submit'!J26</f>
        <v/>
      </c>
      <c r="N180" s="1296"/>
      <c r="O180" s="1296"/>
      <c r="P180" s="1296"/>
      <c r="Q180" s="138"/>
      <c r="R180" s="1296"/>
      <c r="S180" s="1296"/>
      <c r="T180" s="1721"/>
      <c r="U180" s="1205">
        <v>4</v>
      </c>
      <c r="V180" s="1196" t="s">
        <v>1856</v>
      </c>
      <c r="W180" s="1196" t="s">
        <v>1444</v>
      </c>
      <c r="X180" s="1196" t="str">
        <f>'Required Info to Submit'!E26</f>
        <v/>
      </c>
      <c r="Y180" s="1393" t="str">
        <f>IF(X180="","",'Required Info to Submit'!K26)</f>
        <v/>
      </c>
      <c r="Z180" s="1394" t="str">
        <f>IF(X180="","",'Required Info to Submit'!L26)</f>
        <v/>
      </c>
      <c r="AA180" s="1196" t="str">
        <f>'Required Info to Submit'!F26</f>
        <v/>
      </c>
      <c r="AB180" s="1196" t="str">
        <f>'Required Info to Submit'!G26</f>
        <v/>
      </c>
      <c r="AC180" s="1196" t="str">
        <f>'Required Info to Submit'!H26</f>
        <v/>
      </c>
      <c r="AD180" s="1196" t="str">
        <f>'Required Info to Submit'!I26</f>
        <v/>
      </c>
      <c r="AE180" s="1196" t="str">
        <f>'Required Info to Submit'!J26</f>
        <v/>
      </c>
      <c r="AF180" s="1296"/>
      <c r="AG180" s="1296"/>
      <c r="AH180" s="1296"/>
      <c r="AI180" s="138"/>
      <c r="AJ180" s="1296"/>
      <c r="AK180" s="1296"/>
      <c r="AL180" s="1296"/>
      <c r="AM180" s="1296"/>
      <c r="AN180" s="1296"/>
      <c r="AO180" s="1296"/>
      <c r="AP180" s="1296"/>
      <c r="AQ180" s="1296"/>
      <c r="AR180" s="1296"/>
      <c r="AS180" s="1296"/>
      <c r="AT180" s="1296"/>
      <c r="AU180" s="1296"/>
      <c r="AV180" s="1296"/>
      <c r="AW180" s="1296"/>
      <c r="AX180" s="1296"/>
      <c r="AY180" s="1296"/>
      <c r="AZ180" s="1296"/>
      <c r="BA180" s="1296"/>
      <c r="BB180" s="1296"/>
      <c r="BC180" s="1296"/>
      <c r="BD180" s="1296"/>
      <c r="BE180" s="1296"/>
      <c r="BF180" s="1296"/>
      <c r="BG180" s="1296"/>
      <c r="BH180" s="1296"/>
      <c r="BI180" s="1296"/>
      <c r="BJ180" s="1296"/>
      <c r="BK180" s="1296"/>
      <c r="BL180" s="1296"/>
      <c r="BM180" s="1296"/>
      <c r="BN180" s="1296"/>
      <c r="BO180" s="1296"/>
      <c r="BP180" s="1296"/>
      <c r="BQ180" s="1296"/>
      <c r="BR180" s="1296"/>
      <c r="BS180" s="1296"/>
      <c r="BT180" s="1296"/>
      <c r="BU180" s="1296"/>
      <c r="BV180" s="1296"/>
      <c r="BW180" s="1296"/>
      <c r="BX180" s="1296"/>
      <c r="BY180" s="1296"/>
      <c r="BZ180" s="1296"/>
      <c r="CA180" s="1296"/>
      <c r="CB180" s="1296"/>
      <c r="CC180" s="1296"/>
      <c r="CD180" s="1296"/>
      <c r="CE180" s="1296"/>
      <c r="CF180" s="1296"/>
      <c r="CG180" s="1296"/>
      <c r="CH180" s="1296"/>
      <c r="CI180" s="1296"/>
      <c r="CJ180" s="1296"/>
      <c r="CK180" s="1296"/>
    </row>
    <row r="181" spans="1:89" x14ac:dyDescent="0.25">
      <c r="A181" s="1296"/>
      <c r="B181" s="1721"/>
      <c r="C181" s="1205">
        <v>5</v>
      </c>
      <c r="D181" s="1196" t="s">
        <v>1856</v>
      </c>
      <c r="E181" s="1196" t="s">
        <v>1444</v>
      </c>
      <c r="F181" s="1204" t="str">
        <f>'Required Info to Submit'!E27</f>
        <v/>
      </c>
      <c r="G181" s="1400" t="str">
        <f>IF(F181="","",'Required Info to Submit'!K27)</f>
        <v/>
      </c>
      <c r="H181" s="1401" t="str">
        <f>IF(F181="","",'Required Info to Submit'!L27)</f>
        <v/>
      </c>
      <c r="I181" s="1204" t="str">
        <f>'Required Info to Submit'!F27</f>
        <v/>
      </c>
      <c r="J181" s="1204" t="str">
        <f>'Required Info to Submit'!G27</f>
        <v/>
      </c>
      <c r="K181" s="1204" t="str">
        <f>'Required Info to Submit'!H27</f>
        <v/>
      </c>
      <c r="L181" s="1204" t="str">
        <f>'Required Info to Submit'!I27</f>
        <v/>
      </c>
      <c r="M181" s="1204" t="str">
        <f>'Required Info to Submit'!J27</f>
        <v/>
      </c>
      <c r="N181" s="1296"/>
      <c r="O181" s="1296"/>
      <c r="P181" s="1296"/>
      <c r="Q181" s="138"/>
      <c r="R181" s="1296"/>
      <c r="S181" s="1296"/>
      <c r="T181" s="1721"/>
      <c r="U181" s="1205">
        <v>5</v>
      </c>
      <c r="V181" s="1196" t="s">
        <v>1856</v>
      </c>
      <c r="W181" s="1196" t="s">
        <v>1444</v>
      </c>
      <c r="X181" s="1196" t="str">
        <f>'Required Info to Submit'!E27</f>
        <v/>
      </c>
      <c r="Y181" s="1393" t="str">
        <f>IF(X181="","",'Required Info to Submit'!K27)</f>
        <v/>
      </c>
      <c r="Z181" s="1394" t="str">
        <f>IF(X181="","",'Required Info to Submit'!L27)</f>
        <v/>
      </c>
      <c r="AA181" s="1196" t="str">
        <f>'Required Info to Submit'!F27</f>
        <v/>
      </c>
      <c r="AB181" s="1196" t="str">
        <f>'Required Info to Submit'!G27</f>
        <v/>
      </c>
      <c r="AC181" s="1196" t="str">
        <f>'Required Info to Submit'!H27</f>
        <v/>
      </c>
      <c r="AD181" s="1196" t="str">
        <f>'Required Info to Submit'!I27</f>
        <v/>
      </c>
      <c r="AE181" s="1196" t="str">
        <f>'Required Info to Submit'!J27</f>
        <v/>
      </c>
      <c r="AF181" s="1296"/>
      <c r="AG181" s="1296"/>
      <c r="AH181" s="1296"/>
      <c r="AI181" s="138"/>
      <c r="AJ181" s="1296"/>
      <c r="AK181" s="1296"/>
      <c r="AL181" s="1296"/>
      <c r="AM181" s="1296"/>
      <c r="AN181" s="1296"/>
      <c r="AO181" s="1296"/>
      <c r="AP181" s="1296"/>
      <c r="AQ181" s="1296"/>
      <c r="AR181" s="1296"/>
      <c r="AS181" s="1296"/>
      <c r="AT181" s="1296"/>
      <c r="AU181" s="1296"/>
      <c r="AV181" s="1296"/>
      <c r="AW181" s="1296"/>
      <c r="AX181" s="1296"/>
      <c r="AY181" s="1296"/>
      <c r="AZ181" s="1296"/>
      <c r="BA181" s="1296"/>
      <c r="BB181" s="1296"/>
      <c r="BC181" s="1296"/>
      <c r="BD181" s="1296"/>
      <c r="BE181" s="1296"/>
      <c r="BF181" s="1296"/>
      <c r="BG181" s="1296"/>
      <c r="BH181" s="1296"/>
      <c r="BI181" s="1296"/>
      <c r="BJ181" s="1296"/>
      <c r="BK181" s="1296"/>
      <c r="BL181" s="1296"/>
      <c r="BM181" s="1296"/>
      <c r="BN181" s="1296"/>
      <c r="BO181" s="1296"/>
      <c r="BP181" s="1296"/>
      <c r="BQ181" s="1296"/>
      <c r="BR181" s="1296"/>
      <c r="BS181" s="1296"/>
      <c r="BT181" s="1296"/>
      <c r="BU181" s="1296"/>
      <c r="BV181" s="1296"/>
      <c r="BW181" s="1296"/>
      <c r="BX181" s="1296"/>
      <c r="BY181" s="1296"/>
      <c r="BZ181" s="1296"/>
      <c r="CA181" s="1296"/>
      <c r="CB181" s="1296"/>
      <c r="CC181" s="1296"/>
      <c r="CD181" s="1296"/>
      <c r="CE181" s="1296"/>
      <c r="CF181" s="1296"/>
      <c r="CG181" s="1296"/>
      <c r="CH181" s="1296"/>
      <c r="CI181" s="1296"/>
      <c r="CJ181" s="1296"/>
      <c r="CK181" s="1296"/>
    </row>
    <row r="182" spans="1:89" x14ac:dyDescent="0.25">
      <c r="A182" s="1296"/>
      <c r="B182" s="1721"/>
      <c r="C182" s="1205">
        <v>6</v>
      </c>
      <c r="D182" s="1196" t="s">
        <v>1856</v>
      </c>
      <c r="E182" s="1196" t="s">
        <v>1444</v>
      </c>
      <c r="F182" s="1204" t="str">
        <f>'Required Info to Submit'!E28</f>
        <v/>
      </c>
      <c r="G182" s="1400" t="str">
        <f>IF(F182="","",'Required Info to Submit'!K28)</f>
        <v/>
      </c>
      <c r="H182" s="1401" t="str">
        <f>IF(F182="","",'Required Info to Submit'!L28)</f>
        <v/>
      </c>
      <c r="I182" s="1204" t="str">
        <f>'Required Info to Submit'!F28</f>
        <v/>
      </c>
      <c r="J182" s="1204" t="str">
        <f>'Required Info to Submit'!G28</f>
        <v/>
      </c>
      <c r="K182" s="1204" t="str">
        <f>'Required Info to Submit'!H28</f>
        <v/>
      </c>
      <c r="L182" s="1204" t="str">
        <f>'Required Info to Submit'!I28</f>
        <v/>
      </c>
      <c r="M182" s="1204" t="str">
        <f>'Required Info to Submit'!J28</f>
        <v/>
      </c>
      <c r="N182" s="1296"/>
      <c r="O182" s="1296"/>
      <c r="P182" s="1296"/>
      <c r="Q182" s="138"/>
      <c r="R182" s="1296"/>
      <c r="S182" s="1296"/>
      <c r="T182" s="1721"/>
      <c r="U182" s="1205">
        <v>6</v>
      </c>
      <c r="V182" s="1196" t="s">
        <v>1856</v>
      </c>
      <c r="W182" s="1196" t="s">
        <v>1444</v>
      </c>
      <c r="X182" s="1196" t="str">
        <f>'Required Info to Submit'!E28</f>
        <v/>
      </c>
      <c r="Y182" s="1393" t="str">
        <f>IF(X182="","",'Required Info to Submit'!K28)</f>
        <v/>
      </c>
      <c r="Z182" s="1394" t="str">
        <f>IF(X182="","",'Required Info to Submit'!L28)</f>
        <v/>
      </c>
      <c r="AA182" s="1196" t="str">
        <f>'Required Info to Submit'!F28</f>
        <v/>
      </c>
      <c r="AB182" s="1196" t="str">
        <f>'Required Info to Submit'!G28</f>
        <v/>
      </c>
      <c r="AC182" s="1196" t="str">
        <f>'Required Info to Submit'!H28</f>
        <v/>
      </c>
      <c r="AD182" s="1196" t="str">
        <f>'Required Info to Submit'!I28</f>
        <v/>
      </c>
      <c r="AE182" s="1196" t="str">
        <f>'Required Info to Submit'!J28</f>
        <v/>
      </c>
      <c r="AF182" s="1296"/>
      <c r="AG182" s="1296"/>
      <c r="AH182" s="1296"/>
      <c r="AI182" s="138"/>
      <c r="AJ182" s="1296"/>
      <c r="AK182" s="1296"/>
      <c r="AL182" s="1296"/>
      <c r="AM182" s="1296"/>
      <c r="AN182" s="1296"/>
      <c r="AO182" s="1296"/>
      <c r="AP182" s="1296"/>
      <c r="AQ182" s="1296"/>
      <c r="AR182" s="1296"/>
      <c r="AS182" s="1296"/>
      <c r="AT182" s="1296"/>
      <c r="AU182" s="1296"/>
      <c r="AV182" s="1296"/>
      <c r="AW182" s="1296"/>
      <c r="AX182" s="1296"/>
      <c r="AY182" s="1296"/>
      <c r="AZ182" s="1296"/>
      <c r="BA182" s="1296"/>
      <c r="BB182" s="1296"/>
      <c r="BC182" s="1296"/>
      <c r="BD182" s="1296"/>
      <c r="BE182" s="1296"/>
      <c r="BF182" s="1296"/>
      <c r="BG182" s="1296"/>
      <c r="BH182" s="1296"/>
      <c r="BI182" s="1296"/>
      <c r="BJ182" s="1296"/>
      <c r="BK182" s="1296"/>
      <c r="BL182" s="1296"/>
      <c r="BM182" s="1296"/>
      <c r="BN182" s="1296"/>
      <c r="BO182" s="1296"/>
      <c r="BP182" s="1296"/>
      <c r="BQ182" s="1296"/>
      <c r="BR182" s="1296"/>
      <c r="BS182" s="1296"/>
      <c r="BT182" s="1296"/>
      <c r="BU182" s="1296"/>
      <c r="BV182" s="1296"/>
      <c r="BW182" s="1296"/>
      <c r="BX182" s="1296"/>
      <c r="BY182" s="1296"/>
      <c r="BZ182" s="1296"/>
      <c r="CA182" s="1296"/>
      <c r="CB182" s="1296"/>
      <c r="CC182" s="1296"/>
      <c r="CD182" s="1296"/>
      <c r="CE182" s="1296"/>
      <c r="CF182" s="1296"/>
      <c r="CG182" s="1296"/>
      <c r="CH182" s="1296"/>
      <c r="CI182" s="1296"/>
      <c r="CJ182" s="1296"/>
      <c r="CK182" s="1296"/>
    </row>
    <row r="183" spans="1:89" x14ac:dyDescent="0.25">
      <c r="A183" s="1296"/>
      <c r="B183" s="1721"/>
      <c r="C183" s="1205">
        <v>7</v>
      </c>
      <c r="D183" s="1196" t="s">
        <v>1856</v>
      </c>
      <c r="E183" s="1196" t="s">
        <v>1444</v>
      </c>
      <c r="F183" s="1204" t="str">
        <f>'Required Info to Submit'!E29</f>
        <v/>
      </c>
      <c r="G183" s="1400" t="str">
        <f>IF(F183="","",'Required Info to Submit'!K29)</f>
        <v/>
      </c>
      <c r="H183" s="1401" t="str">
        <f>IF(F183="","",'Required Info to Submit'!L29)</f>
        <v/>
      </c>
      <c r="I183" s="1204" t="str">
        <f>'Required Info to Submit'!F29</f>
        <v/>
      </c>
      <c r="J183" s="1204" t="str">
        <f>'Required Info to Submit'!G29</f>
        <v/>
      </c>
      <c r="K183" s="1204" t="str">
        <f>'Required Info to Submit'!H29</f>
        <v/>
      </c>
      <c r="L183" s="1204" t="str">
        <f>'Required Info to Submit'!I29</f>
        <v/>
      </c>
      <c r="M183" s="1204" t="str">
        <f>'Required Info to Submit'!J29</f>
        <v/>
      </c>
      <c r="N183" s="1296"/>
      <c r="O183" s="1296"/>
      <c r="P183" s="1296"/>
      <c r="Q183" s="138"/>
      <c r="R183" s="1296"/>
      <c r="S183" s="1296"/>
      <c r="T183" s="1721"/>
      <c r="U183" s="1205">
        <v>7</v>
      </c>
      <c r="V183" s="1196" t="s">
        <v>1856</v>
      </c>
      <c r="W183" s="1196" t="s">
        <v>1444</v>
      </c>
      <c r="X183" s="1196" t="str">
        <f>'Required Info to Submit'!E29</f>
        <v/>
      </c>
      <c r="Y183" s="1393" t="str">
        <f>IF(X183="","",'Required Info to Submit'!K29)</f>
        <v/>
      </c>
      <c r="Z183" s="1394" t="str">
        <f>IF(X183="","",'Required Info to Submit'!L29)</f>
        <v/>
      </c>
      <c r="AA183" s="1196" t="str">
        <f>'Required Info to Submit'!F29</f>
        <v/>
      </c>
      <c r="AB183" s="1196" t="str">
        <f>'Required Info to Submit'!G29</f>
        <v/>
      </c>
      <c r="AC183" s="1196" t="str">
        <f>'Required Info to Submit'!H29</f>
        <v/>
      </c>
      <c r="AD183" s="1196" t="str">
        <f>'Required Info to Submit'!I29</f>
        <v/>
      </c>
      <c r="AE183" s="1196" t="str">
        <f>'Required Info to Submit'!J29</f>
        <v/>
      </c>
      <c r="AF183" s="1296"/>
      <c r="AG183" s="1296"/>
      <c r="AH183" s="1296"/>
      <c r="AI183" s="138"/>
      <c r="AJ183" s="1296"/>
      <c r="AK183" s="1296"/>
      <c r="AL183" s="1296"/>
      <c r="AM183" s="1296"/>
      <c r="AN183" s="1296"/>
      <c r="AO183" s="1296"/>
      <c r="AP183" s="1296"/>
      <c r="AQ183" s="1296"/>
      <c r="AR183" s="1296"/>
      <c r="AS183" s="1296"/>
      <c r="AT183" s="1296"/>
      <c r="AU183" s="1296"/>
      <c r="AV183" s="1296"/>
      <c r="AW183" s="1296"/>
      <c r="AX183" s="1296"/>
      <c r="AY183" s="1296"/>
      <c r="AZ183" s="1296"/>
      <c r="BA183" s="1296"/>
      <c r="BB183" s="1296"/>
      <c r="BC183" s="1296"/>
      <c r="BD183" s="1296"/>
      <c r="BE183" s="1296"/>
      <c r="BF183" s="1296"/>
      <c r="BG183" s="1296"/>
      <c r="BH183" s="1296"/>
      <c r="BI183" s="1296"/>
      <c r="BJ183" s="1296"/>
      <c r="BK183" s="1296"/>
      <c r="BL183" s="1296"/>
      <c r="BM183" s="1296"/>
      <c r="BN183" s="1296"/>
      <c r="BO183" s="1296"/>
      <c r="BP183" s="1296"/>
      <c r="BQ183" s="1296"/>
      <c r="BR183" s="1296"/>
      <c r="BS183" s="1296"/>
      <c r="BT183" s="1296"/>
      <c r="BU183" s="1296"/>
      <c r="BV183" s="1296"/>
      <c r="BW183" s="1296"/>
      <c r="BX183" s="1296"/>
      <c r="BY183" s="1296"/>
      <c r="BZ183" s="1296"/>
      <c r="CA183" s="1296"/>
      <c r="CB183" s="1296"/>
      <c r="CC183" s="1296"/>
      <c r="CD183" s="1296"/>
      <c r="CE183" s="1296"/>
      <c r="CF183" s="1296"/>
      <c r="CG183" s="1296"/>
      <c r="CH183" s="1296"/>
      <c r="CI183" s="1296"/>
      <c r="CJ183" s="1296"/>
      <c r="CK183" s="1296"/>
    </row>
    <row r="184" spans="1:89" x14ac:dyDescent="0.25">
      <c r="A184" s="1296"/>
      <c r="B184" s="1721"/>
      <c r="C184" s="1205">
        <v>8</v>
      </c>
      <c r="D184" s="1196" t="s">
        <v>1856</v>
      </c>
      <c r="E184" s="1196" t="s">
        <v>1444</v>
      </c>
      <c r="F184" s="1204" t="str">
        <f>'Required Info to Submit'!E30</f>
        <v/>
      </c>
      <c r="G184" s="1400" t="str">
        <f>IF(F184="","",'Required Info to Submit'!K30)</f>
        <v/>
      </c>
      <c r="H184" s="1401" t="str">
        <f>IF(F184="","",'Required Info to Submit'!L30)</f>
        <v/>
      </c>
      <c r="I184" s="1204" t="str">
        <f>'Required Info to Submit'!F30</f>
        <v/>
      </c>
      <c r="J184" s="1204" t="str">
        <f>'Required Info to Submit'!G30</f>
        <v/>
      </c>
      <c r="K184" s="1204" t="str">
        <f>'Required Info to Submit'!H30</f>
        <v/>
      </c>
      <c r="L184" s="1204" t="str">
        <f>'Required Info to Submit'!I30</f>
        <v/>
      </c>
      <c r="M184" s="1204" t="str">
        <f>'Required Info to Submit'!J30</f>
        <v/>
      </c>
      <c r="N184" s="1296"/>
      <c r="O184" s="1296"/>
      <c r="P184" s="1296"/>
      <c r="Q184" s="138"/>
      <c r="R184" s="1296"/>
      <c r="S184" s="1296"/>
      <c r="T184" s="1721"/>
      <c r="U184" s="1205">
        <v>8</v>
      </c>
      <c r="V184" s="1196" t="s">
        <v>1856</v>
      </c>
      <c r="W184" s="1196" t="s">
        <v>1444</v>
      </c>
      <c r="X184" s="1196" t="str">
        <f>'Required Info to Submit'!E30</f>
        <v/>
      </c>
      <c r="Y184" s="1393" t="str">
        <f>IF(X184="","",'Required Info to Submit'!K30)</f>
        <v/>
      </c>
      <c r="Z184" s="1394" t="str">
        <f>IF(X184="","",'Required Info to Submit'!L30)</f>
        <v/>
      </c>
      <c r="AA184" s="1196" t="str">
        <f>'Required Info to Submit'!F30</f>
        <v/>
      </c>
      <c r="AB184" s="1196" t="str">
        <f>'Required Info to Submit'!G30</f>
        <v/>
      </c>
      <c r="AC184" s="1196" t="str">
        <f>'Required Info to Submit'!H30</f>
        <v/>
      </c>
      <c r="AD184" s="1196" t="str">
        <f>'Required Info to Submit'!I30</f>
        <v/>
      </c>
      <c r="AE184" s="1196" t="str">
        <f>'Required Info to Submit'!J30</f>
        <v/>
      </c>
      <c r="AF184" s="1296"/>
      <c r="AG184" s="1296"/>
      <c r="AH184" s="1296"/>
      <c r="AI184" s="138"/>
      <c r="AJ184" s="1296"/>
      <c r="AK184" s="1296"/>
      <c r="AL184" s="1296"/>
      <c r="AM184" s="1296"/>
      <c r="AN184" s="1296"/>
      <c r="AO184" s="1296"/>
      <c r="AP184" s="1296"/>
      <c r="AQ184" s="1296"/>
      <c r="AR184" s="1296"/>
      <c r="AS184" s="1296"/>
      <c r="AT184" s="1296"/>
      <c r="AU184" s="1296"/>
      <c r="AV184" s="1296"/>
      <c r="AW184" s="1296"/>
      <c r="AX184" s="1296"/>
      <c r="AY184" s="1296"/>
      <c r="AZ184" s="1296"/>
      <c r="BA184" s="1296"/>
      <c r="BB184" s="1296"/>
      <c r="BC184" s="1296"/>
      <c r="BD184" s="1296"/>
      <c r="BE184" s="1296"/>
      <c r="BF184" s="1296"/>
      <c r="BG184" s="1296"/>
      <c r="BH184" s="1296"/>
      <c r="BI184" s="1296"/>
      <c r="BJ184" s="1296"/>
      <c r="BK184" s="1296"/>
      <c r="BL184" s="1296"/>
      <c r="BM184" s="1296"/>
      <c r="BN184" s="1296"/>
      <c r="BO184" s="1296"/>
      <c r="BP184" s="1296"/>
      <c r="BQ184" s="1296"/>
      <c r="BR184" s="1296"/>
      <c r="BS184" s="1296"/>
      <c r="BT184" s="1296"/>
      <c r="BU184" s="1296"/>
      <c r="BV184" s="1296"/>
      <c r="BW184" s="1296"/>
      <c r="BX184" s="1296"/>
      <c r="BY184" s="1296"/>
      <c r="BZ184" s="1296"/>
      <c r="CA184" s="1296"/>
      <c r="CB184" s="1296"/>
      <c r="CC184" s="1296"/>
      <c r="CD184" s="1296"/>
      <c r="CE184" s="1296"/>
      <c r="CF184" s="1296"/>
      <c r="CG184" s="1296"/>
      <c r="CH184" s="1296"/>
      <c r="CI184" s="1296"/>
      <c r="CJ184" s="1296"/>
      <c r="CK184" s="1296"/>
    </row>
    <row r="185" spans="1:89" x14ac:dyDescent="0.25">
      <c r="A185" s="1296"/>
      <c r="B185" s="1721"/>
      <c r="C185" s="1205">
        <v>9</v>
      </c>
      <c r="D185" s="1196" t="s">
        <v>1856</v>
      </c>
      <c r="E185" s="1196" t="s">
        <v>1444</v>
      </c>
      <c r="F185" s="1204" t="str">
        <f>'Required Info to Submit'!E31</f>
        <v/>
      </c>
      <c r="G185" s="1400" t="str">
        <f>IF(F185="","",'Required Info to Submit'!K31)</f>
        <v/>
      </c>
      <c r="H185" s="1401" t="str">
        <f>IF(F185="","",'Required Info to Submit'!L31)</f>
        <v/>
      </c>
      <c r="I185" s="1204" t="str">
        <f>'Required Info to Submit'!F31</f>
        <v/>
      </c>
      <c r="J185" s="1204" t="str">
        <f>'Required Info to Submit'!G31</f>
        <v/>
      </c>
      <c r="K185" s="1204" t="str">
        <f>'Required Info to Submit'!H31</f>
        <v/>
      </c>
      <c r="L185" s="1204" t="str">
        <f>'Required Info to Submit'!I31</f>
        <v/>
      </c>
      <c r="M185" s="1204" t="str">
        <f>'Required Info to Submit'!J31</f>
        <v/>
      </c>
      <c r="N185" s="1296"/>
      <c r="O185" s="1296"/>
      <c r="P185" s="1296"/>
      <c r="Q185" s="138"/>
      <c r="R185" s="1296"/>
      <c r="S185" s="1296"/>
      <c r="T185" s="1721"/>
      <c r="U185" s="1205">
        <v>9</v>
      </c>
      <c r="V185" s="1196" t="s">
        <v>1856</v>
      </c>
      <c r="W185" s="1196" t="s">
        <v>1444</v>
      </c>
      <c r="X185" s="1196" t="str">
        <f>'Required Info to Submit'!E31</f>
        <v/>
      </c>
      <c r="Y185" s="1393" t="str">
        <f>IF(X185="","",'Required Info to Submit'!K31)</f>
        <v/>
      </c>
      <c r="Z185" s="1394" t="str">
        <f>IF(X185="","",'Required Info to Submit'!L31)</f>
        <v/>
      </c>
      <c r="AA185" s="1196" t="str">
        <f>'Required Info to Submit'!F31</f>
        <v/>
      </c>
      <c r="AB185" s="1196" t="str">
        <f>'Required Info to Submit'!G31</f>
        <v/>
      </c>
      <c r="AC185" s="1196" t="str">
        <f>'Required Info to Submit'!H31</f>
        <v/>
      </c>
      <c r="AD185" s="1196" t="str">
        <f>'Required Info to Submit'!I31</f>
        <v/>
      </c>
      <c r="AE185" s="1196" t="str">
        <f>'Required Info to Submit'!J31</f>
        <v/>
      </c>
      <c r="AF185" s="1296"/>
      <c r="AG185" s="1296"/>
      <c r="AH185" s="1296"/>
      <c r="AI185" s="138"/>
      <c r="AJ185" s="1296"/>
      <c r="AK185" s="1296"/>
      <c r="AL185" s="1296"/>
      <c r="AM185" s="1296"/>
      <c r="AN185" s="1296"/>
      <c r="AO185" s="1296"/>
      <c r="AP185" s="1296"/>
      <c r="AQ185" s="1296"/>
      <c r="AR185" s="1296"/>
      <c r="AS185" s="1296"/>
      <c r="AT185" s="1296"/>
      <c r="AU185" s="1296"/>
      <c r="AV185" s="1296"/>
      <c r="AW185" s="1296"/>
      <c r="AX185" s="1296"/>
      <c r="AY185" s="1296"/>
      <c r="AZ185" s="1296"/>
      <c r="BA185" s="1296"/>
      <c r="BB185" s="1296"/>
      <c r="BC185" s="1296"/>
      <c r="BD185" s="1296"/>
      <c r="BE185" s="1296"/>
      <c r="BF185" s="1296"/>
      <c r="BG185" s="1296"/>
      <c r="BH185" s="1296"/>
      <c r="BI185" s="1296"/>
      <c r="BJ185" s="1296"/>
      <c r="BK185" s="1296"/>
      <c r="BL185" s="1296"/>
      <c r="BM185" s="1296"/>
      <c r="BN185" s="1296"/>
      <c r="BO185" s="1296"/>
      <c r="BP185" s="1296"/>
      <c r="BQ185" s="1296"/>
      <c r="BR185" s="1296"/>
      <c r="BS185" s="1296"/>
      <c r="BT185" s="1296"/>
      <c r="BU185" s="1296"/>
      <c r="BV185" s="1296"/>
      <c r="BW185" s="1296"/>
      <c r="BX185" s="1296"/>
      <c r="BY185" s="1296"/>
      <c r="BZ185" s="1296"/>
      <c r="CA185" s="1296"/>
      <c r="CB185" s="1296"/>
      <c r="CC185" s="1296"/>
      <c r="CD185" s="1296"/>
      <c r="CE185" s="1296"/>
      <c r="CF185" s="1296"/>
      <c r="CG185" s="1296"/>
      <c r="CH185" s="1296"/>
      <c r="CI185" s="1296"/>
      <c r="CJ185" s="1296"/>
      <c r="CK185" s="1296"/>
    </row>
    <row r="186" spans="1:89" ht="15.75" thickBot="1" x14ac:dyDescent="0.3">
      <c r="A186" s="1296"/>
      <c r="B186" s="1722"/>
      <c r="C186" s="1207">
        <v>10</v>
      </c>
      <c r="D186" s="1198" t="s">
        <v>1856</v>
      </c>
      <c r="E186" s="1198" t="s">
        <v>1444</v>
      </c>
      <c r="F186" s="1209" t="str">
        <f>'Required Info to Submit'!E32</f>
        <v/>
      </c>
      <c r="G186" s="1402" t="str">
        <f>IF(F186="","",'Required Info to Submit'!K32)</f>
        <v/>
      </c>
      <c r="H186" s="1402" t="str">
        <f>IF(F186="","",'Required Info to Submit'!L32)</f>
        <v/>
      </c>
      <c r="I186" s="1209" t="str">
        <f>'Required Info to Submit'!F32</f>
        <v/>
      </c>
      <c r="J186" s="1209" t="str">
        <f>'Required Info to Submit'!G32</f>
        <v/>
      </c>
      <c r="K186" s="1209" t="str">
        <f>'Required Info to Submit'!H32</f>
        <v/>
      </c>
      <c r="L186" s="1209" t="str">
        <f>'Required Info to Submit'!I32</f>
        <v/>
      </c>
      <c r="M186" s="1209" t="str">
        <f>'Required Info to Submit'!J32</f>
        <v/>
      </c>
      <c r="N186" s="256"/>
      <c r="O186" s="256"/>
      <c r="P186" s="256"/>
      <c r="Q186" s="257"/>
      <c r="R186" s="1296"/>
      <c r="S186" s="1296"/>
      <c r="T186" s="1722"/>
      <c r="U186" s="1207">
        <v>10</v>
      </c>
      <c r="V186" s="1198" t="s">
        <v>1856</v>
      </c>
      <c r="W186" s="1198" t="s">
        <v>1444</v>
      </c>
      <c r="X186" s="1198" t="str">
        <f>'Required Info to Submit'!E32</f>
        <v/>
      </c>
      <c r="Y186" s="1395" t="str">
        <f>IF(X186="","",'Required Info to Submit'!K32)</f>
        <v/>
      </c>
      <c r="Z186" s="1399" t="str">
        <f>IF(X186="","",'Required Info to Submit'!L32)</f>
        <v/>
      </c>
      <c r="AA186" s="1198" t="str">
        <f>'Required Info to Submit'!F32</f>
        <v/>
      </c>
      <c r="AB186" s="1198" t="str">
        <f>'Required Info to Submit'!G32</f>
        <v/>
      </c>
      <c r="AC186" s="1198" t="str">
        <f>'Required Info to Submit'!H32</f>
        <v/>
      </c>
      <c r="AD186" s="1198" t="str">
        <f>'Required Info to Submit'!I32</f>
        <v/>
      </c>
      <c r="AE186" s="1198" t="str">
        <f>'Required Info to Submit'!J32</f>
        <v/>
      </c>
      <c r="AF186" s="256"/>
      <c r="AG186" s="256"/>
      <c r="AH186" s="256"/>
      <c r="AI186" s="257"/>
      <c r="AJ186" s="1296"/>
      <c r="AK186" s="1296"/>
      <c r="AL186" s="1296"/>
      <c r="AM186" s="1296"/>
      <c r="AN186" s="1296"/>
      <c r="AO186" s="1296"/>
      <c r="AP186" s="1296"/>
      <c r="AQ186" s="1296"/>
      <c r="AR186" s="1296"/>
      <c r="AS186" s="1296"/>
      <c r="AT186" s="1296"/>
      <c r="AU186" s="1296"/>
      <c r="AV186" s="1296"/>
      <c r="AW186" s="1296"/>
      <c r="AX186" s="1296"/>
      <c r="AY186" s="1296"/>
      <c r="AZ186" s="1296"/>
      <c r="BA186" s="1296"/>
      <c r="BB186" s="1296"/>
      <c r="BC186" s="1296"/>
      <c r="BD186" s="1296"/>
      <c r="BE186" s="1296"/>
      <c r="BF186" s="1296"/>
      <c r="BG186" s="1296"/>
      <c r="BH186" s="1296"/>
      <c r="BI186" s="1296"/>
      <c r="BJ186" s="1296"/>
      <c r="BK186" s="1296"/>
      <c r="BL186" s="1296"/>
      <c r="BM186" s="1296"/>
      <c r="BN186" s="1296"/>
      <c r="BO186" s="1296"/>
      <c r="BP186" s="1296"/>
      <c r="BQ186" s="1296"/>
      <c r="BR186" s="1296"/>
      <c r="BS186" s="1296"/>
      <c r="BT186" s="1296"/>
      <c r="BU186" s="1296"/>
      <c r="BV186" s="1296"/>
      <c r="BW186" s="1296"/>
      <c r="BX186" s="1296"/>
      <c r="BY186" s="1296"/>
      <c r="BZ186" s="1296"/>
      <c r="CA186" s="1296"/>
      <c r="CB186" s="1296"/>
      <c r="CC186" s="1296"/>
      <c r="CD186" s="1296"/>
      <c r="CE186" s="1296"/>
      <c r="CF186" s="1296"/>
      <c r="CG186" s="1296"/>
      <c r="CH186" s="1296"/>
      <c r="CI186" s="1296"/>
      <c r="CJ186" s="1296"/>
      <c r="CK186" s="1296"/>
    </row>
    <row r="187" spans="1:89" x14ac:dyDescent="0.25">
      <c r="A187" s="1296"/>
      <c r="B187" s="1276"/>
      <c r="C187" s="1296"/>
      <c r="D187" s="1296"/>
      <c r="E187" s="1296"/>
      <c r="F187" s="1296"/>
      <c r="G187" s="1296"/>
      <c r="H187" s="1296"/>
      <c r="I187" s="1296"/>
      <c r="J187" s="1296"/>
      <c r="K187" s="1296"/>
      <c r="L187" s="1296"/>
      <c r="M187" s="1296"/>
      <c r="N187" s="1296"/>
      <c r="O187" s="1296"/>
      <c r="P187" s="1296"/>
      <c r="Q187" s="1296"/>
      <c r="R187" s="1296"/>
      <c r="S187" s="1296"/>
      <c r="T187" s="1276"/>
      <c r="U187" s="1296"/>
      <c r="V187" s="1296"/>
      <c r="W187" s="1296"/>
      <c r="X187" s="1296"/>
      <c r="Y187" s="1296"/>
      <c r="Z187" s="1296"/>
      <c r="AA187" s="1296"/>
      <c r="AB187" s="1296"/>
      <c r="AC187" s="1296"/>
      <c r="AD187" s="1296"/>
      <c r="AE187" s="1296"/>
      <c r="AF187" s="1296"/>
      <c r="AG187" s="1296"/>
      <c r="AH187" s="1296"/>
      <c r="AI187" s="1296"/>
      <c r="AJ187" s="1296"/>
      <c r="AK187" s="1296"/>
      <c r="AL187" s="1296"/>
      <c r="AM187" s="1296"/>
      <c r="AN187" s="1296"/>
      <c r="AO187" s="1296"/>
      <c r="AP187" s="1296"/>
      <c r="AQ187" s="1296"/>
      <c r="AR187" s="1296"/>
      <c r="AS187" s="1296"/>
      <c r="AT187" s="1296"/>
      <c r="AU187" s="1296"/>
      <c r="AV187" s="1296"/>
      <c r="AW187" s="1296"/>
      <c r="AX187" s="1296"/>
      <c r="AY187" s="1296"/>
      <c r="AZ187" s="1296"/>
      <c r="BA187" s="1296"/>
      <c r="BB187" s="1296"/>
      <c r="BC187" s="1296"/>
      <c r="BD187" s="1296"/>
      <c r="BE187" s="1296"/>
      <c r="BF187" s="1296"/>
      <c r="BG187" s="1296"/>
      <c r="BH187" s="1296"/>
      <c r="BI187" s="1296"/>
      <c r="BJ187" s="1296"/>
      <c r="BK187" s="1296"/>
      <c r="BL187" s="1296"/>
      <c r="BM187" s="1296"/>
      <c r="BN187" s="1296"/>
      <c r="BO187" s="1296"/>
      <c r="BP187" s="1296"/>
      <c r="BQ187" s="1296"/>
      <c r="BR187" s="1296"/>
      <c r="BS187" s="1296"/>
      <c r="BT187" s="1296"/>
      <c r="BU187" s="1296"/>
      <c r="BV187" s="1296"/>
      <c r="BW187" s="1296"/>
      <c r="BX187" s="1296"/>
      <c r="BY187" s="1296"/>
      <c r="BZ187" s="1296"/>
      <c r="CA187" s="1296"/>
      <c r="CB187" s="1296"/>
      <c r="CC187" s="1296"/>
      <c r="CD187" s="1296"/>
      <c r="CE187" s="1296"/>
      <c r="CF187" s="1296"/>
      <c r="CG187" s="1296"/>
      <c r="CH187" s="1296"/>
      <c r="CI187" s="1296"/>
      <c r="CJ187" s="1296"/>
      <c r="CK187" s="1296"/>
    </row>
    <row r="188" spans="1:89" ht="15.75" thickBot="1" x14ac:dyDescent="0.3">
      <c r="A188" s="1296"/>
      <c r="B188" s="1276"/>
      <c r="C188" s="1296"/>
      <c r="D188" s="1296"/>
      <c r="E188" s="1296"/>
      <c r="F188" s="1296"/>
      <c r="G188" s="1296"/>
      <c r="H188" s="1296"/>
      <c r="I188" s="1296"/>
      <c r="J188" s="1296"/>
      <c r="K188" s="1296"/>
      <c r="L188" s="1296"/>
      <c r="M188" s="1296"/>
      <c r="N188" s="1296"/>
      <c r="O188" s="1296"/>
      <c r="P188" s="1296"/>
      <c r="Q188" s="1296"/>
      <c r="R188" s="1296"/>
      <c r="S188" s="1296"/>
      <c r="T188" s="1276"/>
      <c r="U188" s="1296"/>
      <c r="V188" s="1296"/>
      <c r="W188" s="1296"/>
      <c r="X188" s="1296"/>
      <c r="Y188" s="1296"/>
      <c r="Z188" s="1296"/>
      <c r="AA188" s="1296"/>
      <c r="AB188" s="1296"/>
      <c r="AC188" s="1296"/>
      <c r="AD188" s="1296"/>
      <c r="AE188" s="1296"/>
      <c r="AF188" s="1296"/>
      <c r="AG188" s="1296"/>
      <c r="AH188" s="1296"/>
      <c r="AI188" s="1296"/>
      <c r="AJ188" s="1296"/>
      <c r="AK188" s="1296"/>
      <c r="AL188" s="1296"/>
      <c r="AM188" s="1296"/>
      <c r="AN188" s="1296"/>
      <c r="AO188" s="1296"/>
      <c r="AP188" s="1296"/>
      <c r="AQ188" s="1296"/>
      <c r="AR188" s="1296"/>
      <c r="AS188" s="1296"/>
      <c r="AT188" s="1296"/>
      <c r="AU188" s="1296"/>
      <c r="AV188" s="1296"/>
      <c r="AW188" s="1296"/>
      <c r="AX188" s="1296"/>
      <c r="AY188" s="1296"/>
      <c r="AZ188" s="1296"/>
      <c r="BA188" s="1296"/>
      <c r="BB188" s="1296"/>
      <c r="BC188" s="1296"/>
      <c r="BD188" s="1296"/>
      <c r="BE188" s="1296"/>
      <c r="BF188" s="1296"/>
      <c r="BG188" s="1296"/>
      <c r="BH188" s="1296"/>
      <c r="BI188" s="1296"/>
      <c r="BJ188" s="1296"/>
      <c r="BK188" s="1296"/>
      <c r="BL188" s="1296"/>
      <c r="BM188" s="1296"/>
      <c r="BN188" s="1296"/>
      <c r="BO188" s="1296"/>
      <c r="BP188" s="1296"/>
      <c r="BQ188" s="1296"/>
      <c r="BR188" s="1296"/>
      <c r="BS188" s="1296"/>
      <c r="BT188" s="1296"/>
      <c r="BU188" s="1296"/>
      <c r="BV188" s="1296"/>
      <c r="BW188" s="1296"/>
      <c r="BX188" s="1296"/>
      <c r="BY188" s="1296"/>
      <c r="BZ188" s="1296"/>
      <c r="CA188" s="1296"/>
      <c r="CB188" s="1296"/>
      <c r="CC188" s="1296"/>
      <c r="CD188" s="1296"/>
      <c r="CE188" s="1296"/>
      <c r="CF188" s="1296"/>
      <c r="CG188" s="1296"/>
      <c r="CH188" s="1296"/>
      <c r="CI188" s="1296"/>
      <c r="CJ188" s="1296"/>
      <c r="CK188" s="1296"/>
    </row>
    <row r="189" spans="1:89" ht="32.25" customHeight="1" thickBot="1" x14ac:dyDescent="0.3">
      <c r="A189" s="1296"/>
      <c r="B189" s="1182"/>
      <c r="C189" s="1177" t="s">
        <v>1400</v>
      </c>
      <c r="D189" s="1177" t="s">
        <v>1510</v>
      </c>
      <c r="E189" s="1177" t="s">
        <v>767</v>
      </c>
      <c r="F189" s="1177" t="s">
        <v>1515</v>
      </c>
      <c r="G189" s="1177" t="s">
        <v>1833</v>
      </c>
      <c r="H189" s="1178" t="s">
        <v>1834</v>
      </c>
      <c r="I189" s="1178" t="s">
        <v>1835</v>
      </c>
      <c r="J189" s="1177" t="s">
        <v>1857</v>
      </c>
      <c r="K189" s="1177" t="s">
        <v>1836</v>
      </c>
      <c r="L189" s="1178" t="s">
        <v>1414</v>
      </c>
      <c r="M189" s="1178" t="s">
        <v>1398</v>
      </c>
      <c r="N189" s="1177" t="s">
        <v>1399</v>
      </c>
      <c r="O189" s="1177" t="s">
        <v>722</v>
      </c>
      <c r="P189" s="1177" t="s">
        <v>723</v>
      </c>
      <c r="Q189" s="1178" t="s">
        <v>1514</v>
      </c>
      <c r="R189" s="1296"/>
      <c r="S189" s="1296"/>
      <c r="T189" s="1182"/>
      <c r="U189" s="1177" t="s">
        <v>1400</v>
      </c>
      <c r="V189" s="1177" t="s">
        <v>1510</v>
      </c>
      <c r="W189" s="1177" t="s">
        <v>767</v>
      </c>
      <c r="X189" s="1177" t="s">
        <v>1515</v>
      </c>
      <c r="Y189" s="1177" t="s">
        <v>1833</v>
      </c>
      <c r="Z189" s="1178" t="s">
        <v>1834</v>
      </c>
      <c r="AA189" s="1178" t="s">
        <v>1835</v>
      </c>
      <c r="AB189" s="1177" t="s">
        <v>1857</v>
      </c>
      <c r="AC189" s="1177" t="s">
        <v>1836</v>
      </c>
      <c r="AD189" s="1178" t="s">
        <v>1414</v>
      </c>
      <c r="AE189" s="1178" t="s">
        <v>1398</v>
      </c>
      <c r="AF189" s="1177" t="s">
        <v>1399</v>
      </c>
      <c r="AG189" s="1177" t="s">
        <v>722</v>
      </c>
      <c r="AH189" s="1177" t="s">
        <v>723</v>
      </c>
      <c r="AI189" s="1178" t="s">
        <v>1514</v>
      </c>
      <c r="AJ189" s="1296"/>
      <c r="AK189" s="1296"/>
      <c r="AL189" s="1296"/>
      <c r="AM189" s="1296"/>
      <c r="AN189" s="1296"/>
      <c r="AO189" s="1296"/>
      <c r="AP189" s="1296"/>
      <c r="AQ189" s="1296"/>
      <c r="AR189" s="1296"/>
      <c r="AS189" s="1296"/>
      <c r="AT189" s="1296"/>
      <c r="AU189" s="1296"/>
      <c r="AV189" s="1296"/>
      <c r="AW189" s="1296"/>
      <c r="AX189" s="1296"/>
      <c r="AY189" s="1296"/>
      <c r="AZ189" s="1296"/>
      <c r="BA189" s="1296"/>
      <c r="BB189" s="1296"/>
      <c r="BC189" s="1296"/>
      <c r="BD189" s="1296"/>
      <c r="BE189" s="1296"/>
      <c r="BF189" s="1296"/>
      <c r="BG189" s="1296"/>
      <c r="BH189" s="1296"/>
      <c r="BI189" s="1296"/>
      <c r="BJ189" s="1296"/>
      <c r="BK189" s="1296"/>
      <c r="BL189" s="1296"/>
      <c r="BM189" s="1296"/>
      <c r="BN189" s="1296"/>
      <c r="BO189" s="1296"/>
      <c r="BP189" s="1296"/>
      <c r="BQ189" s="1296"/>
      <c r="BR189" s="1296"/>
      <c r="BS189" s="1296"/>
      <c r="BT189" s="1296"/>
      <c r="BU189" s="1296"/>
      <c r="BV189" s="1296"/>
      <c r="BW189" s="1296"/>
      <c r="BX189" s="1296"/>
      <c r="BY189" s="1296"/>
      <c r="BZ189" s="1296"/>
      <c r="CA189" s="1296"/>
      <c r="CB189" s="1296"/>
      <c r="CC189" s="1296"/>
      <c r="CD189" s="1296"/>
      <c r="CE189" s="1296"/>
      <c r="CF189" s="1296"/>
      <c r="CG189" s="1296"/>
      <c r="CH189" s="1296"/>
      <c r="CI189" s="1296"/>
      <c r="CJ189" s="1296"/>
      <c r="CK189" s="1296"/>
    </row>
    <row r="190" spans="1:89" ht="72.75" customHeight="1" thickBot="1" x14ac:dyDescent="0.3">
      <c r="A190" s="1296"/>
      <c r="B190" s="1184" t="s">
        <v>1837</v>
      </c>
      <c r="C190" s="1185" t="s">
        <v>1556</v>
      </c>
      <c r="D190" s="1186">
        <v>3601</v>
      </c>
      <c r="E190" s="1181" t="s">
        <v>1875</v>
      </c>
      <c r="F190" s="1181" t="s">
        <v>1550</v>
      </c>
      <c r="G190" s="1179" t="str" cm="1">
        <f t="array" aca="1" ref="G190" ca="1">INDIRECT("'Incentives Worksheet'!P"&amp;'Configurable Tab'!H17+3)</f>
        <v>Same as Payout Cycle</v>
      </c>
      <c r="H190" s="1179" t="str" cm="1">
        <f t="array" aca="1" ref="H190" ca="1">IF(ISBLANK(INDIRECT("'Incentives Worksheet'!H"&amp;'Configurable Tab'!H17+3)),"",INDIRECT("'Incentives Worksheet'!H"&amp;'Configurable Tab'!H17+3))</f>
        <v/>
      </c>
      <c r="I190" s="1179" t="str" cm="1">
        <f t="array" aca="1" ref="I190" ca="1">IF(INDIRECT("'Incentives Worksheet'!R"&amp;'Configurable Tab'!H17+3)="USF Calendar","Fiscal",INDIRECT("'Incentives Worksheet'!R"&amp;'Configurable Tab'!H17+3))</f>
        <v>Fiscal</v>
      </c>
      <c r="J190" s="1179" t="str" cm="1">
        <f t="array" aca="1" ref="J190" ca="1">IF(INDIRECT("'Incentives Worksheet'!L"&amp;'Configurable Tab'!H17+13)="All"," Select All Products","Unselect All Products")</f>
        <v>Unselect All Products</v>
      </c>
      <c r="K190" s="1179" t="str" cm="1">
        <f t="array" aca="1" ref="K190" ca="1">IF(INDIRECT("'Incentives Worksheet'!T"&amp;'Configurable Tab'!H17+3)="Yes","Post to GL","")</f>
        <v/>
      </c>
      <c r="L190" s="1179" t="str" cm="1">
        <f t="array" aca="1" ref="L190" ca="1">IF(ISBLANK(INDIRECT("'Incentives Worksheet'!L"&amp;'Configurable Tab'!H17+3)),"",INDIRECT("'Incentives Worksheet'!L"&amp;'Configurable Tab'!H17+3))</f>
        <v/>
      </c>
      <c r="M190" s="1179" t="str" cm="1">
        <f t="array" aca="1" ref="M190" ca="1">IF(ISBLANK(INDIRECT("'Incentives Worksheet'!J"&amp;'Configurable Tab'!H17+3)),"",INDIRECT("'Incentives Worksheet'!J"&amp;'Configurable Tab'!H17+3))</f>
        <v/>
      </c>
      <c r="N190" s="1179" t="str" cm="1">
        <f t="array" aca="1" ref="N190" ca="1">IF(ISBLANK(INDIRECT("'Incentives Worksheet'!N"&amp;'Configurable Tab'!H17+3)),"",INDIRECT("'Incentives Worksheet'!N"&amp;'Configurable Tab'!H17+3))</f>
        <v/>
      </c>
      <c r="O190" s="1180" t="str" cm="1">
        <f t="array" aca="1" ref="O190" ca="1">INDIRECT("'Incentives Worksheet'!D"&amp;'Configurable Tab'!H17+6)</f>
        <v/>
      </c>
      <c r="P190" s="1180" t="str" cm="1">
        <f t="array" aca="1" ref="P190" ca="1">INDIRECT("'Incentives Worksheet'!D"&amp;'Configurable Tab'!H17+8)</f>
        <v/>
      </c>
      <c r="Q190" s="1179" t="str" cm="1">
        <f t="array" aca="1" ref="Q190" ca="1">IF(INDIRECT("'Incentives Worksheet'!D"&amp;'Configurable Tab'!H17+12)="No","Update tracking dates",INDIRECT("'Incentives Worksheet'!D"&amp;'Configurable Tab'!H17+12))</f>
        <v>Yes</v>
      </c>
      <c r="R190" s="1296"/>
      <c r="S190" s="1296"/>
      <c r="T190" s="1184" t="s">
        <v>1837</v>
      </c>
      <c r="U190" s="1185" t="s">
        <v>1556</v>
      </c>
      <c r="V190" s="1186">
        <v>3602</v>
      </c>
      <c r="W190" s="1181" t="s">
        <v>1875</v>
      </c>
      <c r="X190" s="1181" t="s">
        <v>1550</v>
      </c>
      <c r="Y190" s="1179" t="str" cm="1">
        <f t="array" aca="1" ref="Y190" ca="1">INDIRECT("'Incentives Worksheet'!P"&amp;'Configurable Tab'!H18+3)</f>
        <v>Same as Payout Cycle</v>
      </c>
      <c r="Z190" s="1179" t="str" cm="1">
        <f t="array" aca="1" ref="Z190" ca="1">IF(ISBLANK(INDIRECT("'Incentives Worksheet'!H"&amp;'Configurable Tab'!H18+3)),"",INDIRECT("'Incentives Worksheet'!H"&amp;'Configurable Tab'!H18+3))</f>
        <v/>
      </c>
      <c r="AA190" s="1179" t="str" cm="1">
        <f t="array" aca="1" ref="AA190" ca="1">IF(INDIRECT("'Incentives Worksheet'!R"&amp;'Configurable Tab'!H18+3)="USF Calendar","Fiscal",INDIRECT("'Incentives Worksheet'!R"&amp;'Configurable Tab'!H18+3))</f>
        <v>Fiscal</v>
      </c>
      <c r="AB190" s="1179" t="str" cm="1">
        <f t="array" aca="1" ref="AB190" ca="1">IF(INDIRECT("'Incentives Worksheet'!L"&amp;'Configurable Tab'!H18+13)="All"," Select All Products","Unselect All Products")</f>
        <v>Unselect All Products</v>
      </c>
      <c r="AC190" s="1179" t="str" cm="1">
        <f t="array" aca="1" ref="AC190" ca="1">IF(INDIRECT("'Incentives Worksheet'!T"&amp;'Configurable Tab'!H18+3)="Yes","Post to GL","")</f>
        <v/>
      </c>
      <c r="AD190" s="1179" t="str" cm="1">
        <f t="array" aca="1" ref="AD190" ca="1">IF(ISBLANK(INDIRECT("'Incentives Worksheet'!L"&amp;'Configurable Tab'!H18+3)),"",INDIRECT("'Incentives Worksheet'!L"&amp;'Configurable Tab'!H18+3))</f>
        <v/>
      </c>
      <c r="AE190" s="1179" t="str" cm="1">
        <f t="array" aca="1" ref="AE190" ca="1">IF(ISBLANK(INDIRECT("'Incentives Worksheet'!J"&amp;'Configurable Tab'!H18+3)),"",INDIRECT("'Incentives Worksheet'!J"&amp;'Configurable Tab'!H18+3))</f>
        <v/>
      </c>
      <c r="AF190" s="1179" t="str" cm="1">
        <f t="array" aca="1" ref="AF190" ca="1">IF(ISBLANK(INDIRECT("'Incentives Worksheet'!N"&amp;'Configurable Tab'!H18+3)),"",INDIRECT("'Incentives Worksheet'!N"&amp;'Configurable Tab'!H18+3))</f>
        <v/>
      </c>
      <c r="AG190" s="1180" t="str" cm="1">
        <f t="array" aca="1" ref="AG190" ca="1">INDIRECT("'Incentives Worksheet'!D"&amp;'Configurable Tab'!H18+6)</f>
        <v/>
      </c>
      <c r="AH190" s="1180" t="str" cm="1">
        <f t="array" aca="1" ref="AH190" ca="1">INDIRECT("'Incentives Worksheet'!D"&amp;'Configurable Tab'!H18+8)</f>
        <v/>
      </c>
      <c r="AI190" s="1179" t="str" cm="1">
        <f t="array" aca="1" ref="AI190" ca="1">IF(INDIRECT("'Incentives Worksheet'!D"&amp;'Configurable Tab'!H18+12)="No","Update tracking dates",INDIRECT("'Incentives Worksheet'!D"&amp;'Configurable Tab'!H18+12))</f>
        <v>Yes</v>
      </c>
      <c r="AJ190" s="1296"/>
      <c r="AK190" s="1296"/>
      <c r="AL190" s="1296"/>
      <c r="AM190" s="1296"/>
      <c r="AN190" s="1296"/>
      <c r="AO190" s="1296"/>
      <c r="AP190" s="1296"/>
      <c r="AQ190" s="1296"/>
      <c r="AR190" s="1296"/>
      <c r="AS190" s="1296"/>
      <c r="AT190" s="1296"/>
      <c r="AU190" s="1296"/>
      <c r="AV190" s="1296"/>
      <c r="AW190" s="1296"/>
      <c r="AX190" s="1296"/>
      <c r="AY190" s="1296"/>
      <c r="AZ190" s="1296"/>
      <c r="BA190" s="1296"/>
      <c r="BB190" s="1296"/>
      <c r="BC190" s="1296"/>
      <c r="BD190" s="1296"/>
      <c r="BE190" s="1296"/>
      <c r="BF190" s="1296"/>
      <c r="BG190" s="1296"/>
      <c r="BH190" s="1296"/>
      <c r="BI190" s="1296"/>
      <c r="BJ190" s="1296"/>
      <c r="BK190" s="1296"/>
      <c r="BL190" s="1296"/>
      <c r="BM190" s="1296"/>
      <c r="BN190" s="1296"/>
      <c r="BO190" s="1296"/>
      <c r="BP190" s="1296"/>
      <c r="BQ190" s="1296"/>
      <c r="BR190" s="1296"/>
      <c r="BS190" s="1296"/>
      <c r="BT190" s="1296"/>
      <c r="BU190" s="1296"/>
      <c r="BV190" s="1296"/>
      <c r="BW190" s="1296"/>
      <c r="BX190" s="1296"/>
      <c r="BY190" s="1296"/>
      <c r="BZ190" s="1296"/>
      <c r="CA190" s="1296"/>
      <c r="CB190" s="1296"/>
      <c r="CC190" s="1296"/>
      <c r="CD190" s="1296"/>
      <c r="CE190" s="1296"/>
      <c r="CF190" s="1296"/>
      <c r="CG190" s="1296"/>
      <c r="CH190" s="1296"/>
      <c r="CI190" s="1296"/>
      <c r="CJ190" s="1296"/>
      <c r="CK190" s="1296"/>
    </row>
    <row r="191" spans="1:89" ht="45.75" customHeight="1" thickBot="1" x14ac:dyDescent="0.3">
      <c r="A191" s="1296"/>
      <c r="B191" s="1719" t="s">
        <v>1872</v>
      </c>
      <c r="C191" s="1210" t="s">
        <v>1858</v>
      </c>
      <c r="D191" s="1177" t="s">
        <v>1859</v>
      </c>
      <c r="E191" s="1178" t="s">
        <v>1376</v>
      </c>
      <c r="F191" s="1177" t="s">
        <v>1861</v>
      </c>
      <c r="G191" s="1211" t="s">
        <v>1864</v>
      </c>
      <c r="H191" s="1296"/>
      <c r="I191" s="1296"/>
      <c r="J191" s="1296"/>
      <c r="K191" s="1212"/>
      <c r="L191" s="1212"/>
      <c r="M191" s="1212"/>
      <c r="N191" s="1212"/>
      <c r="O191" s="1212"/>
      <c r="P191" s="1212"/>
      <c r="Q191" s="1213"/>
      <c r="R191" s="1296"/>
      <c r="S191" s="1296"/>
      <c r="T191" s="1719" t="s">
        <v>1872</v>
      </c>
      <c r="U191" s="1210" t="s">
        <v>1858</v>
      </c>
      <c r="V191" s="1177" t="s">
        <v>1859</v>
      </c>
      <c r="W191" s="1178" t="s">
        <v>1376</v>
      </c>
      <c r="X191" s="1177" t="s">
        <v>1861</v>
      </c>
      <c r="Y191" s="1215" t="s">
        <v>1864</v>
      </c>
      <c r="Z191" s="1212"/>
      <c r="AA191" s="1212"/>
      <c r="AB191" s="1296"/>
      <c r="AC191" s="1212"/>
      <c r="AD191" s="1212"/>
      <c r="AE191" s="1212"/>
      <c r="AF191" s="1212"/>
      <c r="AG191" s="1212"/>
      <c r="AH191" s="1212"/>
      <c r="AI191" s="1213"/>
      <c r="AJ191" s="1296"/>
      <c r="AK191" s="1296"/>
      <c r="AL191" s="1296"/>
      <c r="AM191" s="1296"/>
      <c r="AN191" s="1296"/>
      <c r="AO191" s="1296"/>
      <c r="AP191" s="1296"/>
      <c r="AQ191" s="1296"/>
      <c r="AR191" s="1296"/>
      <c r="AS191" s="1296"/>
      <c r="AT191" s="1296"/>
      <c r="AU191" s="1296"/>
      <c r="AV191" s="1296"/>
      <c r="AW191" s="1296"/>
      <c r="AX191" s="1296"/>
      <c r="AY191" s="1296"/>
      <c r="AZ191" s="1296"/>
      <c r="BA191" s="1296"/>
      <c r="BB191" s="1296"/>
      <c r="BC191" s="1296"/>
      <c r="BD191" s="1296"/>
      <c r="BE191" s="1296"/>
      <c r="BF191" s="1296"/>
      <c r="BG191" s="1296"/>
      <c r="BH191" s="1296"/>
      <c r="BI191" s="1296"/>
      <c r="BJ191" s="1296"/>
      <c r="BK191" s="1296"/>
      <c r="BL191" s="1296"/>
      <c r="BM191" s="1296"/>
      <c r="BN191" s="1296"/>
      <c r="BO191" s="1296"/>
      <c r="BP191" s="1296"/>
      <c r="BQ191" s="1296"/>
      <c r="BR191" s="1296"/>
      <c r="BS191" s="1296"/>
      <c r="BT191" s="1296"/>
      <c r="BU191" s="1296"/>
      <c r="BV191" s="1296"/>
      <c r="BW191" s="1296"/>
      <c r="BX191" s="1296"/>
      <c r="BY191" s="1296"/>
      <c r="BZ191" s="1296"/>
      <c r="CA191" s="1296"/>
      <c r="CB191" s="1296"/>
      <c r="CC191" s="1296"/>
      <c r="CD191" s="1296"/>
      <c r="CE191" s="1296"/>
      <c r="CF191" s="1296"/>
      <c r="CG191" s="1296"/>
      <c r="CH191" s="1296"/>
      <c r="CI191" s="1296"/>
      <c r="CJ191" s="1296"/>
      <c r="CK191" s="1296"/>
    </row>
    <row r="192" spans="1:89" ht="15.75" thickBot="1" x14ac:dyDescent="0.3">
      <c r="A192" s="1296"/>
      <c r="B192" s="1726"/>
      <c r="C192" s="1245" t="s">
        <v>1874</v>
      </c>
      <c r="D192" s="1245" t="str" cm="1">
        <f t="array" aca="1" ref="D192" ca="1">IF(INDIRECT("'Incentives Worksheet'!L"&amp;'Configurable Tab'!H17+13)="All"," All Products","Included Products")</f>
        <v>Included Products</v>
      </c>
      <c r="E192" s="1245" t="str" cm="1">
        <f t="array" aca="1" ref="E192" ca="1">IF(INDIRECT("'Incentives Worksheet'!J"&amp;'Configurable Tab'!H17+13)="All","All Customers","Individual")</f>
        <v>All Customers</v>
      </c>
      <c r="F192" s="124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7" t="str" cm="1">
        <f t="array" aca="1" ref="G192" ca="1">INDIRECT("'Incentives Worksheet'!N"&amp;'Configurable Tab'!H17+6)</f>
        <v>%</v>
      </c>
      <c r="H192" s="1296"/>
      <c r="I192" s="1296"/>
      <c r="J192" s="1296"/>
      <c r="K192" s="1188"/>
      <c r="L192" s="1188"/>
      <c r="M192" s="1188"/>
      <c r="N192" s="1188"/>
      <c r="O192" s="1188"/>
      <c r="P192" s="1188"/>
      <c r="Q192" s="138"/>
      <c r="R192" s="1296"/>
      <c r="S192" s="1296"/>
      <c r="T192" s="1726"/>
      <c r="U192" s="1245" t="s">
        <v>1865</v>
      </c>
      <c r="V192" s="1246" t="str" cm="1">
        <f t="array" aca="1" ref="V192" ca="1">IF(INDIRECT("'Incentives Worksheet'!L"&amp;'Configurable Tab'!H18+13)="All"," All Products","Included Products")</f>
        <v>Included Products</v>
      </c>
      <c r="W192" s="1246" t="str" cm="1">
        <f t="array" aca="1" ref="W192" ca="1">IF(INDIRECT("'Incentives Worksheet'!J"&amp;'Configurable Tab'!H18+13)="All","All Customers","Individual")</f>
        <v>All Customers</v>
      </c>
      <c r="X192" s="124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7" t="str" cm="1">
        <f t="array" aca="1" ref="Y192" ca="1">INDIRECT("'Incentives Worksheet'!N"&amp;'Configurable Tab'!H18+6)</f>
        <v>%</v>
      </c>
      <c r="Z192" s="1188"/>
      <c r="AA192" s="1188"/>
      <c r="AB192" s="1296"/>
      <c r="AC192" s="1188"/>
      <c r="AD192" s="1188"/>
      <c r="AE192" s="1188"/>
      <c r="AF192" s="1188"/>
      <c r="AG192" s="1188"/>
      <c r="AH192" s="1188"/>
      <c r="AI192" s="138"/>
      <c r="AJ192" s="1296"/>
      <c r="AK192" s="1296"/>
      <c r="AL192" s="1296"/>
      <c r="AM192" s="1296"/>
      <c r="AN192" s="1296"/>
      <c r="AO192" s="1296"/>
      <c r="AP192" s="1296"/>
      <c r="AQ192" s="1296"/>
      <c r="AR192" s="1296"/>
      <c r="AS192" s="1296"/>
      <c r="AT192" s="1296"/>
      <c r="AU192" s="1296"/>
      <c r="AV192" s="1296"/>
      <c r="AW192" s="1296"/>
      <c r="AX192" s="1296"/>
      <c r="AY192" s="1296"/>
      <c r="AZ192" s="1296"/>
      <c r="BA192" s="1296"/>
      <c r="BB192" s="1296"/>
      <c r="BC192" s="1296"/>
      <c r="BD192" s="1296"/>
      <c r="BE192" s="1296"/>
      <c r="BF192" s="1296"/>
      <c r="BG192" s="1296"/>
      <c r="BH192" s="1296"/>
      <c r="BI192" s="1296"/>
      <c r="BJ192" s="1296"/>
      <c r="BK192" s="1296"/>
      <c r="BL192" s="1296"/>
      <c r="BM192" s="1296"/>
      <c r="BN192" s="1296"/>
      <c r="BO192" s="1296"/>
      <c r="BP192" s="1296"/>
      <c r="BQ192" s="1296"/>
      <c r="BR192" s="1296"/>
      <c r="BS192" s="1296"/>
      <c r="BT192" s="1296"/>
      <c r="BU192" s="1296"/>
      <c r="BV192" s="1296"/>
      <c r="BW192" s="1296"/>
      <c r="BX192" s="1296"/>
      <c r="BY192" s="1296"/>
      <c r="BZ192" s="1296"/>
      <c r="CA192" s="1296"/>
      <c r="CB192" s="1296"/>
      <c r="CC192" s="1296"/>
      <c r="CD192" s="1296"/>
      <c r="CE192" s="1296"/>
      <c r="CF192" s="1296"/>
      <c r="CG192" s="1296"/>
      <c r="CH192" s="1296"/>
      <c r="CI192" s="1296"/>
      <c r="CJ192" s="1296"/>
      <c r="CK192" s="1296"/>
    </row>
    <row r="193" spans="1:89" x14ac:dyDescent="0.25">
      <c r="A193" s="1296"/>
      <c r="B193" s="1721"/>
      <c r="C193" s="1220" t="s">
        <v>1868</v>
      </c>
      <c r="D193" s="1221" t="s">
        <v>126</v>
      </c>
      <c r="E193" s="1222" t="s">
        <v>128</v>
      </c>
      <c r="F193" s="1223" t="s">
        <v>1110</v>
      </c>
      <c r="G193" s="1188"/>
      <c r="H193" s="1188"/>
      <c r="I193" s="1188"/>
      <c r="J193" s="1188"/>
      <c r="K193" s="1188"/>
      <c r="L193" s="1188"/>
      <c r="M193" s="1188"/>
      <c r="N193" s="1188"/>
      <c r="O193" s="1188"/>
      <c r="P193" s="1188"/>
      <c r="Q193" s="1189"/>
      <c r="R193" s="1296"/>
      <c r="S193" s="1296"/>
      <c r="T193" s="1726"/>
      <c r="U193" s="1248" t="s">
        <v>1868</v>
      </c>
      <c r="V193" s="1192" t="s">
        <v>126</v>
      </c>
      <c r="W193" s="1226" t="s">
        <v>128</v>
      </c>
      <c r="X193" s="1277" t="s">
        <v>1110</v>
      </c>
      <c r="Y193" s="1188"/>
      <c r="Z193" s="1188"/>
      <c r="AA193" s="1188"/>
      <c r="AB193" s="1188"/>
      <c r="AC193" s="1188"/>
      <c r="AD193" s="1188"/>
      <c r="AE193" s="1188"/>
      <c r="AF193" s="1188"/>
      <c r="AG193" s="1188"/>
      <c r="AH193" s="1188"/>
      <c r="AI193" s="1189"/>
      <c r="AJ193" s="1296"/>
      <c r="AK193" s="1296"/>
      <c r="AL193" s="1296"/>
      <c r="AM193" s="1296"/>
      <c r="AN193" s="1296"/>
      <c r="AO193" s="1296"/>
      <c r="AP193" s="1296"/>
      <c r="AQ193" s="1296"/>
      <c r="AR193" s="1296"/>
      <c r="AS193" s="1296"/>
      <c r="AT193" s="1296"/>
      <c r="AU193" s="1296"/>
      <c r="AV193" s="1296"/>
      <c r="AW193" s="1296"/>
      <c r="AX193" s="1296"/>
      <c r="AY193" s="1296"/>
      <c r="AZ193" s="1296"/>
      <c r="BA193" s="1296"/>
      <c r="BB193" s="1296"/>
      <c r="BC193" s="1296"/>
      <c r="BD193" s="1296"/>
      <c r="BE193" s="1296"/>
      <c r="BF193" s="1296"/>
      <c r="BG193" s="1296"/>
      <c r="BH193" s="1296"/>
      <c r="BI193" s="1296"/>
      <c r="BJ193" s="1296"/>
      <c r="BK193" s="1296"/>
      <c r="BL193" s="1296"/>
      <c r="BM193" s="1296"/>
      <c r="BN193" s="1296"/>
      <c r="BO193" s="1296"/>
      <c r="BP193" s="1296"/>
      <c r="BQ193" s="1296"/>
      <c r="BR193" s="1296"/>
      <c r="BS193" s="1296"/>
      <c r="BT193" s="1296"/>
      <c r="BU193" s="1296"/>
      <c r="BV193" s="1296"/>
      <c r="BW193" s="1296"/>
      <c r="BX193" s="1296"/>
      <c r="BY193" s="1296"/>
      <c r="BZ193" s="1296"/>
      <c r="CA193" s="1296"/>
      <c r="CB193" s="1296"/>
      <c r="CC193" s="1296"/>
      <c r="CD193" s="1296"/>
      <c r="CE193" s="1296"/>
      <c r="CF193" s="1296"/>
      <c r="CG193" s="1296"/>
      <c r="CH193" s="1296"/>
      <c r="CI193" s="1296"/>
      <c r="CJ193" s="1296"/>
      <c r="CK193" s="1296"/>
    </row>
    <row r="194" spans="1:89" x14ac:dyDescent="0.25">
      <c r="A194" s="1296"/>
      <c r="B194" s="1721"/>
      <c r="C194" s="1228">
        <v>0</v>
      </c>
      <c r="D194" s="1270" t="str">
        <f ca="1">IF(AND(COUNTIF(INDIRECT("'Incentives Worksheet'!H"&amp;'Configurable Tab'!H17+6):INDIRECT("'Incentives Worksheet'!H"&amp;'Configurable Tab'!H17+10),0)=0,'Incentives Worksheet'!$Z$17&lt;&gt;""),0,"")</f>
        <v/>
      </c>
      <c r="E194" s="1230" t="str">
        <f ca="1">IFERROR(IF(COUNTIF(INDIRECT("'Incentives Worksheet'!H"&amp;'Configurable Tab'!H17+6):INDIRECT("'Incentives Worksheet'!H"&amp;'Configurable Tab'!H17+10),0)=0,SMALL(INDIRECT("'Incentives Worksheet'!H"&amp;'Configurable Tab'!H17+6):INDIRECT("'Incentives Worksheet'!H"&amp;'Configurable Tab'!H17+10),1)-0.01,""),"")</f>
        <v/>
      </c>
      <c r="F194" s="1468" t="str">
        <f ca="1">IF(AND(COUNTIF(INDIRECT("'Incentives Worksheet'!H"&amp;'Configurable Tab'!H17+6):INDIRECT("'Incentives Worksheet'!H"&amp;'Configurable Tab'!H17+10),0)=0,'Incentives Worksheet'!$Z$17&lt;&gt;""),0,"")</f>
        <v/>
      </c>
      <c r="G194" s="1188"/>
      <c r="H194" s="1188"/>
      <c r="I194" s="1188"/>
      <c r="J194" s="1188"/>
      <c r="K194" s="1188"/>
      <c r="L194" s="1188"/>
      <c r="M194" s="1188"/>
      <c r="N194" s="1188"/>
      <c r="O194" s="1188"/>
      <c r="P194" s="1188"/>
      <c r="Q194" s="1189"/>
      <c r="R194" s="1296"/>
      <c r="S194" s="1296"/>
      <c r="T194" s="1721"/>
      <c r="U194" s="1232">
        <v>0</v>
      </c>
      <c r="V194" s="1272" t="str">
        <f ca="1">IF(AND(COUNTIF(INDIRECT("'Incentives Worksheet'!H"&amp;'Configurable Tab'!H18+6):INDIRECT("'Incentives Worksheet'!H"&amp;'Configurable Tab'!H18+10),0)=0,'Incentives Worksheet'!$Z$18&lt;&gt;""),0,"")</f>
        <v/>
      </c>
      <c r="W194" s="1261" t="str">
        <f ca="1">IFERROR(IF(COUNTIF(INDIRECT("'Incentives Worksheet'!H"&amp;'Configurable Tab'!H18+6):INDIRECT("'Incentives Worksheet'!H"&amp;'Configurable Tab'!H18+10),0)=0,SMALL(INDIRECT("'Incentives Worksheet'!H"&amp;'Configurable Tab'!H18+6):INDIRECT("'Incentives Worksheet'!H"&amp;'Configurable Tab'!H18+10),1)-0.01,""),"")</f>
        <v/>
      </c>
      <c r="X194" s="1261" t="str">
        <f ca="1">IF(AND(COUNTIF(INDIRECT("'Incentives Worksheet'!H"&amp;'Configurable Tab'!H18+6):INDIRECT("'Incentives Worksheet'!H"&amp;'Configurable Tab'!H18+10),0)=0,'Incentives Worksheet'!$Z$18&lt;&gt;""),0,"")</f>
        <v/>
      </c>
      <c r="Y194" s="1188"/>
      <c r="Z194" s="1188"/>
      <c r="AA194" s="1188"/>
      <c r="AB194" s="1188"/>
      <c r="AC194" s="1188"/>
      <c r="AD194" s="1188"/>
      <c r="AE194" s="1188"/>
      <c r="AF194" s="1188"/>
      <c r="AG194" s="1188"/>
      <c r="AH194" s="1188"/>
      <c r="AI194" s="1189"/>
      <c r="AJ194" s="1296"/>
      <c r="AK194" s="1296"/>
      <c r="AL194" s="1296"/>
      <c r="AM194" s="1296"/>
      <c r="AN194" s="1296"/>
      <c r="AO194" s="1296"/>
      <c r="AP194" s="1296"/>
      <c r="AQ194" s="1296"/>
      <c r="AR194" s="1296"/>
      <c r="AS194" s="1296"/>
      <c r="AT194" s="1296"/>
      <c r="AU194" s="1296"/>
      <c r="AV194" s="1296"/>
      <c r="AW194" s="1296"/>
      <c r="AX194" s="1296"/>
      <c r="AY194" s="1296"/>
      <c r="AZ194" s="1296"/>
      <c r="BA194" s="1296"/>
      <c r="BB194" s="1296"/>
      <c r="BC194" s="1296"/>
      <c r="BD194" s="1296"/>
      <c r="BE194" s="1296"/>
      <c r="BF194" s="1296"/>
      <c r="BG194" s="1296"/>
      <c r="BH194" s="1296"/>
      <c r="BI194" s="1296"/>
      <c r="BJ194" s="1296"/>
      <c r="BK194" s="1296"/>
      <c r="BL194" s="1296"/>
      <c r="BM194" s="1296"/>
      <c r="BN194" s="1296"/>
      <c r="BO194" s="1296"/>
      <c r="BP194" s="1296"/>
      <c r="BQ194" s="1296"/>
      <c r="BR194" s="1296"/>
      <c r="BS194" s="1296"/>
      <c r="BT194" s="1296"/>
      <c r="BU194" s="1296"/>
      <c r="BV194" s="1296"/>
      <c r="BW194" s="1296"/>
      <c r="BX194" s="1296"/>
      <c r="BY194" s="1296"/>
      <c r="BZ194" s="1296"/>
      <c r="CA194" s="1296"/>
      <c r="CB194" s="1296"/>
      <c r="CC194" s="1296"/>
      <c r="CD194" s="1296"/>
      <c r="CE194" s="1296"/>
      <c r="CF194" s="1296"/>
      <c r="CG194" s="1296"/>
      <c r="CH194" s="1296"/>
      <c r="CI194" s="1296"/>
      <c r="CJ194" s="1296"/>
      <c r="CK194" s="1296"/>
    </row>
    <row r="195" spans="1:89" x14ac:dyDescent="0.25">
      <c r="A195" s="1296"/>
      <c r="B195" s="1721"/>
      <c r="C195" s="1250">
        <v>1</v>
      </c>
      <c r="D195" s="1270" t="str" cm="1">
        <f t="array" aca="1" ref="D195" ca="1">IF(INDIRECT("'Incentives Worksheet'!H"&amp;'Configurable Tab'!H17+6)="","",INDIRECT("'Incentives Worksheet'!H"&amp;'Configurable Tab'!H17+6))</f>
        <v/>
      </c>
      <c r="E195" s="1230" t="str" cm="1">
        <f t="array" aca="1" ref="E195" ca="1">IF(INDIRECT("'Incentives Worksheet'!J"&amp;'Configurable Tab'!H17+6)="","",INDIRECT("'Incentives Worksheet'!J"&amp;'Configurable Tab'!H17+6))</f>
        <v/>
      </c>
      <c r="F195" s="1468" t="str" cm="1">
        <f t="array" aca="1" ref="F195" ca="1">IF(INDIRECT("'Incentives Worksheet'!L"&amp;'Configurable Tab'!H17+6)="","",INDIRECT("'Incentives Worksheet'!L"&amp;'Configurable Tab'!H17+6))</f>
        <v/>
      </c>
      <c r="G195" s="1188"/>
      <c r="H195" s="1188"/>
      <c r="I195" s="1188"/>
      <c r="J195" s="1188"/>
      <c r="K195" s="1188"/>
      <c r="L195" s="1188"/>
      <c r="M195" s="1188"/>
      <c r="N195" s="1188"/>
      <c r="O195" s="1188"/>
      <c r="P195" s="1188"/>
      <c r="Q195" s="1189"/>
      <c r="R195" s="1296"/>
      <c r="S195" s="1296"/>
      <c r="T195" s="1721"/>
      <c r="U195" s="1278">
        <v>1</v>
      </c>
      <c r="V195" s="1272" t="str" cm="1">
        <f t="array" aca="1" ref="V195" ca="1">IF(INDIRECT("'Incentives Worksheet'!H"&amp;'Configurable Tab'!H18+6)="","",INDIRECT("'Incentives Worksheet'!H"&amp;'Configurable Tab'!H18+6))</f>
        <v/>
      </c>
      <c r="W195" s="1261" t="str" cm="1">
        <f t="array" aca="1" ref="W195" ca="1">IF(INDIRECT("'Incentives Worksheet'!J"&amp;'Configurable Tab'!H18+6)="","",INDIRECT("'Incentives Worksheet'!J"&amp;'Configurable Tab'!H18+6))</f>
        <v/>
      </c>
      <c r="X195" s="1478" t="str" cm="1">
        <f t="array" aca="1" ref="X195" ca="1">IF(INDIRECT("'Incentives Worksheet'!L"&amp;'Configurable Tab'!H18+6)="","",INDIRECT("'Incentives Worksheet'!L"&amp;'Configurable Tab'!H18+6))</f>
        <v/>
      </c>
      <c r="Y195" s="1188"/>
      <c r="Z195" s="1188"/>
      <c r="AA195" s="1188"/>
      <c r="AB195" s="1188"/>
      <c r="AC195" s="1188"/>
      <c r="AD195" s="1188"/>
      <c r="AE195" s="1188"/>
      <c r="AF195" s="1188"/>
      <c r="AG195" s="1188"/>
      <c r="AH195" s="1188"/>
      <c r="AI195" s="1189"/>
      <c r="AJ195" s="1296"/>
      <c r="AK195" s="1296"/>
      <c r="AL195" s="1296"/>
      <c r="AM195" s="1296"/>
      <c r="AN195" s="1296"/>
      <c r="AO195" s="1296"/>
      <c r="AP195" s="1296"/>
      <c r="AQ195" s="1296"/>
      <c r="AR195" s="1296"/>
      <c r="AS195" s="1296"/>
      <c r="AT195" s="1296"/>
      <c r="AU195" s="1296"/>
      <c r="AV195" s="1296"/>
      <c r="AW195" s="1296"/>
      <c r="AX195" s="1296"/>
      <c r="AY195" s="1296"/>
      <c r="AZ195" s="1296"/>
      <c r="BA195" s="1296"/>
      <c r="BB195" s="1296"/>
      <c r="BC195" s="1296"/>
      <c r="BD195" s="1296"/>
      <c r="BE195" s="1296"/>
      <c r="BF195" s="1296"/>
      <c r="BG195" s="1296"/>
      <c r="BH195" s="1296"/>
      <c r="BI195" s="1296"/>
      <c r="BJ195" s="1296"/>
      <c r="BK195" s="1296"/>
      <c r="BL195" s="1296"/>
      <c r="BM195" s="1296"/>
      <c r="BN195" s="1296"/>
      <c r="BO195" s="1296"/>
      <c r="BP195" s="1296"/>
      <c r="BQ195" s="1296"/>
      <c r="BR195" s="1296"/>
      <c r="BS195" s="1296"/>
      <c r="BT195" s="1296"/>
      <c r="BU195" s="1296"/>
      <c r="BV195" s="1296"/>
      <c r="BW195" s="1296"/>
      <c r="BX195" s="1296"/>
      <c r="BY195" s="1296"/>
      <c r="BZ195" s="1296"/>
      <c r="CA195" s="1296"/>
      <c r="CB195" s="1296"/>
      <c r="CC195" s="1296"/>
      <c r="CD195" s="1296"/>
      <c r="CE195" s="1296"/>
      <c r="CF195" s="1296"/>
      <c r="CG195" s="1296"/>
      <c r="CH195" s="1296"/>
      <c r="CI195" s="1296"/>
      <c r="CJ195" s="1296"/>
      <c r="CK195" s="1296"/>
    </row>
    <row r="196" spans="1:89" x14ac:dyDescent="0.25">
      <c r="A196" s="1296"/>
      <c r="B196" s="1721"/>
      <c r="C196" s="1250">
        <v>2</v>
      </c>
      <c r="D196" s="1270" t="str" cm="1">
        <f t="array" aca="1" ref="D196" ca="1">IF(INDIRECT("'Incentives Worksheet'!H"&amp;'Configurable Tab'!H17+7)="","",INDIRECT("'Incentives Worksheet'!H"&amp;'Configurable Tab'!H17+7))</f>
        <v/>
      </c>
      <c r="E196" s="1230" t="str" cm="1">
        <f t="array" aca="1" ref="E196" ca="1">IF(INDIRECT("'Incentives Worksheet'!J"&amp;'Configurable Tab'!H17+7)="","",INDIRECT("'Incentives Worksheet'!J"&amp;'Configurable Tab'!H17+7))</f>
        <v/>
      </c>
      <c r="F196" s="1468" t="str" cm="1">
        <f t="array" aca="1" ref="F196" ca="1">IF(INDIRECT("'Incentives Worksheet'!L"&amp;'Configurable Tab'!H17+7)="","",INDIRECT("'Incentives Worksheet'!L"&amp;'Configurable Tab'!H17+7))</f>
        <v/>
      </c>
      <c r="G196" s="1188"/>
      <c r="H196" s="1188"/>
      <c r="I196" s="1188"/>
      <c r="J196" s="1188"/>
      <c r="K196" s="1188"/>
      <c r="L196" s="1188"/>
      <c r="M196" s="1188"/>
      <c r="N196" s="1188"/>
      <c r="O196" s="1188"/>
      <c r="P196" s="1188"/>
      <c r="Q196" s="1189"/>
      <c r="R196" s="1296"/>
      <c r="S196" s="1296"/>
      <c r="T196" s="1721"/>
      <c r="U196" s="1278">
        <v>2</v>
      </c>
      <c r="V196" s="1272" t="str" cm="1">
        <f t="array" aca="1" ref="V196" ca="1">IF(INDIRECT("'Incentives Worksheet'!H"&amp;'Configurable Tab'!H18+7)="","",INDIRECT("'Incentives Worksheet'!H"&amp;'Configurable Tab'!H18+7))</f>
        <v/>
      </c>
      <c r="W196" s="1261" t="str" cm="1">
        <f t="array" aca="1" ref="W196" ca="1">IF(INDIRECT("'Incentives Worksheet'!J"&amp;'Configurable Tab'!H18+7)="","",INDIRECT("'Incentives Worksheet'!J"&amp;'Configurable Tab'!H18+7))</f>
        <v/>
      </c>
      <c r="X196" s="1478" t="str" cm="1">
        <f t="array" aca="1" ref="X196" ca="1">IF(INDIRECT("'Incentives Worksheet'!L"&amp;'Configurable Tab'!H18+7)="","",INDIRECT("'Incentives Worksheet'!L"&amp;'Configurable Tab'!H18+7))</f>
        <v/>
      </c>
      <c r="Y196" s="1188"/>
      <c r="Z196" s="1188"/>
      <c r="AA196" s="1188"/>
      <c r="AB196" s="1188"/>
      <c r="AC196" s="1188"/>
      <c r="AD196" s="1188"/>
      <c r="AE196" s="1188"/>
      <c r="AF196" s="1188"/>
      <c r="AG196" s="1188"/>
      <c r="AH196" s="1188"/>
      <c r="AI196" s="1189"/>
      <c r="AJ196" s="1296"/>
      <c r="AK196" s="1296"/>
      <c r="AL196" s="1296"/>
      <c r="AM196" s="1296"/>
      <c r="AN196" s="1296"/>
      <c r="AO196" s="1296"/>
      <c r="AP196" s="1296"/>
      <c r="AQ196" s="1296"/>
      <c r="AR196" s="1296"/>
      <c r="AS196" s="1296"/>
      <c r="AT196" s="1296"/>
      <c r="AU196" s="1296"/>
      <c r="AV196" s="1296"/>
      <c r="AW196" s="1296"/>
      <c r="AX196" s="1296"/>
      <c r="AY196" s="1296"/>
      <c r="AZ196" s="1296"/>
      <c r="BA196" s="1296"/>
      <c r="BB196" s="1296"/>
      <c r="BC196" s="1296"/>
      <c r="BD196" s="1296"/>
      <c r="BE196" s="1296"/>
      <c r="BF196" s="1296"/>
      <c r="BG196" s="1296"/>
      <c r="BH196" s="1296"/>
      <c r="BI196" s="1296"/>
      <c r="BJ196" s="1296"/>
      <c r="BK196" s="1296"/>
      <c r="BL196" s="1296"/>
      <c r="BM196" s="1296"/>
      <c r="BN196" s="1296"/>
      <c r="BO196" s="1296"/>
      <c r="BP196" s="1296"/>
      <c r="BQ196" s="1296"/>
      <c r="BR196" s="1296"/>
      <c r="BS196" s="1296"/>
      <c r="BT196" s="1296"/>
      <c r="BU196" s="1296"/>
      <c r="BV196" s="1296"/>
      <c r="BW196" s="1296"/>
      <c r="BX196" s="1296"/>
      <c r="BY196" s="1296"/>
      <c r="BZ196" s="1296"/>
      <c r="CA196" s="1296"/>
      <c r="CB196" s="1296"/>
      <c r="CC196" s="1296"/>
      <c r="CD196" s="1296"/>
      <c r="CE196" s="1296"/>
      <c r="CF196" s="1296"/>
      <c r="CG196" s="1296"/>
      <c r="CH196" s="1296"/>
      <c r="CI196" s="1296"/>
      <c r="CJ196" s="1296"/>
      <c r="CK196" s="1296"/>
    </row>
    <row r="197" spans="1:89" x14ac:dyDescent="0.25">
      <c r="A197" s="1296"/>
      <c r="B197" s="1721"/>
      <c r="C197" s="1250">
        <v>3</v>
      </c>
      <c r="D197" s="1270" t="str" cm="1">
        <f t="array" aca="1" ref="D197" ca="1">IF(INDIRECT("'Incentives Worksheet'!H"&amp;'Configurable Tab'!H17+8)="","",INDIRECT("'Incentives Worksheet'!H"&amp;'Configurable Tab'!H17+8))</f>
        <v/>
      </c>
      <c r="E197" s="1230" t="str" cm="1">
        <f t="array" aca="1" ref="E197" ca="1">IF(INDIRECT("'Incentives Worksheet'!J"&amp;'Configurable Tab'!H17+8)="","",INDIRECT("'Incentives Worksheet'!J"&amp;'Configurable Tab'!H17+8))</f>
        <v/>
      </c>
      <c r="F197" s="1468" t="str" cm="1">
        <f t="array" aca="1" ref="F197" ca="1">IF(INDIRECT("'Incentives Worksheet'!L"&amp;'Configurable Tab'!H17+8)="","",INDIRECT("'Incentives Worksheet'!L"&amp;'Configurable Tab'!H17+8))</f>
        <v/>
      </c>
      <c r="G197" s="1188"/>
      <c r="H197" s="1188"/>
      <c r="I197" s="1188"/>
      <c r="J197" s="1188"/>
      <c r="K197" s="1188"/>
      <c r="L197" s="1188"/>
      <c r="M197" s="1188"/>
      <c r="N197" s="1188"/>
      <c r="O197" s="1188"/>
      <c r="P197" s="1188"/>
      <c r="Q197" s="1189"/>
      <c r="R197" s="1296"/>
      <c r="S197" s="1296"/>
      <c r="T197" s="1721"/>
      <c r="U197" s="1278">
        <v>3</v>
      </c>
      <c r="V197" s="1272" t="str" cm="1">
        <f t="array" aca="1" ref="V197" ca="1">IF(INDIRECT("'Incentives Worksheet'!H"&amp;'Configurable Tab'!H18+8)="","",INDIRECT("'Incentives Worksheet'!H"&amp;'Configurable Tab'!H18+8))</f>
        <v/>
      </c>
      <c r="W197" s="1261" t="str" cm="1">
        <f t="array" aca="1" ref="W197" ca="1">IF(INDIRECT("'Incentives Worksheet'!J"&amp;'Configurable Tab'!H18+8)="","",INDIRECT("'Incentives Worksheet'!J"&amp;'Configurable Tab'!H18+8))</f>
        <v/>
      </c>
      <c r="X197" s="1478" t="str" cm="1">
        <f t="array" aca="1" ref="X197" ca="1">IF(INDIRECT("'Incentives Worksheet'!L"&amp;'Configurable Tab'!H18+8)="","",INDIRECT("'Incentives Worksheet'!L"&amp;'Configurable Tab'!H18+8))</f>
        <v/>
      </c>
      <c r="Y197" s="1188"/>
      <c r="Z197" s="1188"/>
      <c r="AA197" s="1188"/>
      <c r="AB197" s="1188"/>
      <c r="AC197" s="1188"/>
      <c r="AD197" s="1188"/>
      <c r="AE197" s="1188"/>
      <c r="AF197" s="1188"/>
      <c r="AG197" s="1188"/>
      <c r="AH197" s="1188"/>
      <c r="AI197" s="1189"/>
      <c r="AJ197" s="1296"/>
      <c r="AK197" s="1296"/>
      <c r="AL197" s="1296"/>
      <c r="AM197" s="1296"/>
      <c r="AN197" s="1296"/>
      <c r="AO197" s="1296"/>
      <c r="AP197" s="1296"/>
      <c r="AQ197" s="1296"/>
      <c r="AR197" s="1296"/>
      <c r="AS197" s="1296"/>
      <c r="AT197" s="1296"/>
      <c r="AU197" s="1296"/>
      <c r="AV197" s="1296"/>
      <c r="AW197" s="1296"/>
      <c r="AX197" s="1296"/>
      <c r="AY197" s="1296"/>
      <c r="AZ197" s="1296"/>
      <c r="BA197" s="1296"/>
      <c r="BB197" s="1296"/>
      <c r="BC197" s="1296"/>
      <c r="BD197" s="1296"/>
      <c r="BE197" s="1296"/>
      <c r="BF197" s="1296"/>
      <c r="BG197" s="1296"/>
      <c r="BH197" s="1296"/>
      <c r="BI197" s="1296"/>
      <c r="BJ197" s="1296"/>
      <c r="BK197" s="1296"/>
      <c r="BL197" s="1296"/>
      <c r="BM197" s="1296"/>
      <c r="BN197" s="1296"/>
      <c r="BO197" s="1296"/>
      <c r="BP197" s="1296"/>
      <c r="BQ197" s="1296"/>
      <c r="BR197" s="1296"/>
      <c r="BS197" s="1296"/>
      <c r="BT197" s="1296"/>
      <c r="BU197" s="1296"/>
      <c r="BV197" s="1296"/>
      <c r="BW197" s="1296"/>
      <c r="BX197" s="1296"/>
      <c r="BY197" s="1296"/>
      <c r="BZ197" s="1296"/>
      <c r="CA197" s="1296"/>
      <c r="CB197" s="1296"/>
      <c r="CC197" s="1296"/>
      <c r="CD197" s="1296"/>
      <c r="CE197" s="1296"/>
      <c r="CF197" s="1296"/>
      <c r="CG197" s="1296"/>
      <c r="CH197" s="1296"/>
      <c r="CI197" s="1296"/>
      <c r="CJ197" s="1296"/>
      <c r="CK197" s="1296"/>
    </row>
    <row r="198" spans="1:89" x14ac:dyDescent="0.25">
      <c r="A198" s="1296"/>
      <c r="B198" s="1721"/>
      <c r="C198" s="1250">
        <v>4</v>
      </c>
      <c r="D198" s="1270" t="str" cm="1">
        <f t="array" aca="1" ref="D198" ca="1">IF(INDIRECT("'Incentives Worksheet'!H"&amp;'Configurable Tab'!H17+9)="","",INDIRECT("'Incentives Worksheet'!H"&amp;'Configurable Tab'!H17+9))</f>
        <v/>
      </c>
      <c r="E198" s="1230" t="str" cm="1">
        <f t="array" aca="1" ref="E198" ca="1">IF(INDIRECT("'Incentives Worksheet'!J"&amp;'Configurable Tab'!H17+9)="","",INDIRECT("'Incentives Worksheet'!J"&amp;'Configurable Tab'!H17+9))</f>
        <v/>
      </c>
      <c r="F198" s="1468" t="str" cm="1">
        <f t="array" aca="1" ref="F198" ca="1">IF(INDIRECT("'Incentives Worksheet'!L"&amp;'Configurable Tab'!H17+9)="","",INDIRECT("'Incentives Worksheet'!L"&amp;'Configurable Tab'!H17+9))</f>
        <v/>
      </c>
      <c r="G198" s="1188"/>
      <c r="H198" s="1188"/>
      <c r="I198" s="1188"/>
      <c r="J198" s="1188"/>
      <c r="K198" s="1188"/>
      <c r="L198" s="1188"/>
      <c r="M198" s="1188"/>
      <c r="N198" s="1188"/>
      <c r="O198" s="1188"/>
      <c r="P198" s="1188"/>
      <c r="Q198" s="1189"/>
      <c r="R198" s="1296"/>
      <c r="S198" s="1296"/>
      <c r="T198" s="1721"/>
      <c r="U198" s="1278">
        <v>4</v>
      </c>
      <c r="V198" s="1272" t="str" cm="1">
        <f t="array" aca="1" ref="V198" ca="1">IF(INDIRECT("'Incentives Worksheet'!H"&amp;'Configurable Tab'!H18+9)="","",INDIRECT("'Incentives Worksheet'!H"&amp;'Configurable Tab'!H18+9))</f>
        <v/>
      </c>
      <c r="W198" s="1261" t="str" cm="1">
        <f t="array" aca="1" ref="W198" ca="1">IF(INDIRECT("'Incentives Worksheet'!J"&amp;'Configurable Tab'!H18+9)="","",INDIRECT("'Incentives Worksheet'!J"&amp;'Configurable Tab'!H18+9))</f>
        <v/>
      </c>
      <c r="X198" s="1478" t="str" cm="1">
        <f t="array" aca="1" ref="X198" ca="1">IF(INDIRECT("'Incentives Worksheet'!L"&amp;'Configurable Tab'!H18+9)="","",INDIRECT("'Incentives Worksheet'!L"&amp;'Configurable Tab'!H18+9))</f>
        <v/>
      </c>
      <c r="Y198" s="1188"/>
      <c r="Z198" s="1188"/>
      <c r="AA198" s="1188"/>
      <c r="AB198" s="1188"/>
      <c r="AC198" s="1188"/>
      <c r="AD198" s="1188"/>
      <c r="AE198" s="1188"/>
      <c r="AF198" s="1188"/>
      <c r="AG198" s="1188"/>
      <c r="AH198" s="1188"/>
      <c r="AI198" s="1189"/>
      <c r="AJ198" s="1296"/>
      <c r="AK198" s="1296"/>
      <c r="AL198" s="1296"/>
      <c r="AM198" s="1296"/>
      <c r="AN198" s="1296"/>
      <c r="AO198" s="1296"/>
      <c r="AP198" s="1296"/>
      <c r="AQ198" s="1296"/>
      <c r="AR198" s="1296"/>
      <c r="AS198" s="1296"/>
      <c r="AT198" s="1296"/>
      <c r="AU198" s="1296"/>
      <c r="AV198" s="1296"/>
      <c r="AW198" s="1296"/>
      <c r="AX198" s="1296"/>
      <c r="AY198" s="1296"/>
      <c r="AZ198" s="1296"/>
      <c r="BA198" s="1296"/>
      <c r="BB198" s="1296"/>
      <c r="BC198" s="1296"/>
      <c r="BD198" s="1296"/>
      <c r="BE198" s="1296"/>
      <c r="BF198" s="1296"/>
      <c r="BG198" s="1296"/>
      <c r="BH198" s="1296"/>
      <c r="BI198" s="1296"/>
      <c r="BJ198" s="1296"/>
      <c r="BK198" s="1296"/>
      <c r="BL198" s="1296"/>
      <c r="BM198" s="1296"/>
      <c r="BN198" s="1296"/>
      <c r="BO198" s="1296"/>
      <c r="BP198" s="1296"/>
      <c r="BQ198" s="1296"/>
      <c r="BR198" s="1296"/>
      <c r="BS198" s="1296"/>
      <c r="BT198" s="1296"/>
      <c r="BU198" s="1296"/>
      <c r="BV198" s="1296"/>
      <c r="BW198" s="1296"/>
      <c r="BX198" s="1296"/>
      <c r="BY198" s="1296"/>
      <c r="BZ198" s="1296"/>
      <c r="CA198" s="1296"/>
      <c r="CB198" s="1296"/>
      <c r="CC198" s="1296"/>
      <c r="CD198" s="1296"/>
      <c r="CE198" s="1296"/>
      <c r="CF198" s="1296"/>
      <c r="CG198" s="1296"/>
      <c r="CH198" s="1296"/>
      <c r="CI198" s="1296"/>
      <c r="CJ198" s="1296"/>
      <c r="CK198" s="1296"/>
    </row>
    <row r="199" spans="1:89" ht="15.75" thickBot="1" x14ac:dyDescent="0.3">
      <c r="A199" s="1296"/>
      <c r="B199" s="1722"/>
      <c r="C199" s="1234">
        <v>5</v>
      </c>
      <c r="D199" s="1475" t="str" cm="1">
        <f t="array" aca="1" ref="D199" ca="1">IF(INDIRECT("'Incentives Worksheet'!H"&amp;'Configurable Tab'!H17+10)="","",INDIRECT("'Incentives Worksheet'!H"&amp;'Configurable Tab'!H17+10))</f>
        <v/>
      </c>
      <c r="E199" s="1476" t="str" cm="1">
        <f t="array" aca="1" ref="E199" ca="1">IF(INDIRECT("'Incentives Worksheet'!J"&amp;'Configurable Tab'!H17+10)="","",INDIRECT("'Incentives Worksheet'!J"&amp;'Configurable Tab'!H17+10))</f>
        <v/>
      </c>
      <c r="F199" s="1477" t="str" cm="1">
        <f t="array" aca="1" ref="F199" ca="1">IF(INDIRECT("'Incentives Worksheet'!L"&amp;'Configurable Tab'!H17+10)="","",INDIRECT("'Incentives Worksheet'!L"&amp;'Configurable Tab'!H17+10))</f>
        <v/>
      </c>
      <c r="G199" s="1188"/>
      <c r="H199" s="1188"/>
      <c r="I199" s="1188"/>
      <c r="J199" s="1188"/>
      <c r="K199" s="1188"/>
      <c r="L199" s="1188"/>
      <c r="M199" s="1188"/>
      <c r="N199" s="1188"/>
      <c r="O199" s="1188"/>
      <c r="P199" s="1188"/>
      <c r="Q199" s="1189"/>
      <c r="R199" s="1296"/>
      <c r="S199" s="1296"/>
      <c r="T199" s="1722"/>
      <c r="U199" s="1238">
        <v>5</v>
      </c>
      <c r="V199" s="1275" t="str" cm="1">
        <f t="array" aca="1" ref="V199" ca="1">IF(INDIRECT("'Incentives Worksheet'!H"&amp;'Configurable Tab'!H18+10)="","",INDIRECT("'Incentives Worksheet'!H"&amp;'Configurable Tab'!H18+10))</f>
        <v/>
      </c>
      <c r="W199" s="1479" t="str" cm="1">
        <f t="array" aca="1" ref="W199" ca="1">IF(INDIRECT("'Incentives Worksheet'!J"&amp;'Configurable Tab'!H18+10)="","",INDIRECT("'Incentives Worksheet'!J"&amp;'Configurable Tab'!H18+10))</f>
        <v/>
      </c>
      <c r="X199" s="1480" t="str" cm="1">
        <f t="array" aca="1" ref="X199" ca="1">IF(INDIRECT("'Incentives Worksheet'!L"&amp;'Configurable Tab'!H18+10)="","",INDIRECT("'Incentives Worksheet'!L"&amp;'Configurable Tab'!H18+10))</f>
        <v/>
      </c>
      <c r="Y199" s="1188"/>
      <c r="Z199" s="1188"/>
      <c r="AA199" s="1188"/>
      <c r="AB199" s="1188"/>
      <c r="AC199" s="1188"/>
      <c r="AD199" s="1188"/>
      <c r="AE199" s="1188"/>
      <c r="AF199" s="1188"/>
      <c r="AG199" s="1188"/>
      <c r="AH199" s="1188"/>
      <c r="AI199" s="1189"/>
      <c r="AJ199" s="1296"/>
      <c r="AK199" s="1296"/>
      <c r="AL199" s="1296"/>
      <c r="AM199" s="1296"/>
      <c r="AN199" s="1296"/>
      <c r="AO199" s="1296"/>
      <c r="AP199" s="1296"/>
      <c r="AQ199" s="1296"/>
      <c r="AR199" s="1296"/>
      <c r="AS199" s="1296"/>
      <c r="AT199" s="1296"/>
      <c r="AU199" s="1296"/>
      <c r="AV199" s="1296"/>
      <c r="AW199" s="1296"/>
      <c r="AX199" s="1296"/>
      <c r="AY199" s="1296"/>
      <c r="AZ199" s="1296"/>
      <c r="BA199" s="1296"/>
      <c r="BB199" s="1296"/>
      <c r="BC199" s="1296"/>
      <c r="BD199" s="1296"/>
      <c r="BE199" s="1296"/>
      <c r="BF199" s="1296"/>
      <c r="BG199" s="1296"/>
      <c r="BH199" s="1296"/>
      <c r="BI199" s="1296"/>
      <c r="BJ199" s="1296"/>
      <c r="BK199" s="1296"/>
      <c r="BL199" s="1296"/>
      <c r="BM199" s="1296"/>
      <c r="BN199" s="1296"/>
      <c r="BO199" s="1296"/>
      <c r="BP199" s="1296"/>
      <c r="BQ199" s="1296"/>
      <c r="BR199" s="1296"/>
      <c r="BS199" s="1296"/>
      <c r="BT199" s="1296"/>
      <c r="BU199" s="1296"/>
      <c r="BV199" s="1296"/>
      <c r="BW199" s="1296"/>
      <c r="BX199" s="1296"/>
      <c r="BY199" s="1296"/>
      <c r="BZ199" s="1296"/>
      <c r="CA199" s="1296"/>
      <c r="CB199" s="1296"/>
      <c r="CC199" s="1296"/>
      <c r="CD199" s="1296"/>
      <c r="CE199" s="1296"/>
      <c r="CF199" s="1296"/>
      <c r="CG199" s="1296"/>
      <c r="CH199" s="1296"/>
      <c r="CI199" s="1296"/>
      <c r="CJ199" s="1296"/>
      <c r="CK199" s="1296"/>
    </row>
    <row r="200" spans="1:89" ht="15.75" customHeight="1" thickBot="1" x14ac:dyDescent="0.3">
      <c r="A200" s="1296"/>
      <c r="B200" s="1719" t="s">
        <v>1842</v>
      </c>
      <c r="C200" s="1241" t="s">
        <v>1843</v>
      </c>
      <c r="D200" s="1242" t="s">
        <v>131</v>
      </c>
      <c r="E200" s="1242" t="s">
        <v>1844</v>
      </c>
      <c r="F200" s="1296"/>
      <c r="G200" s="1296"/>
      <c r="H200" s="1296"/>
      <c r="I200" s="1296"/>
      <c r="J200" s="1296"/>
      <c r="K200" s="1296"/>
      <c r="L200" s="1296"/>
      <c r="M200" s="1296"/>
      <c r="N200" s="1296"/>
      <c r="O200" s="1296"/>
      <c r="P200" s="1296"/>
      <c r="Q200" s="138"/>
      <c r="R200" s="1296"/>
      <c r="S200" s="1296"/>
      <c r="T200" s="1719" t="s">
        <v>1842</v>
      </c>
      <c r="U200" s="1241" t="s">
        <v>1843</v>
      </c>
      <c r="V200" s="1242" t="s">
        <v>131</v>
      </c>
      <c r="W200" s="1242" t="s">
        <v>1844</v>
      </c>
      <c r="X200" s="1296"/>
      <c r="Y200" s="1296"/>
      <c r="Z200" s="1296"/>
      <c r="AA200" s="1296"/>
      <c r="AB200" s="1296"/>
      <c r="AC200" s="1296"/>
      <c r="AD200" s="1296"/>
      <c r="AE200" s="1296"/>
      <c r="AF200" s="1296"/>
      <c r="AG200" s="1296"/>
      <c r="AH200" s="1296"/>
      <c r="AI200" s="138"/>
      <c r="AJ200" s="1296"/>
      <c r="AK200" s="1296"/>
      <c r="AL200" s="1296"/>
      <c r="AM200" s="1296"/>
      <c r="AN200" s="1296"/>
      <c r="AO200" s="1296"/>
      <c r="AP200" s="1296"/>
      <c r="AQ200" s="1296"/>
      <c r="AR200" s="1296"/>
      <c r="AS200" s="1296"/>
      <c r="AT200" s="1296"/>
      <c r="AU200" s="1296"/>
      <c r="AV200" s="1296"/>
      <c r="AW200" s="1296"/>
      <c r="AX200" s="1296"/>
      <c r="AY200" s="1296"/>
      <c r="AZ200" s="1296"/>
      <c r="BA200" s="1296"/>
      <c r="BB200" s="1296"/>
      <c r="BC200" s="1296"/>
      <c r="BD200" s="1296"/>
      <c r="BE200" s="1296"/>
      <c r="BF200" s="1296"/>
      <c r="BG200" s="1296"/>
      <c r="BH200" s="1296"/>
      <c r="BI200" s="1296"/>
      <c r="BJ200" s="1296"/>
      <c r="BK200" s="1296"/>
      <c r="BL200" s="1296"/>
      <c r="BM200" s="1296"/>
      <c r="BN200" s="1296"/>
      <c r="BO200" s="1296"/>
      <c r="BP200" s="1296"/>
      <c r="BQ200" s="1296"/>
      <c r="BR200" s="1296"/>
      <c r="BS200" s="1296"/>
      <c r="BT200" s="1296"/>
      <c r="BU200" s="1296"/>
      <c r="BV200" s="1296"/>
      <c r="BW200" s="1296"/>
      <c r="BX200" s="1296"/>
      <c r="BY200" s="1296"/>
      <c r="BZ200" s="1296"/>
      <c r="CA200" s="1296"/>
      <c r="CB200" s="1296"/>
      <c r="CC200" s="1296"/>
      <c r="CD200" s="1296"/>
      <c r="CE200" s="1296"/>
      <c r="CF200" s="1296"/>
      <c r="CG200" s="1296"/>
      <c r="CH200" s="1296"/>
      <c r="CI200" s="1296"/>
      <c r="CJ200" s="1296"/>
      <c r="CK200" s="1296"/>
    </row>
    <row r="201" spans="1:89" x14ac:dyDescent="0.25">
      <c r="A201" s="1296"/>
      <c r="B201" s="1726"/>
      <c r="C201" s="1193" t="s">
        <v>1845</v>
      </c>
      <c r="D201" s="1193" t="s">
        <v>1846</v>
      </c>
      <c r="E201" s="1194"/>
      <c r="F201" s="1296"/>
      <c r="G201" s="1296"/>
      <c r="H201" s="1296"/>
      <c r="I201" s="1296"/>
      <c r="J201" s="1296"/>
      <c r="K201" s="1296"/>
      <c r="L201" s="1296"/>
      <c r="M201" s="1296"/>
      <c r="N201" s="1296"/>
      <c r="O201" s="1296"/>
      <c r="P201" s="1296"/>
      <c r="Q201" s="138"/>
      <c r="R201" s="1296"/>
      <c r="S201" s="1296"/>
      <c r="T201" s="1726"/>
      <c r="U201" s="1193" t="s">
        <v>1845</v>
      </c>
      <c r="V201" s="1193" t="s">
        <v>1846</v>
      </c>
      <c r="W201" s="1194"/>
      <c r="X201" s="1296"/>
      <c r="Y201" s="1296"/>
      <c r="Z201" s="1296"/>
      <c r="AA201" s="1296"/>
      <c r="AB201" s="1296"/>
      <c r="AC201" s="1296"/>
      <c r="AD201" s="1296"/>
      <c r="AE201" s="1296"/>
      <c r="AF201" s="1296"/>
      <c r="AG201" s="1296"/>
      <c r="AH201" s="1296"/>
      <c r="AI201" s="138"/>
      <c r="AJ201" s="1296"/>
      <c r="AK201" s="1296"/>
      <c r="AL201" s="1296"/>
      <c r="AM201" s="1296"/>
      <c r="AN201" s="1296"/>
      <c r="AO201" s="1296"/>
      <c r="AP201" s="1296"/>
      <c r="AQ201" s="1296"/>
      <c r="AR201" s="1296"/>
      <c r="AS201" s="1296"/>
      <c r="AT201" s="1296"/>
      <c r="AU201" s="1296"/>
      <c r="AV201" s="1296"/>
      <c r="AW201" s="1296"/>
      <c r="AX201" s="1296"/>
      <c r="AY201" s="1296"/>
      <c r="AZ201" s="1296"/>
      <c r="BA201" s="1296"/>
      <c r="BB201" s="1296"/>
      <c r="BC201" s="1296"/>
      <c r="BD201" s="1296"/>
      <c r="BE201" s="1296"/>
      <c r="BF201" s="1296"/>
      <c r="BG201" s="1296"/>
      <c r="BH201" s="1296"/>
      <c r="BI201" s="1296"/>
      <c r="BJ201" s="1296"/>
      <c r="BK201" s="1296"/>
      <c r="BL201" s="1296"/>
      <c r="BM201" s="1296"/>
      <c r="BN201" s="1296"/>
      <c r="BO201" s="1296"/>
      <c r="BP201" s="1296"/>
      <c r="BQ201" s="1296"/>
      <c r="BR201" s="1296"/>
      <c r="BS201" s="1296"/>
      <c r="BT201" s="1296"/>
      <c r="BU201" s="1296"/>
      <c r="BV201" s="1296"/>
      <c r="BW201" s="1296"/>
      <c r="BX201" s="1296"/>
      <c r="BY201" s="1296"/>
      <c r="BZ201" s="1296"/>
      <c r="CA201" s="1296"/>
      <c r="CB201" s="1296"/>
      <c r="CC201" s="1296"/>
      <c r="CD201" s="1296"/>
      <c r="CE201" s="1296"/>
      <c r="CF201" s="1296"/>
      <c r="CG201" s="1296"/>
      <c r="CH201" s="1296"/>
      <c r="CI201" s="1296"/>
      <c r="CJ201" s="1296"/>
      <c r="CK201" s="1296"/>
    </row>
    <row r="202" spans="1:89" x14ac:dyDescent="0.25">
      <c r="A202" s="1296"/>
      <c r="B202" s="1726"/>
      <c r="C202" s="1195" t="s">
        <v>1845</v>
      </c>
      <c r="D202" s="1195" t="s">
        <v>1847</v>
      </c>
      <c r="E202" s="1196" t="s">
        <v>1848</v>
      </c>
      <c r="F202" s="1296"/>
      <c r="G202" s="1296"/>
      <c r="H202" s="1296"/>
      <c r="I202" s="1296"/>
      <c r="J202" s="1296"/>
      <c r="K202" s="1296"/>
      <c r="L202" s="1296"/>
      <c r="M202" s="1296"/>
      <c r="N202" s="1296"/>
      <c r="O202" s="1296"/>
      <c r="P202" s="1296"/>
      <c r="Q202" s="138"/>
      <c r="R202" s="1296"/>
      <c r="S202" s="1296"/>
      <c r="T202" s="1726"/>
      <c r="U202" s="1195" t="s">
        <v>1845</v>
      </c>
      <c r="V202" s="1195" t="s">
        <v>1847</v>
      </c>
      <c r="W202" s="1196" t="s">
        <v>1848</v>
      </c>
      <c r="X202" s="1296"/>
      <c r="Y202" s="1296"/>
      <c r="Z202" s="1296"/>
      <c r="AA202" s="1296"/>
      <c r="AB202" s="1296"/>
      <c r="AC202" s="1296"/>
      <c r="AD202" s="1296"/>
      <c r="AE202" s="1296"/>
      <c r="AF202" s="1296"/>
      <c r="AG202" s="1296"/>
      <c r="AH202" s="1296"/>
      <c r="AI202" s="138"/>
      <c r="AJ202" s="1296"/>
      <c r="AK202" s="1296"/>
      <c r="AL202" s="1296"/>
      <c r="AM202" s="1296"/>
      <c r="AN202" s="1296"/>
      <c r="AO202" s="1296"/>
      <c r="AP202" s="1296"/>
      <c r="AQ202" s="1296"/>
      <c r="AR202" s="1296"/>
      <c r="AS202" s="1296"/>
      <c r="AT202" s="1296"/>
      <c r="AU202" s="1296"/>
      <c r="AV202" s="1296"/>
      <c r="AW202" s="1296"/>
      <c r="AX202" s="1296"/>
      <c r="AY202" s="1296"/>
      <c r="AZ202" s="1296"/>
      <c r="BA202" s="1296"/>
      <c r="BB202" s="1296"/>
      <c r="BC202" s="1296"/>
      <c r="BD202" s="1296"/>
      <c r="BE202" s="1296"/>
      <c r="BF202" s="1296"/>
      <c r="BG202" s="1296"/>
      <c r="BH202" s="1296"/>
      <c r="BI202" s="1296"/>
      <c r="BJ202" s="1296"/>
      <c r="BK202" s="1296"/>
      <c r="BL202" s="1296"/>
      <c r="BM202" s="1296"/>
      <c r="BN202" s="1296"/>
      <c r="BO202" s="1296"/>
      <c r="BP202" s="1296"/>
      <c r="BQ202" s="1296"/>
      <c r="BR202" s="1296"/>
      <c r="BS202" s="1296"/>
      <c r="BT202" s="1296"/>
      <c r="BU202" s="1296"/>
      <c r="BV202" s="1296"/>
      <c r="BW202" s="1296"/>
      <c r="BX202" s="1296"/>
      <c r="BY202" s="1296"/>
      <c r="BZ202" s="1296"/>
      <c r="CA202" s="1296"/>
      <c r="CB202" s="1296"/>
      <c r="CC202" s="1296"/>
      <c r="CD202" s="1296"/>
      <c r="CE202" s="1296"/>
      <c r="CF202" s="1296"/>
      <c r="CG202" s="1296"/>
      <c r="CH202" s="1296"/>
      <c r="CI202" s="1296"/>
      <c r="CJ202" s="1296"/>
      <c r="CK202" s="1296"/>
    </row>
    <row r="203" spans="1:89" x14ac:dyDescent="0.25">
      <c r="A203" s="1296"/>
      <c r="B203" s="1726"/>
      <c r="C203" s="1195" t="s">
        <v>1845</v>
      </c>
      <c r="D203" s="1195" t="s">
        <v>1849</v>
      </c>
      <c r="E203" s="1196" t="s">
        <v>1718</v>
      </c>
      <c r="F203" s="1296"/>
      <c r="G203" s="1296"/>
      <c r="H203" s="1296"/>
      <c r="I203" s="1296"/>
      <c r="J203" s="1296"/>
      <c r="K203" s="1296"/>
      <c r="L203" s="1296"/>
      <c r="M203" s="1296"/>
      <c r="N203" s="1296"/>
      <c r="O203" s="1296"/>
      <c r="P203" s="1296"/>
      <c r="Q203" s="138"/>
      <c r="R203" s="1296"/>
      <c r="S203" s="1296"/>
      <c r="T203" s="1726"/>
      <c r="U203" s="1195" t="s">
        <v>1845</v>
      </c>
      <c r="V203" s="1195" t="s">
        <v>1849</v>
      </c>
      <c r="W203" s="1196" t="s">
        <v>1718</v>
      </c>
      <c r="X203" s="1296"/>
      <c r="Y203" s="1296"/>
      <c r="Z203" s="1296"/>
      <c r="AA203" s="1296"/>
      <c r="AB203" s="1296"/>
      <c r="AC203" s="1296"/>
      <c r="AD203" s="1296"/>
      <c r="AE203" s="1296"/>
      <c r="AF203" s="1296"/>
      <c r="AG203" s="1296"/>
      <c r="AH203" s="1296"/>
      <c r="AI203" s="138"/>
      <c r="AJ203" s="1296"/>
      <c r="AK203" s="1296"/>
      <c r="AL203" s="1296"/>
      <c r="AM203" s="1296"/>
      <c r="AN203" s="1296"/>
      <c r="AO203" s="1296"/>
      <c r="AP203" s="1296"/>
      <c r="AQ203" s="1296"/>
      <c r="AR203" s="1296"/>
      <c r="AS203" s="1296"/>
      <c r="AT203" s="1296"/>
      <c r="AU203" s="1296"/>
      <c r="AV203" s="1296"/>
      <c r="AW203" s="1296"/>
      <c r="AX203" s="1296"/>
      <c r="AY203" s="1296"/>
      <c r="AZ203" s="1296"/>
      <c r="BA203" s="1296"/>
      <c r="BB203" s="1296"/>
      <c r="BC203" s="1296"/>
      <c r="BD203" s="1296"/>
      <c r="BE203" s="1296"/>
      <c r="BF203" s="1296"/>
      <c r="BG203" s="1296"/>
      <c r="BH203" s="1296"/>
      <c r="BI203" s="1296"/>
      <c r="BJ203" s="1296"/>
      <c r="BK203" s="1296"/>
      <c r="BL203" s="1296"/>
      <c r="BM203" s="1296"/>
      <c r="BN203" s="1296"/>
      <c r="BO203" s="1296"/>
      <c r="BP203" s="1296"/>
      <c r="BQ203" s="1296"/>
      <c r="BR203" s="1296"/>
      <c r="BS203" s="1296"/>
      <c r="BT203" s="1296"/>
      <c r="BU203" s="1296"/>
      <c r="BV203" s="1296"/>
      <c r="BW203" s="1296"/>
      <c r="BX203" s="1296"/>
      <c r="BY203" s="1296"/>
      <c r="BZ203" s="1296"/>
      <c r="CA203" s="1296"/>
      <c r="CB203" s="1296"/>
      <c r="CC203" s="1296"/>
      <c r="CD203" s="1296"/>
      <c r="CE203" s="1296"/>
      <c r="CF203" s="1296"/>
      <c r="CG203" s="1296"/>
      <c r="CH203" s="1296"/>
      <c r="CI203" s="1296"/>
      <c r="CJ203" s="1296"/>
      <c r="CK203" s="1296"/>
    </row>
    <row r="204" spans="1:89" ht="15.75" thickBot="1" x14ac:dyDescent="0.3">
      <c r="A204" s="1296"/>
      <c r="B204" s="1725"/>
      <c r="C204" s="1197" t="s">
        <v>1845</v>
      </c>
      <c r="D204" s="1197" t="s">
        <v>1850</v>
      </c>
      <c r="E204" s="1198" t="s">
        <v>1851</v>
      </c>
      <c r="F204" s="1296"/>
      <c r="G204" s="1296"/>
      <c r="H204" s="1296"/>
      <c r="I204" s="1296"/>
      <c r="J204" s="1296"/>
      <c r="K204" s="1296"/>
      <c r="L204" s="1296"/>
      <c r="M204" s="1296"/>
      <c r="N204" s="1296"/>
      <c r="O204" s="1296"/>
      <c r="P204" s="1296"/>
      <c r="Q204" s="138"/>
      <c r="R204" s="1296"/>
      <c r="S204" s="1296"/>
      <c r="T204" s="1725"/>
      <c r="U204" s="1197" t="s">
        <v>1845</v>
      </c>
      <c r="V204" s="1197" t="s">
        <v>1850</v>
      </c>
      <c r="W204" s="1198" t="s">
        <v>1851</v>
      </c>
      <c r="X204" s="1296"/>
      <c r="Y204" s="1296"/>
      <c r="Z204" s="1296"/>
      <c r="AA204" s="1296"/>
      <c r="AB204" s="1296"/>
      <c r="AC204" s="1296"/>
      <c r="AD204" s="1296"/>
      <c r="AE204" s="1296"/>
      <c r="AF204" s="1296"/>
      <c r="AG204" s="1296"/>
      <c r="AH204" s="1296"/>
      <c r="AI204" s="138"/>
      <c r="AJ204" s="1296"/>
      <c r="AK204" s="1296"/>
      <c r="AL204" s="1296"/>
      <c r="AM204" s="1296"/>
      <c r="AN204" s="1296"/>
      <c r="AO204" s="1296"/>
      <c r="AP204" s="1296"/>
      <c r="AQ204" s="1296"/>
      <c r="AR204" s="1296"/>
      <c r="AS204" s="1296"/>
      <c r="AT204" s="1296"/>
      <c r="AU204" s="1296"/>
      <c r="AV204" s="1296"/>
      <c r="AW204" s="1296"/>
      <c r="AX204" s="1296"/>
      <c r="AY204" s="1296"/>
      <c r="AZ204" s="1296"/>
      <c r="BA204" s="1296"/>
      <c r="BB204" s="1296"/>
      <c r="BC204" s="1296"/>
      <c r="BD204" s="1296"/>
      <c r="BE204" s="1296"/>
      <c r="BF204" s="1296"/>
      <c r="BG204" s="1296"/>
      <c r="BH204" s="1296"/>
      <c r="BI204" s="1296"/>
      <c r="BJ204" s="1296"/>
      <c r="BK204" s="1296"/>
      <c r="BL204" s="1296"/>
      <c r="BM204" s="1296"/>
      <c r="BN204" s="1296"/>
      <c r="BO204" s="1296"/>
      <c r="BP204" s="1296"/>
      <c r="BQ204" s="1296"/>
      <c r="BR204" s="1296"/>
      <c r="BS204" s="1296"/>
      <c r="BT204" s="1296"/>
      <c r="BU204" s="1296"/>
      <c r="BV204" s="1296"/>
      <c r="BW204" s="1296"/>
      <c r="BX204" s="1296"/>
      <c r="BY204" s="1296"/>
      <c r="BZ204" s="1296"/>
      <c r="CA204" s="1296"/>
      <c r="CB204" s="1296"/>
      <c r="CC204" s="1296"/>
      <c r="CD204" s="1296"/>
      <c r="CE204" s="1296"/>
      <c r="CF204" s="1296"/>
      <c r="CG204" s="1296"/>
      <c r="CH204" s="1296"/>
      <c r="CI204" s="1296"/>
      <c r="CJ204" s="1296"/>
      <c r="CK204" s="1296"/>
    </row>
    <row r="205" spans="1:89" ht="15.75" customHeight="1" thickBot="1" x14ac:dyDescent="0.3">
      <c r="A205" s="1296"/>
      <c r="B205" s="1719" t="s">
        <v>1852</v>
      </c>
      <c r="C205" s="1258" t="s">
        <v>1853</v>
      </c>
      <c r="D205" s="1200" t="s">
        <v>1843</v>
      </c>
      <c r="E205" s="1200" t="s">
        <v>131</v>
      </c>
      <c r="F205" s="1200" t="s">
        <v>1844</v>
      </c>
      <c r="G205" s="1200" t="s">
        <v>1854</v>
      </c>
      <c r="H205" s="1201" t="s">
        <v>1855</v>
      </c>
      <c r="I205" s="1202" t="s">
        <v>767</v>
      </c>
      <c r="J205" s="1202" t="s">
        <v>768</v>
      </c>
      <c r="K205" s="1202" t="s">
        <v>769</v>
      </c>
      <c r="L205" s="1202" t="s">
        <v>770</v>
      </c>
      <c r="M205" s="1202" t="s">
        <v>204</v>
      </c>
      <c r="N205" s="1296"/>
      <c r="O205" s="1296"/>
      <c r="P205" s="1296"/>
      <c r="Q205" s="138"/>
      <c r="R205" s="1296"/>
      <c r="S205" s="1296"/>
      <c r="T205" s="1719" t="s">
        <v>1852</v>
      </c>
      <c r="U205" s="1258" t="s">
        <v>1853</v>
      </c>
      <c r="V205" s="1200" t="s">
        <v>1843</v>
      </c>
      <c r="W205" s="1200" t="s">
        <v>131</v>
      </c>
      <c r="X205" s="1200" t="s">
        <v>1844</v>
      </c>
      <c r="Y205" s="1200" t="s">
        <v>1854</v>
      </c>
      <c r="Z205" s="1201" t="s">
        <v>1855</v>
      </c>
      <c r="AA205" s="1202" t="s">
        <v>767</v>
      </c>
      <c r="AB205" s="1202" t="s">
        <v>768</v>
      </c>
      <c r="AC205" s="1202" t="s">
        <v>769</v>
      </c>
      <c r="AD205" s="1202" t="s">
        <v>770</v>
      </c>
      <c r="AE205" s="1202" t="s">
        <v>204</v>
      </c>
      <c r="AF205" s="1296"/>
      <c r="AG205" s="1296"/>
      <c r="AH205" s="1296"/>
      <c r="AI205" s="138"/>
      <c r="AJ205" s="1296"/>
      <c r="AK205" s="1296"/>
      <c r="AL205" s="1296"/>
      <c r="AM205" s="1296"/>
      <c r="AN205" s="1296"/>
      <c r="AO205" s="1296"/>
      <c r="AP205" s="1296"/>
      <c r="AQ205" s="1296"/>
      <c r="AR205" s="1296"/>
      <c r="AS205" s="1296"/>
      <c r="AT205" s="1296"/>
      <c r="AU205" s="1296"/>
      <c r="AV205" s="1296"/>
      <c r="AW205" s="1296"/>
      <c r="AX205" s="1296"/>
      <c r="AY205" s="1296"/>
      <c r="AZ205" s="1296"/>
      <c r="BA205" s="1296"/>
      <c r="BB205" s="1296"/>
      <c r="BC205" s="1296"/>
      <c r="BD205" s="1296"/>
      <c r="BE205" s="1296"/>
      <c r="BF205" s="1296"/>
      <c r="BG205" s="1296"/>
      <c r="BH205" s="1296"/>
      <c r="BI205" s="1296"/>
      <c r="BJ205" s="1296"/>
      <c r="BK205" s="1296"/>
      <c r="BL205" s="1296"/>
      <c r="BM205" s="1296"/>
      <c r="BN205" s="1296"/>
      <c r="BO205" s="1296"/>
      <c r="BP205" s="1296"/>
      <c r="BQ205" s="1296"/>
      <c r="BR205" s="1296"/>
      <c r="BS205" s="1296"/>
      <c r="BT205" s="1296"/>
      <c r="BU205" s="1296"/>
      <c r="BV205" s="1296"/>
      <c r="BW205" s="1296"/>
      <c r="BX205" s="1296"/>
      <c r="BY205" s="1296"/>
      <c r="BZ205" s="1296"/>
      <c r="CA205" s="1296"/>
      <c r="CB205" s="1296"/>
      <c r="CC205" s="1296"/>
      <c r="CD205" s="1296"/>
      <c r="CE205" s="1296"/>
      <c r="CF205" s="1296"/>
      <c r="CG205" s="1296"/>
      <c r="CH205" s="1296"/>
      <c r="CI205" s="1296"/>
      <c r="CJ205" s="1296"/>
      <c r="CK205" s="1296"/>
    </row>
    <row r="206" spans="1:89" x14ac:dyDescent="0.25">
      <c r="A206" s="1296"/>
      <c r="B206" s="1721"/>
      <c r="C206" s="1199">
        <v>1</v>
      </c>
      <c r="D206" s="1196" t="s">
        <v>1856</v>
      </c>
      <c r="E206" s="1196" t="s">
        <v>1444</v>
      </c>
      <c r="F206" s="1196" t="str">
        <f>'Required Info to Submit'!E23</f>
        <v/>
      </c>
      <c r="G206" s="1393" t="str">
        <f>IF(F206="","",'Required Info to Submit'!K23)</f>
        <v/>
      </c>
      <c r="H206" s="1394" t="str">
        <f>IF(F206="","",'Required Info to Submit'!L23)</f>
        <v/>
      </c>
      <c r="I206" s="1196" t="str">
        <f>'Required Info to Submit'!F23</f>
        <v/>
      </c>
      <c r="J206" s="1196" t="str">
        <f>'Required Info to Submit'!G23</f>
        <v/>
      </c>
      <c r="K206" s="1196" t="str">
        <f>'Required Info to Submit'!H23</f>
        <v/>
      </c>
      <c r="L206" s="1196" t="str">
        <f>'Required Info to Submit'!I23</f>
        <v/>
      </c>
      <c r="M206" s="1196" t="str">
        <f>'Required Info to Submit'!J23</f>
        <v/>
      </c>
      <c r="N206" s="1296"/>
      <c r="O206" s="1296"/>
      <c r="P206" s="1296"/>
      <c r="Q206" s="138"/>
      <c r="R206" s="1296"/>
      <c r="S206" s="1296"/>
      <c r="T206" s="1721"/>
      <c r="U206" s="1199">
        <v>1</v>
      </c>
      <c r="V206" s="1196" t="s">
        <v>1856</v>
      </c>
      <c r="W206" s="1196" t="s">
        <v>1444</v>
      </c>
      <c r="X206" s="1204" t="str">
        <f>'Required Info to Submit'!E23</f>
        <v/>
      </c>
      <c r="Y206" s="1400" t="str">
        <f>IF(X206="","",'Required Info to Submit'!K23)</f>
        <v/>
      </c>
      <c r="Z206" s="1401" t="str">
        <f>IF(X206="","",'Required Info to Submit'!L23)</f>
        <v/>
      </c>
      <c r="AA206" s="1204" t="str">
        <f>'Required Info to Submit'!F23</f>
        <v/>
      </c>
      <c r="AB206" s="1204" t="str">
        <f>'Required Info to Submit'!G23</f>
        <v/>
      </c>
      <c r="AC206" s="1204" t="str">
        <f>'Required Info to Submit'!H23</f>
        <v/>
      </c>
      <c r="AD206" s="1204" t="str">
        <f>'Required Info to Submit'!I23</f>
        <v/>
      </c>
      <c r="AE206" s="1204" t="str">
        <f>'Required Info to Submit'!J23</f>
        <v/>
      </c>
      <c r="AF206" s="1296"/>
      <c r="AG206" s="1296"/>
      <c r="AH206" s="1296"/>
      <c r="AI206" s="138"/>
      <c r="AJ206" s="1296"/>
      <c r="AK206" s="1296"/>
      <c r="AL206" s="1296"/>
      <c r="AM206" s="1296"/>
      <c r="AN206" s="1296"/>
      <c r="AO206" s="1296"/>
      <c r="AP206" s="1296"/>
      <c r="AQ206" s="1296"/>
      <c r="AR206" s="1296"/>
      <c r="AS206" s="1296"/>
      <c r="AT206" s="1296"/>
      <c r="AU206" s="1296"/>
      <c r="AV206" s="1296"/>
      <c r="AW206" s="1296"/>
      <c r="AX206" s="1296"/>
      <c r="AY206" s="1296"/>
      <c r="AZ206" s="1296"/>
      <c r="BA206" s="1296"/>
      <c r="BB206" s="1296"/>
      <c r="BC206" s="1296"/>
      <c r="BD206" s="1296"/>
      <c r="BE206" s="1296"/>
      <c r="BF206" s="1296"/>
      <c r="BG206" s="1296"/>
      <c r="BH206" s="1296"/>
      <c r="BI206" s="1296"/>
      <c r="BJ206" s="1296"/>
      <c r="BK206" s="1296"/>
      <c r="BL206" s="1296"/>
      <c r="BM206" s="1296"/>
      <c r="BN206" s="1296"/>
      <c r="BO206" s="1296"/>
      <c r="BP206" s="1296"/>
      <c r="BQ206" s="1296"/>
      <c r="BR206" s="1296"/>
      <c r="BS206" s="1296"/>
      <c r="BT206" s="1296"/>
      <c r="BU206" s="1296"/>
      <c r="BV206" s="1296"/>
      <c r="BW206" s="1296"/>
      <c r="BX206" s="1296"/>
      <c r="BY206" s="1296"/>
      <c r="BZ206" s="1296"/>
      <c r="CA206" s="1296"/>
      <c r="CB206" s="1296"/>
      <c r="CC206" s="1296"/>
      <c r="CD206" s="1296"/>
      <c r="CE206" s="1296"/>
      <c r="CF206" s="1296"/>
      <c r="CG206" s="1296"/>
      <c r="CH206" s="1296"/>
      <c r="CI206" s="1296"/>
      <c r="CJ206" s="1296"/>
      <c r="CK206" s="1296"/>
    </row>
    <row r="207" spans="1:89" x14ac:dyDescent="0.25">
      <c r="A207" s="1296"/>
      <c r="B207" s="1721"/>
      <c r="C207" s="1205">
        <v>2</v>
      </c>
      <c r="D207" s="1196" t="s">
        <v>1856</v>
      </c>
      <c r="E207" s="1196" t="s">
        <v>1444</v>
      </c>
      <c r="F207" s="1196" t="str">
        <f>'Required Info to Submit'!E24</f>
        <v/>
      </c>
      <c r="G207" s="1393" t="str">
        <f>IF(F207="","",'Required Info to Submit'!K24)</f>
        <v/>
      </c>
      <c r="H207" s="1394" t="str">
        <f>IF(F207="","",'Required Info to Submit'!L24)</f>
        <v/>
      </c>
      <c r="I207" s="1196" t="str">
        <f>'Required Info to Submit'!F24</f>
        <v/>
      </c>
      <c r="J207" s="1196" t="str">
        <f>'Required Info to Submit'!G24</f>
        <v/>
      </c>
      <c r="K207" s="1196" t="str">
        <f>'Required Info to Submit'!H24</f>
        <v/>
      </c>
      <c r="L207" s="1196" t="str">
        <f>'Required Info to Submit'!I24</f>
        <v/>
      </c>
      <c r="M207" s="1196" t="str">
        <f>'Required Info to Submit'!J24</f>
        <v/>
      </c>
      <c r="N207" s="1296"/>
      <c r="O207" s="1296"/>
      <c r="P207" s="1296"/>
      <c r="Q207" s="138"/>
      <c r="R207" s="1296"/>
      <c r="S207" s="1296"/>
      <c r="T207" s="1721"/>
      <c r="U207" s="1205">
        <v>2</v>
      </c>
      <c r="V207" s="1196" t="s">
        <v>1856</v>
      </c>
      <c r="W207" s="1196" t="s">
        <v>1444</v>
      </c>
      <c r="X207" s="1204" t="str">
        <f>'Required Info to Submit'!E24</f>
        <v/>
      </c>
      <c r="Y207" s="1400" t="str">
        <f>IF(X207="","",'Required Info to Submit'!K24)</f>
        <v/>
      </c>
      <c r="Z207" s="1401" t="str">
        <f>IF(X207="","",'Required Info to Submit'!L24)</f>
        <v/>
      </c>
      <c r="AA207" s="1204" t="str">
        <f>'Required Info to Submit'!F24</f>
        <v/>
      </c>
      <c r="AB207" s="1204" t="str">
        <f>'Required Info to Submit'!G24</f>
        <v/>
      </c>
      <c r="AC207" s="1204" t="str">
        <f>'Required Info to Submit'!H24</f>
        <v/>
      </c>
      <c r="AD207" s="1204" t="str">
        <f>'Required Info to Submit'!I24</f>
        <v/>
      </c>
      <c r="AE207" s="1204" t="str">
        <f>'Required Info to Submit'!J24</f>
        <v/>
      </c>
      <c r="AF207" s="1296"/>
      <c r="AG207" s="1296"/>
      <c r="AH207" s="1296"/>
      <c r="AI207" s="138"/>
      <c r="AJ207" s="1296"/>
      <c r="AK207" s="1296"/>
      <c r="AL207" s="1296"/>
      <c r="AM207" s="1296"/>
      <c r="AN207" s="1296"/>
      <c r="AO207" s="1296"/>
      <c r="AP207" s="1296"/>
      <c r="AQ207" s="1296"/>
      <c r="AR207" s="1296"/>
      <c r="AS207" s="1296"/>
      <c r="AT207" s="1296"/>
      <c r="AU207" s="1296"/>
      <c r="AV207" s="1296"/>
      <c r="AW207" s="1296"/>
      <c r="AX207" s="1296"/>
      <c r="AY207" s="1296"/>
      <c r="AZ207" s="1296"/>
      <c r="BA207" s="1296"/>
      <c r="BB207" s="1296"/>
      <c r="BC207" s="1296"/>
      <c r="BD207" s="1296"/>
      <c r="BE207" s="1296"/>
      <c r="BF207" s="1296"/>
      <c r="BG207" s="1296"/>
      <c r="BH207" s="1296"/>
      <c r="BI207" s="1296"/>
      <c r="BJ207" s="1296"/>
      <c r="BK207" s="1296"/>
      <c r="BL207" s="1296"/>
      <c r="BM207" s="1296"/>
      <c r="BN207" s="1296"/>
      <c r="BO207" s="1296"/>
      <c r="BP207" s="1296"/>
      <c r="BQ207" s="1296"/>
      <c r="BR207" s="1296"/>
      <c r="BS207" s="1296"/>
      <c r="BT207" s="1296"/>
      <c r="BU207" s="1296"/>
      <c r="BV207" s="1296"/>
      <c r="BW207" s="1296"/>
      <c r="BX207" s="1296"/>
      <c r="BY207" s="1296"/>
      <c r="BZ207" s="1296"/>
      <c r="CA207" s="1296"/>
      <c r="CB207" s="1296"/>
      <c r="CC207" s="1296"/>
      <c r="CD207" s="1296"/>
      <c r="CE207" s="1296"/>
      <c r="CF207" s="1296"/>
      <c r="CG207" s="1296"/>
      <c r="CH207" s="1296"/>
      <c r="CI207" s="1296"/>
      <c r="CJ207" s="1296"/>
      <c r="CK207" s="1296"/>
    </row>
    <row r="208" spans="1:89" x14ac:dyDescent="0.25">
      <c r="A208" s="1296"/>
      <c r="B208" s="1721"/>
      <c r="C208" s="1205">
        <v>3</v>
      </c>
      <c r="D208" s="1196" t="s">
        <v>1856</v>
      </c>
      <c r="E208" s="1196" t="s">
        <v>1444</v>
      </c>
      <c r="F208" s="1196" t="str">
        <f>'Required Info to Submit'!E25</f>
        <v/>
      </c>
      <c r="G208" s="1393" t="str">
        <f>IF(F208="","",'Required Info to Submit'!K25)</f>
        <v/>
      </c>
      <c r="H208" s="1394" t="str">
        <f>IF(F208="","",'Required Info to Submit'!L25)</f>
        <v/>
      </c>
      <c r="I208" s="1196" t="str">
        <f>'Required Info to Submit'!F25</f>
        <v/>
      </c>
      <c r="J208" s="1196" t="str">
        <f>'Required Info to Submit'!G25</f>
        <v/>
      </c>
      <c r="K208" s="1196" t="str">
        <f>'Required Info to Submit'!H25</f>
        <v/>
      </c>
      <c r="L208" s="1196" t="str">
        <f>'Required Info to Submit'!I25</f>
        <v/>
      </c>
      <c r="M208" s="1196" t="str">
        <f>'Required Info to Submit'!J25</f>
        <v/>
      </c>
      <c r="N208" s="1296"/>
      <c r="O208" s="1296"/>
      <c r="P208" s="1296"/>
      <c r="Q208" s="138"/>
      <c r="R208" s="1296"/>
      <c r="S208" s="1296"/>
      <c r="T208" s="1721"/>
      <c r="U208" s="1205">
        <v>3</v>
      </c>
      <c r="V208" s="1196" t="s">
        <v>1856</v>
      </c>
      <c r="W208" s="1196" t="s">
        <v>1444</v>
      </c>
      <c r="X208" s="1204" t="str">
        <f>'Required Info to Submit'!E25</f>
        <v/>
      </c>
      <c r="Y208" s="1400" t="str">
        <f>IF(X208="","",'Required Info to Submit'!K25)</f>
        <v/>
      </c>
      <c r="Z208" s="1401" t="str">
        <f>IF(X208="","",'Required Info to Submit'!L25)</f>
        <v/>
      </c>
      <c r="AA208" s="1204" t="str">
        <f>'Required Info to Submit'!F25</f>
        <v/>
      </c>
      <c r="AB208" s="1204" t="str">
        <f>'Required Info to Submit'!G25</f>
        <v/>
      </c>
      <c r="AC208" s="1204" t="str">
        <f>'Required Info to Submit'!H25</f>
        <v/>
      </c>
      <c r="AD208" s="1204" t="str">
        <f>'Required Info to Submit'!I25</f>
        <v/>
      </c>
      <c r="AE208" s="1204" t="str">
        <f>'Required Info to Submit'!J25</f>
        <v/>
      </c>
      <c r="AF208" s="1296"/>
      <c r="AG208" s="1296"/>
      <c r="AH208" s="1296"/>
      <c r="AI208" s="138"/>
      <c r="AJ208" s="1296"/>
      <c r="AK208" s="1296"/>
      <c r="AL208" s="1296"/>
      <c r="AM208" s="1296"/>
      <c r="AN208" s="1296"/>
      <c r="AO208" s="1296"/>
      <c r="AP208" s="1296"/>
      <c r="AQ208" s="1296"/>
      <c r="AR208" s="1296"/>
      <c r="AS208" s="1296"/>
      <c r="AT208" s="1296"/>
      <c r="AU208" s="1296"/>
      <c r="AV208" s="1296"/>
      <c r="AW208" s="1296"/>
      <c r="AX208" s="1296"/>
      <c r="AY208" s="1296"/>
      <c r="AZ208" s="1296"/>
      <c r="BA208" s="1296"/>
      <c r="BB208" s="1296"/>
      <c r="BC208" s="1296"/>
      <c r="BD208" s="1296"/>
      <c r="BE208" s="1296"/>
      <c r="BF208" s="1296"/>
      <c r="BG208" s="1296"/>
      <c r="BH208" s="1296"/>
      <c r="BI208" s="1296"/>
      <c r="BJ208" s="1296"/>
      <c r="BK208" s="1296"/>
      <c r="BL208" s="1296"/>
      <c r="BM208" s="1296"/>
      <c r="BN208" s="1296"/>
      <c r="BO208" s="1296"/>
      <c r="BP208" s="1296"/>
      <c r="BQ208" s="1296"/>
      <c r="BR208" s="1296"/>
      <c r="BS208" s="1296"/>
      <c r="BT208" s="1296"/>
      <c r="BU208" s="1296"/>
      <c r="BV208" s="1296"/>
      <c r="BW208" s="1296"/>
      <c r="BX208" s="1296"/>
      <c r="BY208" s="1296"/>
      <c r="BZ208" s="1296"/>
      <c r="CA208" s="1296"/>
      <c r="CB208" s="1296"/>
      <c r="CC208" s="1296"/>
      <c r="CD208" s="1296"/>
      <c r="CE208" s="1296"/>
      <c r="CF208" s="1296"/>
      <c r="CG208" s="1296"/>
      <c r="CH208" s="1296"/>
      <c r="CI208" s="1296"/>
      <c r="CJ208" s="1296"/>
      <c r="CK208" s="1296"/>
    </row>
    <row r="209" spans="1:89" x14ac:dyDescent="0.25">
      <c r="A209" s="1296"/>
      <c r="B209" s="1721"/>
      <c r="C209" s="1205">
        <v>4</v>
      </c>
      <c r="D209" s="1196" t="s">
        <v>1856</v>
      </c>
      <c r="E209" s="1196" t="s">
        <v>1444</v>
      </c>
      <c r="F209" s="1196" t="str">
        <f>'Required Info to Submit'!E26</f>
        <v/>
      </c>
      <c r="G209" s="1393" t="str">
        <f>IF(F209="","",'Required Info to Submit'!K26)</f>
        <v/>
      </c>
      <c r="H209" s="1394" t="str">
        <f>IF(F209="","",'Required Info to Submit'!L26)</f>
        <v/>
      </c>
      <c r="I209" s="1196" t="str">
        <f>'Required Info to Submit'!F26</f>
        <v/>
      </c>
      <c r="J209" s="1196" t="str">
        <f>'Required Info to Submit'!G26</f>
        <v/>
      </c>
      <c r="K209" s="1196" t="str">
        <f>'Required Info to Submit'!H26</f>
        <v/>
      </c>
      <c r="L209" s="1196" t="str">
        <f>'Required Info to Submit'!I26</f>
        <v/>
      </c>
      <c r="M209" s="1196" t="str">
        <f>'Required Info to Submit'!J26</f>
        <v/>
      </c>
      <c r="N209" s="1296"/>
      <c r="O209" s="1296"/>
      <c r="P209" s="1296"/>
      <c r="Q209" s="138"/>
      <c r="R209" s="1296"/>
      <c r="S209" s="1296"/>
      <c r="T209" s="1721"/>
      <c r="U209" s="1205">
        <v>4</v>
      </c>
      <c r="V209" s="1196" t="s">
        <v>1856</v>
      </c>
      <c r="W209" s="1196" t="s">
        <v>1444</v>
      </c>
      <c r="X209" s="1204" t="str">
        <f>'Required Info to Submit'!E26</f>
        <v/>
      </c>
      <c r="Y209" s="1400" t="str">
        <f>IF(X209="","",'Required Info to Submit'!K26)</f>
        <v/>
      </c>
      <c r="Z209" s="1401" t="str">
        <f>IF(X209="","",'Required Info to Submit'!L26)</f>
        <v/>
      </c>
      <c r="AA209" s="1204" t="str">
        <f>'Required Info to Submit'!F26</f>
        <v/>
      </c>
      <c r="AB209" s="1204" t="str">
        <f>'Required Info to Submit'!G26</f>
        <v/>
      </c>
      <c r="AC209" s="1204" t="str">
        <f>'Required Info to Submit'!H26</f>
        <v/>
      </c>
      <c r="AD209" s="1204" t="str">
        <f>'Required Info to Submit'!I26</f>
        <v/>
      </c>
      <c r="AE209" s="1204" t="str">
        <f>'Required Info to Submit'!J26</f>
        <v/>
      </c>
      <c r="AF209" s="1296"/>
      <c r="AG209" s="1296"/>
      <c r="AH209" s="1296"/>
      <c r="AI209" s="138"/>
      <c r="AJ209" s="1296"/>
      <c r="AK209" s="1296"/>
      <c r="AL209" s="1296"/>
      <c r="AM209" s="1296"/>
      <c r="AN209" s="1296"/>
      <c r="AO209" s="1296"/>
      <c r="AP209" s="1296"/>
      <c r="AQ209" s="1296"/>
      <c r="AR209" s="1296"/>
      <c r="AS209" s="1296"/>
      <c r="AT209" s="1296"/>
      <c r="AU209" s="1296"/>
      <c r="AV209" s="1296"/>
      <c r="AW209" s="1296"/>
      <c r="AX209" s="1296"/>
      <c r="AY209" s="1296"/>
      <c r="AZ209" s="1296"/>
      <c r="BA209" s="1296"/>
      <c r="BB209" s="1296"/>
      <c r="BC209" s="1296"/>
      <c r="BD209" s="1296"/>
      <c r="BE209" s="1296"/>
      <c r="BF209" s="1296"/>
      <c r="BG209" s="1296"/>
      <c r="BH209" s="1296"/>
      <c r="BI209" s="1296"/>
      <c r="BJ209" s="1296"/>
      <c r="BK209" s="1296"/>
      <c r="BL209" s="1296"/>
      <c r="BM209" s="1296"/>
      <c r="BN209" s="1296"/>
      <c r="BO209" s="1296"/>
      <c r="BP209" s="1296"/>
      <c r="BQ209" s="1296"/>
      <c r="BR209" s="1296"/>
      <c r="BS209" s="1296"/>
      <c r="BT209" s="1296"/>
      <c r="BU209" s="1296"/>
      <c r="BV209" s="1296"/>
      <c r="BW209" s="1296"/>
      <c r="BX209" s="1296"/>
      <c r="BY209" s="1296"/>
      <c r="BZ209" s="1296"/>
      <c r="CA209" s="1296"/>
      <c r="CB209" s="1296"/>
      <c r="CC209" s="1296"/>
      <c r="CD209" s="1296"/>
      <c r="CE209" s="1296"/>
      <c r="CF209" s="1296"/>
      <c r="CG209" s="1296"/>
      <c r="CH209" s="1296"/>
      <c r="CI209" s="1296"/>
      <c r="CJ209" s="1296"/>
      <c r="CK209" s="1296"/>
    </row>
    <row r="210" spans="1:89" x14ac:dyDescent="0.25">
      <c r="A210" s="1296"/>
      <c r="B210" s="1721"/>
      <c r="C210" s="1205">
        <v>5</v>
      </c>
      <c r="D210" s="1196" t="s">
        <v>1856</v>
      </c>
      <c r="E210" s="1196" t="s">
        <v>1444</v>
      </c>
      <c r="F210" s="1196" t="str">
        <f>'Required Info to Submit'!E27</f>
        <v/>
      </c>
      <c r="G210" s="1393" t="str">
        <f>IF(F210="","",'Required Info to Submit'!K27)</f>
        <v/>
      </c>
      <c r="H210" s="1394" t="str">
        <f>IF(F210="","",'Required Info to Submit'!L27)</f>
        <v/>
      </c>
      <c r="I210" s="1196" t="str">
        <f>'Required Info to Submit'!F27</f>
        <v/>
      </c>
      <c r="J210" s="1196" t="str">
        <f>'Required Info to Submit'!G27</f>
        <v/>
      </c>
      <c r="K210" s="1196" t="str">
        <f>'Required Info to Submit'!H27</f>
        <v/>
      </c>
      <c r="L210" s="1196" t="str">
        <f>'Required Info to Submit'!I27</f>
        <v/>
      </c>
      <c r="M210" s="1196" t="str">
        <f>'Required Info to Submit'!J27</f>
        <v/>
      </c>
      <c r="N210" s="1296"/>
      <c r="O210" s="1296"/>
      <c r="P210" s="1296"/>
      <c r="Q210" s="138"/>
      <c r="R210" s="1296"/>
      <c r="S210" s="1296"/>
      <c r="T210" s="1721"/>
      <c r="U210" s="1205">
        <v>5</v>
      </c>
      <c r="V210" s="1196" t="s">
        <v>1856</v>
      </c>
      <c r="W210" s="1196" t="s">
        <v>1444</v>
      </c>
      <c r="X210" s="1204" t="str">
        <f>'Required Info to Submit'!E27</f>
        <v/>
      </c>
      <c r="Y210" s="1400" t="str">
        <f>IF(X210="","",'Required Info to Submit'!K27)</f>
        <v/>
      </c>
      <c r="Z210" s="1401" t="str">
        <f>IF(X210="","",'Required Info to Submit'!L27)</f>
        <v/>
      </c>
      <c r="AA210" s="1204" t="str">
        <f>'Required Info to Submit'!F27</f>
        <v/>
      </c>
      <c r="AB210" s="1204" t="str">
        <f>'Required Info to Submit'!G27</f>
        <v/>
      </c>
      <c r="AC210" s="1204" t="str">
        <f>'Required Info to Submit'!H27</f>
        <v/>
      </c>
      <c r="AD210" s="1204" t="str">
        <f>'Required Info to Submit'!I27</f>
        <v/>
      </c>
      <c r="AE210" s="1204" t="str">
        <f>'Required Info to Submit'!J27</f>
        <v/>
      </c>
      <c r="AF210" s="1296"/>
      <c r="AG210" s="1296"/>
      <c r="AH210" s="1296"/>
      <c r="AI210" s="138"/>
      <c r="AJ210" s="1296"/>
      <c r="AK210" s="1296"/>
      <c r="AL210" s="1296"/>
      <c r="AM210" s="1296"/>
      <c r="AN210" s="1296"/>
      <c r="AO210" s="1296"/>
      <c r="AP210" s="1296"/>
      <c r="AQ210" s="1296"/>
      <c r="AR210" s="1296"/>
      <c r="AS210" s="1296"/>
      <c r="AT210" s="1296"/>
      <c r="AU210" s="1296"/>
      <c r="AV210" s="1296"/>
      <c r="AW210" s="1296"/>
      <c r="AX210" s="1296"/>
      <c r="AY210" s="1296"/>
      <c r="AZ210" s="1296"/>
      <c r="BA210" s="1296"/>
      <c r="BB210" s="1296"/>
      <c r="BC210" s="1296"/>
      <c r="BD210" s="1296"/>
      <c r="BE210" s="1296"/>
      <c r="BF210" s="1296"/>
      <c r="BG210" s="1296"/>
      <c r="BH210" s="1296"/>
      <c r="BI210" s="1296"/>
      <c r="BJ210" s="1296"/>
      <c r="BK210" s="1296"/>
      <c r="BL210" s="1296"/>
      <c r="BM210" s="1296"/>
      <c r="BN210" s="1296"/>
      <c r="BO210" s="1296"/>
      <c r="BP210" s="1296"/>
      <c r="BQ210" s="1296"/>
      <c r="BR210" s="1296"/>
      <c r="BS210" s="1296"/>
      <c r="BT210" s="1296"/>
      <c r="BU210" s="1296"/>
      <c r="BV210" s="1296"/>
      <c r="BW210" s="1296"/>
      <c r="BX210" s="1296"/>
      <c r="BY210" s="1296"/>
      <c r="BZ210" s="1296"/>
      <c r="CA210" s="1296"/>
      <c r="CB210" s="1296"/>
      <c r="CC210" s="1296"/>
      <c r="CD210" s="1296"/>
      <c r="CE210" s="1296"/>
      <c r="CF210" s="1296"/>
      <c r="CG210" s="1296"/>
      <c r="CH210" s="1296"/>
      <c r="CI210" s="1296"/>
      <c r="CJ210" s="1296"/>
      <c r="CK210" s="1296"/>
    </row>
    <row r="211" spans="1:89" x14ac:dyDescent="0.25">
      <c r="A211" s="1296"/>
      <c r="B211" s="1721"/>
      <c r="C211" s="1205">
        <v>6</v>
      </c>
      <c r="D211" s="1196" t="s">
        <v>1856</v>
      </c>
      <c r="E211" s="1196" t="s">
        <v>1444</v>
      </c>
      <c r="F211" s="1196" t="str">
        <f>'Required Info to Submit'!E28</f>
        <v/>
      </c>
      <c r="G211" s="1393" t="str">
        <f>IF(F211="","",'Required Info to Submit'!K28)</f>
        <v/>
      </c>
      <c r="H211" s="1394" t="str">
        <f>IF(F211="","",'Required Info to Submit'!L28)</f>
        <v/>
      </c>
      <c r="I211" s="1196" t="str">
        <f>'Required Info to Submit'!F28</f>
        <v/>
      </c>
      <c r="J211" s="1196" t="str">
        <f>'Required Info to Submit'!G28</f>
        <v/>
      </c>
      <c r="K211" s="1196" t="str">
        <f>'Required Info to Submit'!H28</f>
        <v/>
      </c>
      <c r="L211" s="1196" t="str">
        <f>'Required Info to Submit'!I28</f>
        <v/>
      </c>
      <c r="M211" s="1196" t="str">
        <f>'Required Info to Submit'!J28</f>
        <v/>
      </c>
      <c r="N211" s="1296"/>
      <c r="O211" s="1296"/>
      <c r="P211" s="1296"/>
      <c r="Q211" s="138"/>
      <c r="R211" s="1296"/>
      <c r="S211" s="1296"/>
      <c r="T211" s="1721"/>
      <c r="U211" s="1205">
        <v>6</v>
      </c>
      <c r="V211" s="1196" t="s">
        <v>1856</v>
      </c>
      <c r="W211" s="1196" t="s">
        <v>1444</v>
      </c>
      <c r="X211" s="1204" t="str">
        <f>'Required Info to Submit'!E28</f>
        <v/>
      </c>
      <c r="Y211" s="1400" t="str">
        <f>IF(X211="","",'Required Info to Submit'!K28)</f>
        <v/>
      </c>
      <c r="Z211" s="1401" t="str">
        <f>IF(X211="","",'Required Info to Submit'!L28)</f>
        <v/>
      </c>
      <c r="AA211" s="1204" t="str">
        <f>'Required Info to Submit'!F28</f>
        <v/>
      </c>
      <c r="AB211" s="1204" t="str">
        <f>'Required Info to Submit'!G28</f>
        <v/>
      </c>
      <c r="AC211" s="1204" t="str">
        <f>'Required Info to Submit'!H28</f>
        <v/>
      </c>
      <c r="AD211" s="1204" t="str">
        <f>'Required Info to Submit'!I28</f>
        <v/>
      </c>
      <c r="AE211" s="1204" t="str">
        <f>'Required Info to Submit'!J28</f>
        <v/>
      </c>
      <c r="AF211" s="1296"/>
      <c r="AG211" s="1296"/>
      <c r="AH211" s="1296"/>
      <c r="AI211" s="138"/>
      <c r="AJ211" s="1296"/>
      <c r="AK211" s="1296"/>
      <c r="AL211" s="1296"/>
      <c r="AM211" s="1296"/>
      <c r="AN211" s="1296"/>
      <c r="AO211" s="1296"/>
      <c r="AP211" s="1296"/>
      <c r="AQ211" s="1296"/>
      <c r="AR211" s="1296"/>
      <c r="AS211" s="1296"/>
      <c r="AT211" s="1296"/>
      <c r="AU211" s="1296"/>
      <c r="AV211" s="1296"/>
      <c r="AW211" s="1296"/>
      <c r="AX211" s="1296"/>
      <c r="AY211" s="1296"/>
      <c r="AZ211" s="1296"/>
      <c r="BA211" s="1296"/>
      <c r="BB211" s="1296"/>
      <c r="BC211" s="1296"/>
      <c r="BD211" s="1296"/>
      <c r="BE211" s="1296"/>
      <c r="BF211" s="1296"/>
      <c r="BG211" s="1296"/>
      <c r="BH211" s="1296"/>
      <c r="BI211" s="1296"/>
      <c r="BJ211" s="1296"/>
      <c r="BK211" s="1296"/>
      <c r="BL211" s="1296"/>
      <c r="BM211" s="1296"/>
      <c r="BN211" s="1296"/>
      <c r="BO211" s="1296"/>
      <c r="BP211" s="1296"/>
      <c r="BQ211" s="1296"/>
      <c r="BR211" s="1296"/>
      <c r="BS211" s="1296"/>
      <c r="BT211" s="1296"/>
      <c r="BU211" s="1296"/>
      <c r="BV211" s="1296"/>
      <c r="BW211" s="1296"/>
      <c r="BX211" s="1296"/>
      <c r="BY211" s="1296"/>
      <c r="BZ211" s="1296"/>
      <c r="CA211" s="1296"/>
      <c r="CB211" s="1296"/>
      <c r="CC211" s="1296"/>
      <c r="CD211" s="1296"/>
      <c r="CE211" s="1296"/>
      <c r="CF211" s="1296"/>
      <c r="CG211" s="1296"/>
      <c r="CH211" s="1296"/>
      <c r="CI211" s="1296"/>
      <c r="CJ211" s="1296"/>
      <c r="CK211" s="1296"/>
    </row>
    <row r="212" spans="1:89" x14ac:dyDescent="0.25">
      <c r="A212" s="1296"/>
      <c r="B212" s="1721"/>
      <c r="C212" s="1205">
        <v>7</v>
      </c>
      <c r="D212" s="1196" t="s">
        <v>1856</v>
      </c>
      <c r="E212" s="1196" t="s">
        <v>1444</v>
      </c>
      <c r="F212" s="1196" t="str">
        <f>'Required Info to Submit'!E29</f>
        <v/>
      </c>
      <c r="G212" s="1393" t="str">
        <f>IF(F212="","",'Required Info to Submit'!K29)</f>
        <v/>
      </c>
      <c r="H212" s="1394" t="str">
        <f>IF(F212="","",'Required Info to Submit'!L29)</f>
        <v/>
      </c>
      <c r="I212" s="1196" t="str">
        <f>'Required Info to Submit'!F29</f>
        <v/>
      </c>
      <c r="J212" s="1196" t="str">
        <f>'Required Info to Submit'!G29</f>
        <v/>
      </c>
      <c r="K212" s="1196" t="str">
        <f>'Required Info to Submit'!H29</f>
        <v/>
      </c>
      <c r="L212" s="1196" t="str">
        <f>'Required Info to Submit'!I29</f>
        <v/>
      </c>
      <c r="M212" s="1196" t="str">
        <f>'Required Info to Submit'!J29</f>
        <v/>
      </c>
      <c r="N212" s="1296"/>
      <c r="O212" s="1296"/>
      <c r="P212" s="1296"/>
      <c r="Q212" s="138"/>
      <c r="R212" s="1296"/>
      <c r="S212" s="1296"/>
      <c r="T212" s="1721"/>
      <c r="U212" s="1205">
        <v>7</v>
      </c>
      <c r="V212" s="1196" t="s">
        <v>1856</v>
      </c>
      <c r="W212" s="1196" t="s">
        <v>1444</v>
      </c>
      <c r="X212" s="1204" t="str">
        <f>'Required Info to Submit'!E29</f>
        <v/>
      </c>
      <c r="Y212" s="1400" t="str">
        <f>IF(X212="","",'Required Info to Submit'!K29)</f>
        <v/>
      </c>
      <c r="Z212" s="1401" t="str">
        <f>IF(X212="","",'Required Info to Submit'!L29)</f>
        <v/>
      </c>
      <c r="AA212" s="1204" t="str">
        <f>'Required Info to Submit'!F29</f>
        <v/>
      </c>
      <c r="AB212" s="1204" t="str">
        <f>'Required Info to Submit'!G29</f>
        <v/>
      </c>
      <c r="AC212" s="1204" t="str">
        <f>'Required Info to Submit'!H29</f>
        <v/>
      </c>
      <c r="AD212" s="1204" t="str">
        <f>'Required Info to Submit'!I29</f>
        <v/>
      </c>
      <c r="AE212" s="1204" t="str">
        <f>'Required Info to Submit'!J29</f>
        <v/>
      </c>
      <c r="AF212" s="1296"/>
      <c r="AG212" s="1296"/>
      <c r="AH212" s="1296"/>
      <c r="AI212" s="138"/>
      <c r="AJ212" s="1296"/>
      <c r="AK212" s="1296"/>
      <c r="AL212" s="1296"/>
      <c r="AM212" s="1296"/>
      <c r="AN212" s="1296"/>
      <c r="AO212" s="1296"/>
      <c r="AP212" s="1296"/>
      <c r="AQ212" s="1296"/>
      <c r="AR212" s="1296"/>
      <c r="AS212" s="1296"/>
      <c r="AT212" s="1296"/>
      <c r="AU212" s="1296"/>
      <c r="AV212" s="1296"/>
      <c r="AW212" s="1296"/>
      <c r="AX212" s="1296"/>
      <c r="AY212" s="1296"/>
      <c r="AZ212" s="1296"/>
      <c r="BA212" s="1296"/>
      <c r="BB212" s="1296"/>
      <c r="BC212" s="1296"/>
      <c r="BD212" s="1296"/>
      <c r="BE212" s="1296"/>
      <c r="BF212" s="1296"/>
      <c r="BG212" s="1296"/>
      <c r="BH212" s="1296"/>
      <c r="BI212" s="1296"/>
      <c r="BJ212" s="1296"/>
      <c r="BK212" s="1296"/>
      <c r="BL212" s="1296"/>
      <c r="BM212" s="1296"/>
      <c r="BN212" s="1296"/>
      <c r="BO212" s="1296"/>
      <c r="BP212" s="1296"/>
      <c r="BQ212" s="1296"/>
      <c r="BR212" s="1296"/>
      <c r="BS212" s="1296"/>
      <c r="BT212" s="1296"/>
      <c r="BU212" s="1296"/>
      <c r="BV212" s="1296"/>
      <c r="BW212" s="1296"/>
      <c r="BX212" s="1296"/>
      <c r="BY212" s="1296"/>
      <c r="BZ212" s="1296"/>
      <c r="CA212" s="1296"/>
      <c r="CB212" s="1296"/>
      <c r="CC212" s="1296"/>
      <c r="CD212" s="1296"/>
      <c r="CE212" s="1296"/>
      <c r="CF212" s="1296"/>
      <c r="CG212" s="1296"/>
      <c r="CH212" s="1296"/>
      <c r="CI212" s="1296"/>
      <c r="CJ212" s="1296"/>
      <c r="CK212" s="1296"/>
    </row>
    <row r="213" spans="1:89" x14ac:dyDescent="0.25">
      <c r="A213" s="1296"/>
      <c r="B213" s="1721"/>
      <c r="C213" s="1205">
        <v>8</v>
      </c>
      <c r="D213" s="1196" t="s">
        <v>1856</v>
      </c>
      <c r="E213" s="1196" t="s">
        <v>1444</v>
      </c>
      <c r="F213" s="1196" t="str">
        <f>'Required Info to Submit'!E30</f>
        <v/>
      </c>
      <c r="G213" s="1393" t="str">
        <f>IF(F213="","",'Required Info to Submit'!K30)</f>
        <v/>
      </c>
      <c r="H213" s="1394" t="str">
        <f>IF(F213="","",'Required Info to Submit'!L30)</f>
        <v/>
      </c>
      <c r="I213" s="1196" t="str">
        <f>'Required Info to Submit'!F30</f>
        <v/>
      </c>
      <c r="J213" s="1196" t="str">
        <f>'Required Info to Submit'!G30</f>
        <v/>
      </c>
      <c r="K213" s="1196" t="str">
        <f>'Required Info to Submit'!H30</f>
        <v/>
      </c>
      <c r="L213" s="1196" t="str">
        <f>'Required Info to Submit'!I30</f>
        <v/>
      </c>
      <c r="M213" s="1196" t="str">
        <f>'Required Info to Submit'!J30</f>
        <v/>
      </c>
      <c r="N213" s="1296"/>
      <c r="O213" s="1296"/>
      <c r="P213" s="1296"/>
      <c r="Q213" s="138"/>
      <c r="R213" s="1296"/>
      <c r="S213" s="1296"/>
      <c r="T213" s="1721"/>
      <c r="U213" s="1205">
        <v>8</v>
      </c>
      <c r="V213" s="1196" t="s">
        <v>1856</v>
      </c>
      <c r="W213" s="1196" t="s">
        <v>1444</v>
      </c>
      <c r="X213" s="1204" t="str">
        <f>'Required Info to Submit'!E30</f>
        <v/>
      </c>
      <c r="Y213" s="1400" t="str">
        <f>IF(X213="","",'Required Info to Submit'!K30)</f>
        <v/>
      </c>
      <c r="Z213" s="1401" t="str">
        <f>IF(X213="","",'Required Info to Submit'!L30)</f>
        <v/>
      </c>
      <c r="AA213" s="1204" t="str">
        <f>'Required Info to Submit'!F30</f>
        <v/>
      </c>
      <c r="AB213" s="1204" t="str">
        <f>'Required Info to Submit'!G30</f>
        <v/>
      </c>
      <c r="AC213" s="1204" t="str">
        <f>'Required Info to Submit'!H30</f>
        <v/>
      </c>
      <c r="AD213" s="1204" t="str">
        <f>'Required Info to Submit'!I30</f>
        <v/>
      </c>
      <c r="AE213" s="1204" t="str">
        <f>'Required Info to Submit'!J30</f>
        <v/>
      </c>
      <c r="AF213" s="1296"/>
      <c r="AG213" s="1296"/>
      <c r="AH213" s="1296"/>
      <c r="AI213" s="138"/>
      <c r="AJ213" s="1296"/>
      <c r="AK213" s="1296"/>
      <c r="AL213" s="1296"/>
      <c r="AM213" s="1296"/>
      <c r="AN213" s="1296"/>
      <c r="AO213" s="1296"/>
      <c r="AP213" s="1296"/>
      <c r="AQ213" s="1296"/>
      <c r="AR213" s="1296"/>
      <c r="AS213" s="1296"/>
      <c r="AT213" s="1296"/>
      <c r="AU213" s="1296"/>
      <c r="AV213" s="1296"/>
      <c r="AW213" s="1296"/>
      <c r="AX213" s="1296"/>
      <c r="AY213" s="1296"/>
      <c r="AZ213" s="1296"/>
      <c r="BA213" s="1296"/>
      <c r="BB213" s="1296"/>
      <c r="BC213" s="1296"/>
      <c r="BD213" s="1296"/>
      <c r="BE213" s="1296"/>
      <c r="BF213" s="1296"/>
      <c r="BG213" s="1296"/>
      <c r="BH213" s="1296"/>
      <c r="BI213" s="1296"/>
      <c r="BJ213" s="1296"/>
      <c r="BK213" s="1296"/>
      <c r="BL213" s="1296"/>
      <c r="BM213" s="1296"/>
      <c r="BN213" s="1296"/>
      <c r="BO213" s="1296"/>
      <c r="BP213" s="1296"/>
      <c r="BQ213" s="1296"/>
      <c r="BR213" s="1296"/>
      <c r="BS213" s="1296"/>
      <c r="BT213" s="1296"/>
      <c r="BU213" s="1296"/>
      <c r="BV213" s="1296"/>
      <c r="BW213" s="1296"/>
      <c r="BX213" s="1296"/>
      <c r="BY213" s="1296"/>
      <c r="BZ213" s="1296"/>
      <c r="CA213" s="1296"/>
      <c r="CB213" s="1296"/>
      <c r="CC213" s="1296"/>
      <c r="CD213" s="1296"/>
      <c r="CE213" s="1296"/>
      <c r="CF213" s="1296"/>
      <c r="CG213" s="1296"/>
      <c r="CH213" s="1296"/>
      <c r="CI213" s="1296"/>
      <c r="CJ213" s="1296"/>
      <c r="CK213" s="1296"/>
    </row>
    <row r="214" spans="1:89" x14ac:dyDescent="0.25">
      <c r="A214" s="1296"/>
      <c r="B214" s="1721"/>
      <c r="C214" s="1205">
        <v>9</v>
      </c>
      <c r="D214" s="1196" t="s">
        <v>1856</v>
      </c>
      <c r="E214" s="1196" t="s">
        <v>1444</v>
      </c>
      <c r="F214" s="1196" t="str">
        <f>'Required Info to Submit'!E31</f>
        <v/>
      </c>
      <c r="G214" s="1393" t="str">
        <f>IF(F214="","",'Required Info to Submit'!K31)</f>
        <v/>
      </c>
      <c r="H214" s="1394" t="str">
        <f>IF(F214="","",'Required Info to Submit'!L31)</f>
        <v/>
      </c>
      <c r="I214" s="1196" t="str">
        <f>'Required Info to Submit'!F31</f>
        <v/>
      </c>
      <c r="J214" s="1196" t="str">
        <f>'Required Info to Submit'!G31</f>
        <v/>
      </c>
      <c r="K214" s="1196" t="str">
        <f>'Required Info to Submit'!H31</f>
        <v/>
      </c>
      <c r="L214" s="1196" t="str">
        <f>'Required Info to Submit'!I31</f>
        <v/>
      </c>
      <c r="M214" s="1196" t="str">
        <f>'Required Info to Submit'!J31</f>
        <v/>
      </c>
      <c r="N214" s="1296"/>
      <c r="O214" s="1296"/>
      <c r="P214" s="1296"/>
      <c r="Q214" s="138"/>
      <c r="R214" s="1296"/>
      <c r="S214" s="1296"/>
      <c r="T214" s="1721"/>
      <c r="U214" s="1205">
        <v>9</v>
      </c>
      <c r="V214" s="1196" t="s">
        <v>1856</v>
      </c>
      <c r="W214" s="1196" t="s">
        <v>1444</v>
      </c>
      <c r="X214" s="1204" t="str">
        <f>'Required Info to Submit'!E31</f>
        <v/>
      </c>
      <c r="Y214" s="1400" t="str">
        <f>IF(X214="","",'Required Info to Submit'!K31)</f>
        <v/>
      </c>
      <c r="Z214" s="1401" t="str">
        <f>IF(X214="","",'Required Info to Submit'!L31)</f>
        <v/>
      </c>
      <c r="AA214" s="1204" t="str">
        <f>'Required Info to Submit'!F31</f>
        <v/>
      </c>
      <c r="AB214" s="1204" t="str">
        <f>'Required Info to Submit'!G31</f>
        <v/>
      </c>
      <c r="AC214" s="1204" t="str">
        <f>'Required Info to Submit'!H31</f>
        <v/>
      </c>
      <c r="AD214" s="1204" t="str">
        <f>'Required Info to Submit'!I31</f>
        <v/>
      </c>
      <c r="AE214" s="1204" t="str">
        <f>'Required Info to Submit'!J31</f>
        <v/>
      </c>
      <c r="AF214" s="1296"/>
      <c r="AG214" s="1296"/>
      <c r="AH214" s="1296"/>
      <c r="AI214" s="138"/>
      <c r="AJ214" s="1296"/>
      <c r="AK214" s="1296"/>
      <c r="AL214" s="1296"/>
      <c r="AM214" s="1296"/>
      <c r="AN214" s="1296"/>
      <c r="AO214" s="1296"/>
      <c r="AP214" s="1296"/>
      <c r="AQ214" s="1296"/>
      <c r="AR214" s="1296"/>
      <c r="AS214" s="1296"/>
      <c r="AT214" s="1296"/>
      <c r="AU214" s="1296"/>
      <c r="AV214" s="1296"/>
      <c r="AW214" s="1296"/>
      <c r="AX214" s="1296"/>
      <c r="AY214" s="1296"/>
      <c r="AZ214" s="1296"/>
      <c r="BA214" s="1296"/>
      <c r="BB214" s="1296"/>
      <c r="BC214" s="1296"/>
      <c r="BD214" s="1296"/>
      <c r="BE214" s="1296"/>
      <c r="BF214" s="1296"/>
      <c r="BG214" s="1296"/>
      <c r="BH214" s="1296"/>
      <c r="BI214" s="1296"/>
      <c r="BJ214" s="1296"/>
      <c r="BK214" s="1296"/>
      <c r="BL214" s="1296"/>
      <c r="BM214" s="1296"/>
      <c r="BN214" s="1296"/>
      <c r="BO214" s="1296"/>
      <c r="BP214" s="1296"/>
      <c r="BQ214" s="1296"/>
      <c r="BR214" s="1296"/>
      <c r="BS214" s="1296"/>
      <c r="BT214" s="1296"/>
      <c r="BU214" s="1296"/>
      <c r="BV214" s="1296"/>
      <c r="BW214" s="1296"/>
      <c r="BX214" s="1296"/>
      <c r="BY214" s="1296"/>
      <c r="BZ214" s="1296"/>
      <c r="CA214" s="1296"/>
      <c r="CB214" s="1296"/>
      <c r="CC214" s="1296"/>
      <c r="CD214" s="1296"/>
      <c r="CE214" s="1296"/>
      <c r="CF214" s="1296"/>
      <c r="CG214" s="1296"/>
      <c r="CH214" s="1296"/>
      <c r="CI214" s="1296"/>
      <c r="CJ214" s="1296"/>
      <c r="CK214" s="1296"/>
    </row>
    <row r="215" spans="1:89" ht="15.75" thickBot="1" x14ac:dyDescent="0.3">
      <c r="A215" s="1296"/>
      <c r="B215" s="1722"/>
      <c r="C215" s="1207">
        <v>10</v>
      </c>
      <c r="D215" s="1198" t="s">
        <v>1856</v>
      </c>
      <c r="E215" s="1198" t="s">
        <v>1444</v>
      </c>
      <c r="F215" s="1198" t="str">
        <f>'Required Info to Submit'!E32</f>
        <v/>
      </c>
      <c r="G215" s="1395" t="str">
        <f>IF(F215="","",'Required Info to Submit'!K32)</f>
        <v/>
      </c>
      <c r="H215" s="1395" t="str">
        <f>IF(F215="","",'Required Info to Submit'!L32)</f>
        <v/>
      </c>
      <c r="I215" s="1198" t="str">
        <f>'Required Info to Submit'!F32</f>
        <v/>
      </c>
      <c r="J215" s="1198" t="str">
        <f>'Required Info to Submit'!G32</f>
        <v/>
      </c>
      <c r="K215" s="1198" t="str">
        <f>'Required Info to Submit'!H32</f>
        <v/>
      </c>
      <c r="L215" s="1198" t="str">
        <f>'Required Info to Submit'!I32</f>
        <v/>
      </c>
      <c r="M215" s="1198" t="str">
        <f>'Required Info to Submit'!J32</f>
        <v/>
      </c>
      <c r="N215" s="256"/>
      <c r="O215" s="256"/>
      <c r="P215" s="256"/>
      <c r="Q215" s="257"/>
      <c r="R215" s="1296"/>
      <c r="S215" s="1296"/>
      <c r="T215" s="1722"/>
      <c r="U215" s="1207">
        <v>10</v>
      </c>
      <c r="V215" s="1198" t="s">
        <v>1856</v>
      </c>
      <c r="W215" s="1198" t="s">
        <v>1444</v>
      </c>
      <c r="X215" s="1209" t="str">
        <f>'Required Info to Submit'!E32</f>
        <v/>
      </c>
      <c r="Y215" s="1402" t="str">
        <f>IF(X215="","",'Required Info to Submit'!K32)</f>
        <v/>
      </c>
      <c r="Z215" s="1402" t="str">
        <f>IF(X215="","",'Required Info to Submit'!L32)</f>
        <v/>
      </c>
      <c r="AA215" s="1209" t="str">
        <f>'Required Info to Submit'!F32</f>
        <v/>
      </c>
      <c r="AB215" s="1209" t="str">
        <f>'Required Info to Submit'!G32</f>
        <v/>
      </c>
      <c r="AC215" s="1209" t="str">
        <f>'Required Info to Submit'!H32</f>
        <v/>
      </c>
      <c r="AD215" s="1209" t="str">
        <f>'Required Info to Submit'!I32</f>
        <v/>
      </c>
      <c r="AE215" s="1209" t="str">
        <f>'Required Info to Submit'!J32</f>
        <v/>
      </c>
      <c r="AF215" s="256"/>
      <c r="AG215" s="256"/>
      <c r="AH215" s="256"/>
      <c r="AI215" s="257"/>
      <c r="AJ215" s="1296"/>
      <c r="AK215" s="1296"/>
      <c r="AL215" s="1296"/>
      <c r="AM215" s="1296"/>
      <c r="AN215" s="1296"/>
      <c r="AO215" s="1296"/>
      <c r="AP215" s="1296"/>
      <c r="AQ215" s="1296"/>
      <c r="AR215" s="1296"/>
      <c r="AS215" s="1296"/>
      <c r="AT215" s="1296"/>
      <c r="AU215" s="1296"/>
      <c r="AV215" s="1296"/>
      <c r="AW215" s="1296"/>
      <c r="AX215" s="1296"/>
      <c r="AY215" s="1296"/>
      <c r="AZ215" s="1296"/>
      <c r="BA215" s="1296"/>
      <c r="BB215" s="1296"/>
      <c r="BC215" s="1296"/>
      <c r="BD215" s="1296"/>
      <c r="BE215" s="1296"/>
      <c r="BF215" s="1296"/>
      <c r="BG215" s="1296"/>
      <c r="BH215" s="1296"/>
      <c r="BI215" s="1296"/>
      <c r="BJ215" s="1296"/>
      <c r="BK215" s="1296"/>
      <c r="BL215" s="1296"/>
      <c r="BM215" s="1296"/>
      <c r="BN215" s="1296"/>
      <c r="BO215" s="1296"/>
      <c r="BP215" s="1296"/>
      <c r="BQ215" s="1296"/>
      <c r="BR215" s="1296"/>
      <c r="BS215" s="1296"/>
      <c r="BT215" s="1296"/>
      <c r="BU215" s="1296"/>
      <c r="BV215" s="1296"/>
      <c r="BW215" s="1296"/>
      <c r="BX215" s="1296"/>
      <c r="BY215" s="1296"/>
      <c r="BZ215" s="1296"/>
      <c r="CA215" s="1296"/>
      <c r="CB215" s="1296"/>
      <c r="CC215" s="1296"/>
      <c r="CD215" s="1296"/>
      <c r="CE215" s="1296"/>
      <c r="CF215" s="1296"/>
      <c r="CG215" s="1296"/>
      <c r="CH215" s="1296"/>
      <c r="CI215" s="1296"/>
      <c r="CJ215" s="1296"/>
      <c r="CK215" s="1296"/>
    </row>
    <row r="216" spans="1:89" x14ac:dyDescent="0.25">
      <c r="A216" s="1296"/>
      <c r="B216" s="1296"/>
      <c r="C216" s="1296"/>
      <c r="D216" s="1296"/>
      <c r="E216" s="1296"/>
      <c r="F216" s="1296"/>
      <c r="G216" s="1296"/>
      <c r="H216" s="1296"/>
      <c r="I216" s="1296"/>
      <c r="J216" s="1296"/>
      <c r="K216" s="1296"/>
      <c r="L216" s="1296"/>
      <c r="M216" s="1296"/>
      <c r="N216" s="1296"/>
      <c r="O216" s="1296"/>
      <c r="P216" s="1296"/>
      <c r="Q216" s="1296"/>
      <c r="R216" s="1296"/>
      <c r="S216" s="1296"/>
      <c r="T216" s="1296"/>
      <c r="U216" s="1296"/>
      <c r="V216" s="1296"/>
      <c r="W216" s="1296"/>
      <c r="X216" s="1296"/>
      <c r="Y216" s="1296"/>
      <c r="Z216" s="1296"/>
      <c r="AA216" s="1296"/>
      <c r="AB216" s="1296"/>
      <c r="AC216" s="1296"/>
      <c r="AD216" s="1296"/>
      <c r="AE216" s="1296"/>
      <c r="AF216" s="1296"/>
      <c r="AG216" s="1296"/>
      <c r="AH216" s="1296"/>
      <c r="AI216" s="1296"/>
      <c r="AJ216" s="1296"/>
      <c r="AK216" s="1296"/>
      <c r="AL216" s="1296"/>
      <c r="AM216" s="1296"/>
      <c r="AN216" s="1296"/>
      <c r="AO216" s="1296"/>
      <c r="AP216" s="1296"/>
      <c r="AQ216" s="1296"/>
      <c r="AR216" s="1296"/>
      <c r="AS216" s="1296"/>
      <c r="AT216" s="1296"/>
      <c r="AU216" s="1296"/>
      <c r="AV216" s="1296"/>
      <c r="AW216" s="1296"/>
      <c r="AX216" s="1296"/>
      <c r="AY216" s="1296"/>
      <c r="AZ216" s="1296"/>
      <c r="BA216" s="1296"/>
      <c r="BB216" s="1296"/>
      <c r="BC216" s="1296"/>
      <c r="BD216" s="1296"/>
      <c r="BE216" s="1296"/>
      <c r="BF216" s="1296"/>
      <c r="BG216" s="1296"/>
      <c r="BH216" s="1296"/>
      <c r="BI216" s="1296"/>
      <c r="BJ216" s="1296"/>
      <c r="BK216" s="1296"/>
      <c r="BL216" s="1296"/>
      <c r="BM216" s="1296"/>
      <c r="BN216" s="1296"/>
      <c r="BO216" s="1296"/>
      <c r="BP216" s="1296"/>
      <c r="BQ216" s="1296"/>
      <c r="BR216" s="1296"/>
      <c r="BS216" s="1296"/>
      <c r="BT216" s="1296"/>
      <c r="BU216" s="1296"/>
      <c r="BV216" s="1296"/>
      <c r="BW216" s="1296"/>
      <c r="BX216" s="1296"/>
      <c r="BY216" s="1296"/>
      <c r="BZ216" s="1296"/>
      <c r="CA216" s="1296"/>
      <c r="CB216" s="1296"/>
      <c r="CC216" s="1296"/>
      <c r="CD216" s="1296"/>
      <c r="CE216" s="1296"/>
      <c r="CF216" s="1296"/>
      <c r="CG216" s="1296"/>
      <c r="CH216" s="1296"/>
      <c r="CI216" s="1296"/>
      <c r="CJ216" s="1296"/>
      <c r="CK216" s="1296"/>
    </row>
    <row r="217" spans="1:89" ht="15.75" thickBot="1" x14ac:dyDescent="0.3">
      <c r="A217" s="1296"/>
      <c r="B217" s="1296"/>
      <c r="C217" s="1296"/>
      <c r="D217" s="1296"/>
      <c r="E217" s="1296"/>
      <c r="F217" s="1296"/>
      <c r="G217" s="1296"/>
      <c r="H217" s="1296"/>
      <c r="I217" s="1296"/>
      <c r="J217" s="1296"/>
      <c r="K217" s="1296"/>
      <c r="L217" s="1296"/>
      <c r="M217" s="1296"/>
      <c r="N217" s="1296"/>
      <c r="O217" s="1296"/>
      <c r="P217" s="1296"/>
      <c r="Q217" s="1296"/>
      <c r="R217" s="1296"/>
      <c r="S217" s="1296"/>
      <c r="T217" s="1296"/>
      <c r="U217" s="1296"/>
      <c r="V217" s="1296"/>
      <c r="W217" s="1296"/>
      <c r="X217" s="1296"/>
      <c r="Y217" s="1296"/>
      <c r="Z217" s="1296"/>
      <c r="AA217" s="1296"/>
      <c r="AB217" s="1296"/>
      <c r="AC217" s="1296"/>
      <c r="AD217" s="1296"/>
      <c r="AE217" s="1296"/>
      <c r="AF217" s="1296"/>
      <c r="AG217" s="1296"/>
      <c r="AH217" s="1296"/>
      <c r="AI217" s="1296"/>
      <c r="AJ217" s="1296"/>
      <c r="AK217" s="1296"/>
      <c r="AL217" s="1296"/>
      <c r="AM217" s="1296"/>
      <c r="AN217" s="1296"/>
      <c r="AO217" s="1296"/>
      <c r="AP217" s="1296"/>
      <c r="AQ217" s="1296"/>
      <c r="AR217" s="1296"/>
      <c r="AS217" s="1296"/>
      <c r="AT217" s="1296"/>
      <c r="AU217" s="1296"/>
      <c r="AV217" s="1296"/>
      <c r="AW217" s="1296"/>
      <c r="AX217" s="1296"/>
      <c r="AY217" s="1296"/>
      <c r="AZ217" s="1296"/>
      <c r="BA217" s="1296"/>
      <c r="BB217" s="1296"/>
      <c r="BC217" s="1296"/>
      <c r="BD217" s="1296"/>
      <c r="BE217" s="1296"/>
      <c r="BF217" s="1296"/>
      <c r="BG217" s="1296"/>
      <c r="BH217" s="1296"/>
      <c r="BI217" s="1296"/>
      <c r="BJ217" s="1296"/>
      <c r="BK217" s="1296"/>
      <c r="BL217" s="1296"/>
      <c r="BM217" s="1296"/>
      <c r="BN217" s="1296"/>
      <c r="BO217" s="1296"/>
      <c r="BP217" s="1296"/>
      <c r="BQ217" s="1296"/>
      <c r="BR217" s="1296"/>
      <c r="BS217" s="1296"/>
      <c r="BT217" s="1296"/>
      <c r="BU217" s="1296"/>
      <c r="BV217" s="1296"/>
      <c r="BW217" s="1296"/>
      <c r="BX217" s="1296"/>
      <c r="BY217" s="1296"/>
      <c r="BZ217" s="1296"/>
      <c r="CA217" s="1296"/>
      <c r="CB217" s="1296"/>
      <c r="CC217" s="1296"/>
      <c r="CD217" s="1296"/>
      <c r="CE217" s="1296"/>
      <c r="CF217" s="1296"/>
      <c r="CG217" s="1296"/>
      <c r="CH217" s="1296"/>
      <c r="CI217" s="1296"/>
      <c r="CJ217" s="1296"/>
      <c r="CK217" s="1296"/>
    </row>
    <row r="218" spans="1:89" ht="44.25" customHeight="1" thickBot="1" x14ac:dyDescent="0.3">
      <c r="A218" s="1296"/>
      <c r="B218" s="1182"/>
      <c r="C218" s="1177" t="s">
        <v>1400</v>
      </c>
      <c r="D218" s="1177" t="s">
        <v>1510</v>
      </c>
      <c r="E218" s="1177" t="s">
        <v>767</v>
      </c>
      <c r="F218" s="1177" t="s">
        <v>1515</v>
      </c>
      <c r="G218" s="1177" t="s">
        <v>1833</v>
      </c>
      <c r="H218" s="1178" t="s">
        <v>1834</v>
      </c>
      <c r="I218" s="1178" t="s">
        <v>1835</v>
      </c>
      <c r="J218" s="1177" t="s">
        <v>1857</v>
      </c>
      <c r="K218" s="1177" t="s">
        <v>1836</v>
      </c>
      <c r="L218" s="1178" t="s">
        <v>1414</v>
      </c>
      <c r="M218" s="1178" t="s">
        <v>1398</v>
      </c>
      <c r="N218" s="1177" t="s">
        <v>1399</v>
      </c>
      <c r="O218" s="1178" t="s">
        <v>722</v>
      </c>
      <c r="P218" s="1178" t="s">
        <v>723</v>
      </c>
      <c r="Q218" s="1178" t="s">
        <v>1514</v>
      </c>
      <c r="R218" s="1296"/>
      <c r="S218" s="1296"/>
      <c r="T218" s="1182"/>
      <c r="U218" s="1177" t="s">
        <v>1400</v>
      </c>
      <c r="V218" s="1177" t="s">
        <v>1510</v>
      </c>
      <c r="W218" s="1177" t="s">
        <v>767</v>
      </c>
      <c r="X218" s="1177" t="s">
        <v>1515</v>
      </c>
      <c r="Y218" s="1177" t="s">
        <v>1833</v>
      </c>
      <c r="Z218" s="1178" t="s">
        <v>1834</v>
      </c>
      <c r="AA218" s="1178" t="s">
        <v>1835</v>
      </c>
      <c r="AB218" s="1177" t="s">
        <v>1857</v>
      </c>
      <c r="AC218" s="1177" t="s">
        <v>1836</v>
      </c>
      <c r="AD218" s="1178" t="s">
        <v>1414</v>
      </c>
      <c r="AE218" s="1178" t="s">
        <v>1398</v>
      </c>
      <c r="AF218" s="1177" t="s">
        <v>1399</v>
      </c>
      <c r="AG218" s="1177" t="s">
        <v>722</v>
      </c>
      <c r="AH218" s="1177" t="s">
        <v>723</v>
      </c>
      <c r="AI218" s="1178" t="s">
        <v>1514</v>
      </c>
      <c r="AJ218" s="1296"/>
      <c r="AK218" s="1296"/>
      <c r="AL218" s="1182"/>
      <c r="AM218" s="1177" t="s">
        <v>1400</v>
      </c>
      <c r="AN218" s="1177" t="s">
        <v>1510</v>
      </c>
      <c r="AO218" s="1177" t="s">
        <v>767</v>
      </c>
      <c r="AP218" s="1177" t="s">
        <v>1515</v>
      </c>
      <c r="AQ218" s="1177" t="s">
        <v>1833</v>
      </c>
      <c r="AR218" s="1178" t="s">
        <v>1834</v>
      </c>
      <c r="AS218" s="1178" t="s">
        <v>1835</v>
      </c>
      <c r="AT218" s="1177" t="s">
        <v>1857</v>
      </c>
      <c r="AU218" s="1177" t="s">
        <v>1836</v>
      </c>
      <c r="AV218" s="1178" t="s">
        <v>1414</v>
      </c>
      <c r="AW218" s="1178" t="s">
        <v>1398</v>
      </c>
      <c r="AX218" s="1177" t="s">
        <v>1399</v>
      </c>
      <c r="AY218" s="1177" t="s">
        <v>722</v>
      </c>
      <c r="AZ218" s="1177" t="s">
        <v>723</v>
      </c>
      <c r="BA218" s="1178" t="s">
        <v>1514</v>
      </c>
      <c r="BB218" s="1296"/>
      <c r="BC218" s="1182"/>
      <c r="BD218" s="1177" t="s">
        <v>1400</v>
      </c>
      <c r="BE218" s="1177" t="s">
        <v>1510</v>
      </c>
      <c r="BF218" s="1177" t="s">
        <v>767</v>
      </c>
      <c r="BG218" s="1177" t="s">
        <v>1515</v>
      </c>
      <c r="BH218" s="1177" t="s">
        <v>1833</v>
      </c>
      <c r="BI218" s="1178" t="s">
        <v>1834</v>
      </c>
      <c r="BJ218" s="1178" t="s">
        <v>1835</v>
      </c>
      <c r="BK218" s="1177" t="s">
        <v>1857</v>
      </c>
      <c r="BL218" s="1177" t="s">
        <v>1836</v>
      </c>
      <c r="BM218" s="1178" t="s">
        <v>1414</v>
      </c>
      <c r="BN218" s="1178" t="s">
        <v>1398</v>
      </c>
      <c r="BO218" s="1177" t="s">
        <v>1399</v>
      </c>
      <c r="BP218" s="1177" t="s">
        <v>722</v>
      </c>
      <c r="BQ218" s="1177" t="s">
        <v>723</v>
      </c>
      <c r="BR218" s="1178" t="s">
        <v>1514</v>
      </c>
      <c r="BS218" s="1296"/>
      <c r="BT218" s="1182"/>
      <c r="BU218" s="1177" t="s">
        <v>1400</v>
      </c>
      <c r="BV218" s="1177" t="s">
        <v>1510</v>
      </c>
      <c r="BW218" s="1177" t="s">
        <v>767</v>
      </c>
      <c r="BX218" s="1177" t="s">
        <v>1515</v>
      </c>
      <c r="BY218" s="1177" t="s">
        <v>1833</v>
      </c>
      <c r="BZ218" s="1178" t="s">
        <v>1834</v>
      </c>
      <c r="CA218" s="1178" t="s">
        <v>1835</v>
      </c>
      <c r="CB218" s="1177" t="s">
        <v>1857</v>
      </c>
      <c r="CC218" s="1177" t="s">
        <v>1836</v>
      </c>
      <c r="CD218" s="1178" t="s">
        <v>1414</v>
      </c>
      <c r="CE218" s="1178" t="s">
        <v>1398</v>
      </c>
      <c r="CF218" s="1177" t="s">
        <v>1399</v>
      </c>
      <c r="CG218" s="1177" t="s">
        <v>722</v>
      </c>
      <c r="CH218" s="1177" t="s">
        <v>723</v>
      </c>
      <c r="CI218" s="1178" t="s">
        <v>1514</v>
      </c>
      <c r="CJ218" s="1296"/>
      <c r="CK218" s="1296"/>
    </row>
    <row r="219" spans="1:89" ht="78.75" customHeight="1" thickBot="1" x14ac:dyDescent="0.3">
      <c r="A219" s="1296"/>
      <c r="B219" s="1184" t="s">
        <v>1837</v>
      </c>
      <c r="C219" s="1185" t="s">
        <v>1558</v>
      </c>
      <c r="D219" s="1186">
        <v>1301</v>
      </c>
      <c r="E219" s="1181" t="s">
        <v>1876</v>
      </c>
      <c r="F219" s="1181" t="s">
        <v>1516</v>
      </c>
      <c r="G219" s="1179" t="str" cm="1">
        <f t="array" aca="1" ref="G219" ca="1">INDIRECT("'Incentives Worksheet'!P"&amp;'Configurable Tab'!H19+3)</f>
        <v>Same as Payout Cycle</v>
      </c>
      <c r="H219" s="1179" t="str" cm="1">
        <f t="array" aca="1" ref="H219" ca="1">IF(ISBLANK(INDIRECT("'Incentives Worksheet'!H"&amp;'Configurable Tab'!H19+3)),"",INDIRECT("'Incentives Worksheet'!H"&amp;'Configurable Tab'!H19+3))</f>
        <v/>
      </c>
      <c r="I219" s="1179" t="str" cm="1">
        <f t="array" aca="1" ref="I219" ca="1">IF(INDIRECT("'Incentives Worksheet'!R"&amp;'Configurable Tab'!H19+3)="USF Calendar","Fiscal",INDIRECT("'Incentives Worksheet'!R"&amp;'Configurable Tab'!H19+3))</f>
        <v>Fiscal</v>
      </c>
      <c r="J219" s="1179" t="str" cm="1">
        <f t="array" aca="1" ref="J219" ca="1">IF(INDIRECT("'Incentives Worksheet'!L"&amp;'Configurable Tab'!H19+9)="All"," Select All Products","Unselect All Products")</f>
        <v xml:space="preserve"> Select All Products</v>
      </c>
      <c r="K219" s="1179" t="str" cm="1">
        <f t="array" aca="1" ref="K219" ca="1">IF(INDIRECT("'Incentives Worksheet'!T"&amp;'Configurable Tab'!H19+3)="Yes","Post to GL","")</f>
        <v/>
      </c>
      <c r="L219" s="1179" t="str" cm="1">
        <f t="array" aca="1" ref="L219" ca="1">IF(ISBLANK(INDIRECT("'Incentives Worksheet'!L"&amp;'Configurable Tab'!H19+3)),"",INDIRECT("'Incentives Worksheet'!L"&amp;'Configurable Tab'!H19+3))</f>
        <v/>
      </c>
      <c r="M219" s="1179" t="str" cm="1">
        <f t="array" aca="1" ref="M219" ca="1">IF(ISBLANK(INDIRECT("'Incentives Worksheet'!J"&amp;'Configurable Tab'!H19+3)),"",INDIRECT("'Incentives Worksheet'!J"&amp;'Configurable Tab'!H19+3))</f>
        <v/>
      </c>
      <c r="N219" s="1179" t="str" cm="1">
        <f t="array" aca="1" ref="N219" ca="1">IF(ISBLANK(INDIRECT("'Incentives Worksheet'!N"&amp;'Configurable Tab'!H19+3)),"",INDIRECT("'Incentives Worksheet'!N"&amp;'Configurable Tab'!H19+3))</f>
        <v/>
      </c>
      <c r="O219" s="1180" t="str" cm="1">
        <f t="array" aca="1" ref="O219" ca="1">INDIRECT("'Incentives Worksheet'!D"&amp;'Configurable Tab'!H19+6)</f>
        <v/>
      </c>
      <c r="P219" s="1180" t="str" cm="1">
        <f t="array" aca="1" ref="P219" ca="1">INDIRECT("'Incentives Worksheet'!D"&amp;'Configurable Tab'!H19+8)</f>
        <v/>
      </c>
      <c r="Q219" s="1179" t="str" cm="1">
        <f t="array" aca="1" ref="Q219" ca="1">IF(INDIRECT("'Incentives Worksheet'!D"&amp;'Configurable Tab'!H19+10)="No","Update tracking dates",INDIRECT("'Incentives Worksheet'!D"&amp;'Configurable Tab'!H19+10))</f>
        <v>Yes</v>
      </c>
      <c r="R219" s="1296"/>
      <c r="S219" s="1296"/>
      <c r="T219" s="1184" t="s">
        <v>1837</v>
      </c>
      <c r="U219" s="1185" t="s">
        <v>1558</v>
      </c>
      <c r="V219" s="1186">
        <v>1302</v>
      </c>
      <c r="W219" s="1181" t="s">
        <v>1876</v>
      </c>
      <c r="X219" s="1181" t="s">
        <v>1516</v>
      </c>
      <c r="Y219" s="1179" t="str" cm="1">
        <f t="array" aca="1" ref="Y219" ca="1">INDIRECT("'Incentives Worksheet'!P"&amp;'Configurable Tab'!H20+3)</f>
        <v>Same as Payout Cycle</v>
      </c>
      <c r="Z219" s="1179" t="str" cm="1">
        <f t="array" aca="1" ref="Z219" ca="1">IF(ISBLANK(INDIRECT("'Incentives Worksheet'!H"&amp;'Configurable Tab'!H20+3)),"",INDIRECT("'Incentives Worksheet'!H"&amp;'Configurable Tab'!H20+3))</f>
        <v/>
      </c>
      <c r="AA219" s="1179" t="str" cm="1">
        <f t="array" aca="1" ref="AA219" ca="1">IF(INDIRECT("'Incentives Worksheet'!R"&amp;'Configurable Tab'!H20+3)="USF Calendar","Fiscal",INDIRECT("'Incentives Worksheet'!R"&amp;'Configurable Tab'!H20+3))</f>
        <v>Fiscal</v>
      </c>
      <c r="AB219" s="1179" t="str" cm="1">
        <f t="array" aca="1" ref="AB219" ca="1">IF(INDIRECT("'Incentives Worksheet'!L"&amp;'Configurable Tab'!H20+9)="All"," Select All Products","Unselect All Products")</f>
        <v xml:space="preserve"> Select All Products</v>
      </c>
      <c r="AC219" s="1179" t="str" cm="1">
        <f t="array" aca="1" ref="AC219" ca="1">IF(INDIRECT("'Incentives Worksheet'!T"&amp;'Configurable Tab'!H20+3)="Yes","Post to GL","")</f>
        <v/>
      </c>
      <c r="AD219" s="1179" t="str" cm="1">
        <f t="array" aca="1" ref="AD219" ca="1">IF(ISBLANK(INDIRECT("'Incentives Worksheet'!L"&amp;'Configurable Tab'!H20+3)),"",INDIRECT("'Incentives Worksheet'!L"&amp;'Configurable Tab'!H20+3))</f>
        <v/>
      </c>
      <c r="AE219" s="1179" t="str" cm="1">
        <f t="array" aca="1" ref="AE219" ca="1">IF(ISBLANK(INDIRECT("'Incentives Worksheet'!J"&amp;'Configurable Tab'!H20+3)),"",INDIRECT("'Incentives Worksheet'!J"&amp;'Configurable Tab'!H20+3))</f>
        <v/>
      </c>
      <c r="AF219" s="1179" t="str" cm="1">
        <f t="array" aca="1" ref="AF219" ca="1">IF(ISBLANK(INDIRECT("'Incentives Worksheet'!N"&amp;'Configurable Tab'!H20+3)),"",INDIRECT("'Incentives Worksheet'!N"&amp;'Configurable Tab'!H20+3))</f>
        <v/>
      </c>
      <c r="AG219" s="1180" t="str" cm="1">
        <f t="array" aca="1" ref="AG219" ca="1">INDIRECT("'Incentives Worksheet'!D"&amp;'Configurable Tab'!H20+6)</f>
        <v/>
      </c>
      <c r="AH219" s="1180" t="str" cm="1">
        <f t="array" aca="1" ref="AH219" ca="1">INDIRECT("'Incentives Worksheet'!D"&amp;'Configurable Tab'!H20+8)</f>
        <v/>
      </c>
      <c r="AI219" s="1179" t="str" cm="1">
        <f t="array" aca="1" ref="AI219" ca="1">IF(INDIRECT("'Incentives Worksheet'!D"&amp;'Configurable Tab'!H20+10)="No","Update tracking dates",INDIRECT("'Incentives Worksheet'!D"&amp;'Configurable Tab'!H20+10))</f>
        <v>Yes</v>
      </c>
      <c r="AJ219" s="1296"/>
      <c r="AK219" s="1296"/>
      <c r="AL219" s="1184" t="s">
        <v>1837</v>
      </c>
      <c r="AM219" s="1185" t="s">
        <v>1558</v>
      </c>
      <c r="AN219" s="1186">
        <v>1303</v>
      </c>
      <c r="AO219" s="1181" t="s">
        <v>1876</v>
      </c>
      <c r="AP219" s="1181" t="s">
        <v>1516</v>
      </c>
      <c r="AQ219" s="1179" t="str" cm="1">
        <f t="array" aca="1" ref="AQ219" ca="1">INDIRECT("'Incentives Worksheet'!P"&amp;'Configurable Tab'!H21+3)</f>
        <v>Same as Payout Cycle</v>
      </c>
      <c r="AR219" s="1179" t="str" cm="1">
        <f t="array" aca="1" ref="AR219" ca="1">IF(ISBLANK(INDIRECT("'Incentives Worksheet'!H"&amp;'Configurable Tab'!H21+3)),"",INDIRECT("'Incentives Worksheet'!H"&amp;'Configurable Tab'!H21+3))</f>
        <v/>
      </c>
      <c r="AS219" s="1179" t="str" cm="1">
        <f t="array" aca="1" ref="AS219" ca="1">IF(INDIRECT("'Incentives Worksheet'!R"&amp;'Configurable Tab'!H21+3)="USF Calendar","Fiscal",INDIRECT("'Incentives Worksheet'!R"&amp;'Configurable Tab'!H21+3))</f>
        <v>Fiscal</v>
      </c>
      <c r="AT219" s="1179" t="str" cm="1">
        <f t="array" aca="1" ref="AT219" ca="1">IF(INDIRECT("'Incentives Worksheet'!L"&amp;'Configurable Tab'!H21+9)="All"," Select All Products","Unselect All Products")</f>
        <v xml:space="preserve"> Select All Products</v>
      </c>
      <c r="AU219" s="1179" t="str" cm="1">
        <f t="array" aca="1" ref="AU219" ca="1">IF(INDIRECT("'Incentives Worksheet'!T"&amp;'Configurable Tab'!H21+3)="Yes","Post to GL","")</f>
        <v/>
      </c>
      <c r="AV219" s="1179" t="str" cm="1">
        <f t="array" aca="1" ref="AV219" ca="1">IF(ISBLANK(INDIRECT("'Incentives Worksheet'!L"&amp;'Configurable Tab'!H21+3)),"",INDIRECT("'Incentives Worksheet'!L"&amp;'Configurable Tab'!H21+3))</f>
        <v/>
      </c>
      <c r="AW219" s="1179" t="str" cm="1">
        <f t="array" aca="1" ref="AW219" ca="1">IF(ISBLANK(INDIRECT("'Incentives Worksheet'!J"&amp;'Configurable Tab'!H21+3)),"",INDIRECT("'Incentives Worksheet'!J"&amp;'Configurable Tab'!H21+3))</f>
        <v/>
      </c>
      <c r="AX219" s="1179" t="str" cm="1">
        <f t="array" aca="1" ref="AX219" ca="1">IF(ISBLANK(INDIRECT("'Incentives Worksheet'!N"&amp;'Configurable Tab'!H21+3)),"",INDIRECT("'Incentives Worksheet'!N"&amp;'Configurable Tab'!H21+3))</f>
        <v/>
      </c>
      <c r="AY219" s="1180" t="str" cm="1">
        <f t="array" aca="1" ref="AY219" ca="1">INDIRECT("'Incentives Worksheet'!D"&amp;'Configurable Tab'!H21+6)</f>
        <v/>
      </c>
      <c r="AZ219" s="1180" t="str" cm="1">
        <f t="array" aca="1" ref="AZ219" ca="1">INDIRECT("'Incentives Worksheet'!D"&amp;'Configurable Tab'!H21+8)</f>
        <v/>
      </c>
      <c r="BA219" s="1179" t="str" cm="1">
        <f t="array" aca="1" ref="BA219" ca="1">IF(INDIRECT("'Incentives Worksheet'!D"&amp;'Configurable Tab'!H21+10)="No","Update tracking dates",INDIRECT("'Incentives Worksheet'!D"&amp;'Configurable Tab'!H21+10))</f>
        <v>Yes</v>
      </c>
      <c r="BB219" s="1296"/>
      <c r="BC219" s="1184" t="s">
        <v>1837</v>
      </c>
      <c r="BD219" s="1185" t="s">
        <v>1558</v>
      </c>
      <c r="BE219" s="1186">
        <v>1304</v>
      </c>
      <c r="BF219" s="1181" t="s">
        <v>1876</v>
      </c>
      <c r="BG219" s="1181" t="s">
        <v>1516</v>
      </c>
      <c r="BH219" s="1179" t="str" cm="1">
        <f t="array" aca="1" ref="BH219" ca="1">INDIRECT("'Incentives Worksheet'!P"&amp;'Configurable Tab'!H22+3)</f>
        <v>Same as Payout Cycle</v>
      </c>
      <c r="BI219" s="1179" t="str" cm="1">
        <f t="array" aca="1" ref="BI219" ca="1">IF(ISBLANK(INDIRECT("'Incentives Worksheet'!H"&amp;'Configurable Tab'!H22+3)),"",INDIRECT("'Incentives Worksheet'!H"&amp;'Configurable Tab'!H22+3))</f>
        <v/>
      </c>
      <c r="BJ219" s="1179" t="str" cm="1">
        <f t="array" aca="1" ref="BJ219" ca="1">IF(INDIRECT("'Incentives Worksheet'!R"&amp;'Configurable Tab'!H22+3)="USF Calendar","Fiscal",INDIRECT("'Incentives Worksheet'!R"&amp;'Configurable Tab'!H22+3))</f>
        <v>Fiscal</v>
      </c>
      <c r="BK219" s="1179" t="str" cm="1">
        <f t="array" aca="1" ref="BK219" ca="1">IF(INDIRECT("'Incentives Worksheet'!L"&amp;'Configurable Tab'!H22+9)="All"," Select All Products","Unselect All Products")</f>
        <v xml:space="preserve"> Select All Products</v>
      </c>
      <c r="BL219" s="1179" t="str" cm="1">
        <f t="array" aca="1" ref="BL219" ca="1">IF(INDIRECT("'Incentives Worksheet'!T"&amp;'Configurable Tab'!H22+3)="Yes","Post to GL","")</f>
        <v/>
      </c>
      <c r="BM219" s="1179" t="str" cm="1">
        <f t="array" aca="1" ref="BM219" ca="1">IF(ISBLANK(INDIRECT("'Incentives Worksheet'!L"&amp;'Configurable Tab'!H22+3)),"",INDIRECT("'Incentives Worksheet'!L"&amp;'Configurable Tab'!H22+3))</f>
        <v/>
      </c>
      <c r="BN219" s="1179" t="str" cm="1">
        <f t="array" aca="1" ref="BN219" ca="1">IF(ISBLANK(INDIRECT("'Incentives Worksheet'!J"&amp;'Configurable Tab'!H22+3)),"",INDIRECT("'Incentives Worksheet'!J"&amp;'Configurable Tab'!H22+3))</f>
        <v/>
      </c>
      <c r="BO219" s="1179" t="str" cm="1">
        <f t="array" aca="1" ref="BO219" ca="1">IF(ISBLANK(INDIRECT("'Incentives Worksheet'!N"&amp;'Configurable Tab'!H22+3)),"",INDIRECT("'Incentives Worksheet'!N"&amp;'Configurable Tab'!H22+3))</f>
        <v/>
      </c>
      <c r="BP219" s="1180" t="str" cm="1">
        <f t="array" aca="1" ref="BP219" ca="1">INDIRECT("'Incentives Worksheet'!D"&amp;'Configurable Tab'!H22+6)</f>
        <v/>
      </c>
      <c r="BQ219" s="1180" t="str" cm="1">
        <f t="array" aca="1" ref="BQ219" ca="1">INDIRECT("'Incentives Worksheet'!D"&amp;'Configurable Tab'!H22+8)</f>
        <v/>
      </c>
      <c r="BR219" s="1179" t="str" cm="1">
        <f t="array" aca="1" ref="BR219" ca="1">IF(INDIRECT("'Incentives Worksheet'!D"&amp;'Configurable Tab'!H22+10)="No","Update tracking dates",INDIRECT("'Incentives Worksheet'!D"&amp;'Configurable Tab'!H22+10))</f>
        <v>Yes</v>
      </c>
      <c r="BS219" s="1296"/>
      <c r="BT219" s="1184" t="s">
        <v>1837</v>
      </c>
      <c r="BU219" s="1185" t="s">
        <v>1558</v>
      </c>
      <c r="BV219" s="1186">
        <v>1305</v>
      </c>
      <c r="BW219" s="1181" t="s">
        <v>1876</v>
      </c>
      <c r="BX219" s="1181" t="s">
        <v>1516</v>
      </c>
      <c r="BY219" s="1179" t="str" cm="1">
        <f t="array" aca="1" ref="BY219" ca="1">INDIRECT("'Incentives Worksheet'!P"&amp;'Configurable Tab'!H23+3)</f>
        <v>Same as Payout Cycle</v>
      </c>
      <c r="BZ219" s="1179" t="str" cm="1">
        <f t="array" aca="1" ref="BZ219" ca="1">IF(ISBLANK(INDIRECT("'Incentives Worksheet'!H"&amp;'Configurable Tab'!H23+3)),"",INDIRECT("'Incentives Worksheet'!H"&amp;'Configurable Tab'!H23+3))</f>
        <v/>
      </c>
      <c r="CA219" s="1179" t="str" cm="1">
        <f t="array" aca="1" ref="CA219" ca="1">IF(INDIRECT("'Incentives Worksheet'!R"&amp;'Configurable Tab'!H23+3)="USF Calendar","Fiscal",INDIRECT("'Incentives Worksheet'!R"&amp;'Configurable Tab'!H23+3))</f>
        <v>Fiscal</v>
      </c>
      <c r="CB219" s="1179" t="str" cm="1">
        <f t="array" aca="1" ref="CB219" ca="1">IF(INDIRECT("'Incentives Worksheet'!L"&amp;'Configurable Tab'!H23+9)="All"," Select All Products","Unselect All Products")</f>
        <v xml:space="preserve"> Select All Products</v>
      </c>
      <c r="CC219" s="1179" t="str" cm="1">
        <f t="array" aca="1" ref="CC219" ca="1">IF(INDIRECT("'Incentives Worksheet'!T"&amp;'Configurable Tab'!H23+3)="Yes","Post to GL","")</f>
        <v/>
      </c>
      <c r="CD219" s="1179" t="str" cm="1">
        <f t="array" aca="1" ref="CD219" ca="1">IF(ISBLANK(INDIRECT("'Incentives Worksheet'!L"&amp;'Configurable Tab'!H23+3)),"",INDIRECT("'Incentives Worksheet'!L"&amp;'Configurable Tab'!H23+3))</f>
        <v/>
      </c>
      <c r="CE219" s="1179" t="str" cm="1">
        <f t="array" aca="1" ref="CE219" ca="1">IF(ISBLANK(INDIRECT("'Incentives Worksheet'!J"&amp;'Configurable Tab'!H23+3)),"",INDIRECT("'Incentives Worksheet'!J"&amp;'Configurable Tab'!H23+3))</f>
        <v/>
      </c>
      <c r="CF219" s="1179" t="str" cm="1">
        <f t="array" aca="1" ref="CF219" ca="1">IF(ISBLANK(INDIRECT("'Incentives Worksheet'!N"&amp;'Configurable Tab'!H23+3)),"",INDIRECT("'Incentives Worksheet'!N"&amp;'Configurable Tab'!H23+3))</f>
        <v/>
      </c>
      <c r="CG219" s="1180" t="str" cm="1">
        <f t="array" aca="1" ref="CG219" ca="1">INDIRECT("'Incentives Worksheet'!D"&amp;'Configurable Tab'!H23+6)</f>
        <v/>
      </c>
      <c r="CH219" s="1180" t="str" cm="1">
        <f t="array" aca="1" ref="CH219" ca="1">INDIRECT("'Incentives Worksheet'!D"&amp;'Configurable Tab'!H23+8)</f>
        <v/>
      </c>
      <c r="CI219" s="1179" t="str" cm="1">
        <f t="array" aca="1" ref="CI219" ca="1">IF(INDIRECT("'Incentives Worksheet'!D"&amp;'Configurable Tab'!H23+10)="No","Update tracking dates",INDIRECT("'Incentives Worksheet'!D"&amp;'Configurable Tab'!H23+10))</f>
        <v>Yes</v>
      </c>
      <c r="CJ219" s="1296"/>
      <c r="CK219" s="1296"/>
    </row>
    <row r="220" spans="1:89" ht="45.75" customHeight="1" thickBot="1" x14ac:dyDescent="0.3">
      <c r="A220" s="1296"/>
      <c r="B220" s="1719" t="s">
        <v>1842</v>
      </c>
      <c r="C220" s="1210" t="s">
        <v>1858</v>
      </c>
      <c r="D220" s="1177" t="s">
        <v>1859</v>
      </c>
      <c r="E220" s="1178" t="s">
        <v>1376</v>
      </c>
      <c r="F220" s="1178" t="s">
        <v>1860</v>
      </c>
      <c r="G220" s="1177" t="s">
        <v>1877</v>
      </c>
      <c r="H220" s="1177" t="s">
        <v>1861</v>
      </c>
      <c r="I220" s="1211" t="s">
        <v>1862</v>
      </c>
      <c r="J220" s="1211" t="s">
        <v>1863</v>
      </c>
      <c r="K220" s="1211" t="s">
        <v>1864</v>
      </c>
      <c r="L220" s="1212"/>
      <c r="M220" s="1212"/>
      <c r="N220" s="1212"/>
      <c r="O220" s="1212"/>
      <c r="P220" s="1212"/>
      <c r="Q220" s="1213"/>
      <c r="R220" s="1212"/>
      <c r="S220" s="1296"/>
      <c r="T220" s="1719" t="s">
        <v>1838</v>
      </c>
      <c r="U220" s="1210" t="s">
        <v>1858</v>
      </c>
      <c r="V220" s="1177" t="s">
        <v>1859</v>
      </c>
      <c r="W220" s="1178" t="s">
        <v>1376</v>
      </c>
      <c r="X220" s="1178" t="s">
        <v>1860</v>
      </c>
      <c r="Y220" s="1177" t="s">
        <v>1877</v>
      </c>
      <c r="Z220" s="1177" t="s">
        <v>1861</v>
      </c>
      <c r="AA220" s="1211" t="s">
        <v>1862</v>
      </c>
      <c r="AB220" s="1211" t="s">
        <v>1863</v>
      </c>
      <c r="AC220" s="1211" t="s">
        <v>1864</v>
      </c>
      <c r="AD220" s="1212"/>
      <c r="AE220" s="1212"/>
      <c r="AF220" s="1212"/>
      <c r="AG220" s="1212"/>
      <c r="AH220" s="1212"/>
      <c r="AI220" s="1213"/>
      <c r="AJ220" s="1296"/>
      <c r="AK220" s="1296"/>
      <c r="AL220" s="1719" t="s">
        <v>1838</v>
      </c>
      <c r="AM220" s="1210" t="s">
        <v>1858</v>
      </c>
      <c r="AN220" s="1177" t="s">
        <v>1859</v>
      </c>
      <c r="AO220" s="1178" t="s">
        <v>1376</v>
      </c>
      <c r="AP220" s="1178" t="s">
        <v>1860</v>
      </c>
      <c r="AQ220" s="1177" t="s">
        <v>1877</v>
      </c>
      <c r="AR220" s="1177" t="s">
        <v>1861</v>
      </c>
      <c r="AS220" s="1211" t="s">
        <v>1862</v>
      </c>
      <c r="AT220" s="1211" t="s">
        <v>1863</v>
      </c>
      <c r="AU220" s="1211" t="s">
        <v>1864</v>
      </c>
      <c r="AV220" s="1212"/>
      <c r="AW220" s="1212"/>
      <c r="AX220" s="1212"/>
      <c r="AY220" s="1212"/>
      <c r="AZ220" s="1212"/>
      <c r="BA220" s="1213"/>
      <c r="BB220" s="1296"/>
      <c r="BC220" s="1719" t="s">
        <v>1838</v>
      </c>
      <c r="BD220" s="1210" t="s">
        <v>1858</v>
      </c>
      <c r="BE220" s="1177" t="s">
        <v>1859</v>
      </c>
      <c r="BF220" s="1178" t="s">
        <v>1376</v>
      </c>
      <c r="BG220" s="1178" t="s">
        <v>1860</v>
      </c>
      <c r="BH220" s="1177" t="s">
        <v>1877</v>
      </c>
      <c r="BI220" s="1177" t="s">
        <v>1861</v>
      </c>
      <c r="BJ220" s="1211" t="s">
        <v>1862</v>
      </c>
      <c r="BK220" s="1211" t="s">
        <v>1863</v>
      </c>
      <c r="BL220" s="1211" t="s">
        <v>1864</v>
      </c>
      <c r="BM220" s="1212"/>
      <c r="BN220" s="1212"/>
      <c r="BO220" s="1212"/>
      <c r="BP220" s="1212"/>
      <c r="BQ220" s="1212"/>
      <c r="BR220" s="1213"/>
      <c r="BS220" s="1296"/>
      <c r="BT220" s="1719" t="s">
        <v>1838</v>
      </c>
      <c r="BU220" s="1210" t="s">
        <v>1858</v>
      </c>
      <c r="BV220" s="1177" t="s">
        <v>1859</v>
      </c>
      <c r="BW220" s="1178" t="s">
        <v>1376</v>
      </c>
      <c r="BX220" s="1178" t="s">
        <v>1860</v>
      </c>
      <c r="BY220" s="1177" t="s">
        <v>1877</v>
      </c>
      <c r="BZ220" s="1177" t="s">
        <v>1861</v>
      </c>
      <c r="CA220" s="1211" t="s">
        <v>1862</v>
      </c>
      <c r="CB220" s="1211" t="s">
        <v>1863</v>
      </c>
      <c r="CC220" s="1211" t="s">
        <v>1864</v>
      </c>
      <c r="CD220" s="1212"/>
      <c r="CE220" s="1212"/>
      <c r="CF220" s="1212"/>
      <c r="CG220" s="1212"/>
      <c r="CH220" s="1212"/>
      <c r="CI220" s="1213"/>
      <c r="CJ220" s="1296"/>
      <c r="CK220" s="1296"/>
    </row>
    <row r="221" spans="1:89" ht="15.75" thickBot="1" x14ac:dyDescent="0.3">
      <c r="A221" s="1296"/>
      <c r="B221" s="1726"/>
      <c r="C221" s="1245" t="s">
        <v>1865</v>
      </c>
      <c r="D221" s="1245" t="str" cm="1">
        <f t="array" aca="1" ref="D221" ca="1">IF(INDIRECT("'Incentives Worksheet'!L"&amp;'Configurable Tab'!H19+9)="All"," All Products","Included Products")</f>
        <v xml:space="preserve"> All Products</v>
      </c>
      <c r="E221" s="1245" t="str" cm="1">
        <f t="array" aca="1" ref="E221" ca="1">IF(INDIRECT("'Incentives Worksheet'!J"&amp;'Configurable Tab'!H19+9)="All","All Customers","Individual")</f>
        <v>All Customers</v>
      </c>
      <c r="F221" s="1245" t="str" cm="1">
        <f t="array" aca="1" ref="F221" ca="1">INDIRECT("'Incentives Worksheet'!P"&amp;'Configurable Tab'!H19+9)</f>
        <v>Yes</v>
      </c>
      <c r="G221" s="1279" t="str" cm="1">
        <f t="array" aca="1" ref="G221" ca="1">IF(INDIRECT("'Incentives Worksheet'!H"&amp;'Configurable Tab'!H19+6)=0,"",INDIRECT("'Incentives Worksheet'!H"&amp;'Configurable Tab'!H19+6))</f>
        <v/>
      </c>
      <c r="H221" s="1246" t="str" cm="1">
        <f t="array" aca="1" ref="H221" ca="1">IF(INDIRECT("'Incentives Worksheet'!L"&amp;'Configurable Tab'!H19+6)&lt;&gt;0,INDIRECT("'Incentives Worksheet'!L"&amp;'Configurable Tab'!H19+6),"")</f>
        <v/>
      </c>
      <c r="I221" s="1247" t="s">
        <v>1841</v>
      </c>
      <c r="J221" s="1247" t="s">
        <v>1878</v>
      </c>
      <c r="K221" s="1247" t="str" cm="1">
        <f t="array" aca="1" ref="K221" ca="1">INDIRECT("'Incentives Worksheet'!N"&amp;'Configurable Tab'!H19+6)</f>
        <v>%</v>
      </c>
      <c r="L221" s="1188"/>
      <c r="M221" s="1188"/>
      <c r="N221" s="1188"/>
      <c r="O221" s="1188"/>
      <c r="P221" s="1188"/>
      <c r="Q221" s="1189"/>
      <c r="R221" s="1296"/>
      <c r="S221" s="1296"/>
      <c r="T221" s="1726"/>
      <c r="U221" s="1245" t="s">
        <v>1865</v>
      </c>
      <c r="V221" s="1246" t="str" cm="1">
        <f t="array" aca="1" ref="V221" ca="1">IF(INDIRECT("'Incentives Worksheet'!L"&amp;'Configurable Tab'!H20+9)="All"," All Products","Included Products")</f>
        <v xml:space="preserve"> All Products</v>
      </c>
      <c r="W221" s="1246" t="str" cm="1">
        <f t="array" aca="1" ref="W221" ca="1">IF(INDIRECT("'Incentives Worksheet'!J"&amp;'Configurable Tab'!H20+9)="All","All Customers","Individual")</f>
        <v>All Customers</v>
      </c>
      <c r="X221" s="1246" t="str" cm="1">
        <f t="array" aca="1" ref="X221" ca="1">INDIRECT("'Incentives Worksheet'!P"&amp;'Configurable Tab'!H20+9)</f>
        <v>Yes</v>
      </c>
      <c r="Y221" s="1279" t="str" cm="1">
        <f t="array" aca="1" ref="Y221" ca="1">IF(INDIRECT("'Incentives Worksheet'!H"&amp;'Configurable Tab'!H20+6)=0,"",INDIRECT("'Incentives Worksheet'!H"&amp;'Configurable Tab'!H20+6))</f>
        <v/>
      </c>
      <c r="Z221" s="1246" t="str" cm="1">
        <f t="array" aca="1" ref="Z221" ca="1">IF(INDIRECT("'Incentives Worksheet'!L"&amp;'Configurable Tab'!H20+6)&lt;&gt;0,INDIRECT("'Incentives Worksheet'!L"&amp;'Configurable Tab'!H20+6),"")</f>
        <v/>
      </c>
      <c r="AA221" s="1247" t="s">
        <v>1841</v>
      </c>
      <c r="AB221" s="1247" t="s">
        <v>1878</v>
      </c>
      <c r="AC221" s="1247" t="str" cm="1">
        <f t="array" aca="1" ref="AC221" ca="1">INDIRECT("'Incentives Worksheet'!N"&amp;'Configurable Tab'!H20+6)</f>
        <v>%</v>
      </c>
      <c r="AD221" s="1188"/>
      <c r="AE221" s="1188"/>
      <c r="AF221" s="1188"/>
      <c r="AG221" s="1188"/>
      <c r="AH221" s="1188"/>
      <c r="AI221" s="1189"/>
      <c r="AJ221" s="1296"/>
      <c r="AK221" s="1296"/>
      <c r="AL221" s="1726"/>
      <c r="AM221" s="1245" t="s">
        <v>1865</v>
      </c>
      <c r="AN221" s="1246" t="str" cm="1">
        <f t="array" aca="1" ref="AN221" ca="1">IF(INDIRECT("'Incentives Worksheet'!L"&amp;'Configurable Tab'!H21+9)="All"," All Products","Included Products")</f>
        <v xml:space="preserve"> All Products</v>
      </c>
      <c r="AO221" s="1246" t="str" cm="1">
        <f t="array" aca="1" ref="AO221" ca="1">IF(INDIRECT("'Incentives Worksheet'!J"&amp;'Configurable Tab'!H21+9)="All","All Customers","Individual")</f>
        <v>All Customers</v>
      </c>
      <c r="AP221" s="1246" t="str" cm="1">
        <f t="array" aca="1" ref="AP221" ca="1">INDIRECT("'Incentives Worksheet'!P"&amp;'Configurable Tab'!H21+9)</f>
        <v>Yes</v>
      </c>
      <c r="AQ221" s="1279" t="str" cm="1">
        <f t="array" aca="1" ref="AQ221" ca="1">IF(INDIRECT("'Incentives Worksheet'!H"&amp;'Configurable Tab'!H21+6)=0,"",INDIRECT("'Incentives Worksheet'!H"&amp;'Configurable Tab'!H21+6))</f>
        <v/>
      </c>
      <c r="AR221" s="1246" t="str" cm="1">
        <f t="array" aca="1" ref="AR221" ca="1">IF(INDIRECT("'Incentives Worksheet'!L"&amp;'Configurable Tab'!H21+6)&lt;&gt;0,INDIRECT("'Incentives Worksheet'!L"&amp;'Configurable Tab'!H21+6),"")</f>
        <v/>
      </c>
      <c r="AS221" s="1247" t="s">
        <v>1841</v>
      </c>
      <c r="AT221" s="1247" t="s">
        <v>1878</v>
      </c>
      <c r="AU221" s="1247" t="str" cm="1">
        <f t="array" aca="1" ref="AU221" ca="1">INDIRECT("'Incentives Worksheet'!N"&amp;'Configurable Tab'!H21+6)</f>
        <v>%</v>
      </c>
      <c r="AV221" s="1188"/>
      <c r="AW221" s="1188"/>
      <c r="AX221" s="1188"/>
      <c r="AY221" s="1188"/>
      <c r="AZ221" s="1188"/>
      <c r="BA221" s="1189"/>
      <c r="BB221" s="1296"/>
      <c r="BC221" s="1726"/>
      <c r="BD221" s="1245" t="s">
        <v>1865</v>
      </c>
      <c r="BE221" s="1246" t="str" cm="1">
        <f t="array" aca="1" ref="BE221" ca="1">IF(INDIRECT("'Incentives Worksheet'!L"&amp;'Configurable Tab'!H22+9)="All"," All Products","Included Products")</f>
        <v xml:space="preserve"> All Products</v>
      </c>
      <c r="BF221" s="1246" t="str" cm="1">
        <f t="array" aca="1" ref="BF221" ca="1">IF(INDIRECT("'Incentives Worksheet'!J"&amp;'Configurable Tab'!H22+9)="All","All Customers","Individual")</f>
        <v>All Customers</v>
      </c>
      <c r="BG221" s="1246" t="str" cm="1">
        <f t="array" aca="1" ref="BG221" ca="1">INDIRECT("'Incentives Worksheet'!P"&amp;'Configurable Tab'!H22+9)</f>
        <v>Yes</v>
      </c>
      <c r="BH221" s="1279" t="str" cm="1">
        <f t="array" aca="1" ref="BH221" ca="1">IF(INDIRECT("'Incentives Worksheet'!H"&amp;'Configurable Tab'!H22+6)=0,"",INDIRECT("'Incentives Worksheet'!H"&amp;'Configurable Tab'!H22+6))</f>
        <v/>
      </c>
      <c r="BI221" s="1246" t="str" cm="1">
        <f t="array" aca="1" ref="BI221" ca="1">IF(INDIRECT("'Incentives Worksheet'!L"&amp;'Configurable Tab'!H22+6)&lt;&gt;0,INDIRECT("'Incentives Worksheet'!L"&amp;'Configurable Tab'!H22+6),"")</f>
        <v/>
      </c>
      <c r="BJ221" s="1247" t="s">
        <v>1841</v>
      </c>
      <c r="BK221" s="1247" t="s">
        <v>1878</v>
      </c>
      <c r="BL221" s="1247" t="str" cm="1">
        <f t="array" aca="1" ref="BL221" ca="1">INDIRECT("'Incentives Worksheet'!N"&amp;'Configurable Tab'!H22+6)</f>
        <v>%</v>
      </c>
      <c r="BM221" s="1188"/>
      <c r="BN221" s="1188"/>
      <c r="BO221" s="1188"/>
      <c r="BP221" s="1188"/>
      <c r="BQ221" s="1188"/>
      <c r="BR221" s="1189"/>
      <c r="BS221" s="1296"/>
      <c r="BT221" s="1726"/>
      <c r="BU221" s="1245" t="s">
        <v>1865</v>
      </c>
      <c r="BV221" s="1246" t="str" cm="1">
        <f t="array" aca="1" ref="BV221" ca="1">IF(INDIRECT("'Incentives Worksheet'!L"&amp;'Configurable Tab'!H23+9)="All"," All Products","Included Products")</f>
        <v xml:space="preserve"> All Products</v>
      </c>
      <c r="BW221" s="1246" t="str" cm="1">
        <f t="array" aca="1" ref="BW221" ca="1">IF(INDIRECT("'Incentives Worksheet'!J"&amp;'Configurable Tab'!H23+9)="All","All Customers","Individual")</f>
        <v>All Customers</v>
      </c>
      <c r="BX221" s="1246" t="str" cm="1">
        <f t="array" aca="1" ref="BX221" ca="1">INDIRECT("'Incentives Worksheet'!P"&amp;'Configurable Tab'!H23+9)</f>
        <v>Yes</v>
      </c>
      <c r="BY221" s="1279" t="str" cm="1">
        <f t="array" aca="1" ref="BY221" ca="1">IF(INDIRECT("'Incentives Worksheet'!H"&amp;'Configurable Tab'!H23+6)=0,"",INDIRECT("'Incentives Worksheet'!H"&amp;'Configurable Tab'!H23+6))</f>
        <v/>
      </c>
      <c r="BZ221" s="1246" t="str" cm="1">
        <f t="array" aca="1" ref="BZ221" ca="1">IF(INDIRECT("'Incentives Worksheet'!L"&amp;'Configurable Tab'!H23+6)&lt;&gt;0,INDIRECT("'Incentives Worksheet'!L"&amp;'Configurable Tab'!H23+6),"")</f>
        <v/>
      </c>
      <c r="CA221" s="1247" t="s">
        <v>1841</v>
      </c>
      <c r="CB221" s="1247" t="s">
        <v>1878</v>
      </c>
      <c r="CC221" s="1247" t="str" cm="1">
        <f t="array" aca="1" ref="CC221" ca="1">INDIRECT("'Incentives Worksheet'!N"&amp;'Configurable Tab'!H23+6)</f>
        <v>%</v>
      </c>
      <c r="CD221" s="1188"/>
      <c r="CE221" s="1188"/>
      <c r="CF221" s="1188"/>
      <c r="CG221" s="1188"/>
      <c r="CH221" s="1188"/>
      <c r="CI221" s="1189"/>
      <c r="CJ221" s="1296"/>
      <c r="CK221" s="1296"/>
    </row>
    <row r="222" spans="1:89" x14ac:dyDescent="0.25">
      <c r="A222" s="1296"/>
      <c r="B222" s="1721"/>
      <c r="C222" s="1220" t="s">
        <v>1868</v>
      </c>
      <c r="D222" s="1221" t="s">
        <v>126</v>
      </c>
      <c r="E222" s="1222" t="s">
        <v>128</v>
      </c>
      <c r="F222" s="1223" t="s">
        <v>1110</v>
      </c>
      <c r="G222" s="1188"/>
      <c r="H222" s="1188"/>
      <c r="I222" s="1188"/>
      <c r="J222" s="1188"/>
      <c r="K222" s="1188"/>
      <c r="L222" s="1188"/>
      <c r="M222" s="1188"/>
      <c r="N222" s="1188"/>
      <c r="O222" s="1188"/>
      <c r="P222" s="1188"/>
      <c r="Q222" s="1189"/>
      <c r="R222" s="1296"/>
      <c r="S222" s="1296"/>
      <c r="T222" s="1726"/>
      <c r="U222" s="1220" t="s">
        <v>1868</v>
      </c>
      <c r="V222" s="1221" t="s">
        <v>126</v>
      </c>
      <c r="W222" s="1222" t="s">
        <v>128</v>
      </c>
      <c r="X222" s="1223" t="s">
        <v>1110</v>
      </c>
      <c r="Y222" s="1188"/>
      <c r="Z222" s="1188"/>
      <c r="AA222" s="1188"/>
      <c r="AB222" s="1188"/>
      <c r="AC222" s="1188"/>
      <c r="AD222" s="1188"/>
      <c r="AE222" s="1188"/>
      <c r="AF222" s="1188"/>
      <c r="AG222" s="1188"/>
      <c r="AH222" s="1188"/>
      <c r="AI222" s="1189"/>
      <c r="AJ222" s="1296"/>
      <c r="AK222" s="1296"/>
      <c r="AL222" s="1726"/>
      <c r="AM222" s="1220" t="s">
        <v>1868</v>
      </c>
      <c r="AN222" s="1221" t="s">
        <v>126</v>
      </c>
      <c r="AO222" s="1222" t="s">
        <v>128</v>
      </c>
      <c r="AP222" s="1223" t="s">
        <v>1110</v>
      </c>
      <c r="AQ222" s="1188"/>
      <c r="AR222" s="1188"/>
      <c r="AS222" s="1188"/>
      <c r="AT222" s="1188"/>
      <c r="AU222" s="1188"/>
      <c r="AV222" s="1188"/>
      <c r="AW222" s="1188"/>
      <c r="AX222" s="1188"/>
      <c r="AY222" s="1188"/>
      <c r="AZ222" s="1188"/>
      <c r="BA222" s="1189"/>
      <c r="BB222" s="1296"/>
      <c r="BC222" s="1726"/>
      <c r="BD222" s="1220" t="s">
        <v>1868</v>
      </c>
      <c r="BE222" s="1221" t="s">
        <v>126</v>
      </c>
      <c r="BF222" s="1222" t="s">
        <v>128</v>
      </c>
      <c r="BG222" s="1223" t="s">
        <v>1110</v>
      </c>
      <c r="BH222" s="1188"/>
      <c r="BI222" s="1188"/>
      <c r="BJ222" s="1188"/>
      <c r="BK222" s="1188"/>
      <c r="BL222" s="1188"/>
      <c r="BM222" s="1188"/>
      <c r="BN222" s="1188"/>
      <c r="BO222" s="1188"/>
      <c r="BP222" s="1188"/>
      <c r="BQ222" s="1188"/>
      <c r="BR222" s="1189"/>
      <c r="BS222" s="1296"/>
      <c r="BT222" s="1726"/>
      <c r="BU222" s="1220" t="s">
        <v>1868</v>
      </c>
      <c r="BV222" s="1221" t="s">
        <v>126</v>
      </c>
      <c r="BW222" s="1222" t="s">
        <v>128</v>
      </c>
      <c r="BX222" s="1223" t="s">
        <v>1110</v>
      </c>
      <c r="BY222" s="1188"/>
      <c r="BZ222" s="1188"/>
      <c r="CA222" s="1188"/>
      <c r="CB222" s="1188"/>
      <c r="CC222" s="1188"/>
      <c r="CD222" s="1188"/>
      <c r="CE222" s="1188"/>
      <c r="CF222" s="1188"/>
      <c r="CG222" s="1188"/>
      <c r="CH222" s="1188"/>
      <c r="CI222" s="1189"/>
      <c r="CJ222" s="1296"/>
      <c r="CK222" s="1296"/>
    </row>
    <row r="223" spans="1:89" x14ac:dyDescent="0.25">
      <c r="A223" s="1296"/>
      <c r="B223" s="1721"/>
      <c r="C223" s="1228">
        <v>0</v>
      </c>
      <c r="D223" s="1229" t="str" cm="1">
        <f t="array" aca="1" ref="D223" ca="1">IF(INDIRECT("'Incentives Worksheet'!H"&amp;'Configurable Tab'!H19+6)&lt;&gt;0,0,"")</f>
        <v/>
      </c>
      <c r="E223" s="1262" t="str" cm="1">
        <f t="array" aca="1" ref="E223" ca="1">IF(INDIRECT("'Incentives Worksheet'!H"&amp;'Configurable Tab'!H19+6)&lt;&gt;0,INDIRECT("'Incentives Worksheet'!H"&amp;'Configurable Tab'!H19+6)-0.01,"")</f>
        <v/>
      </c>
      <c r="F223" s="1231" t="str" cm="1">
        <f t="array" aca="1" ref="F223" ca="1">IF(INDIRECT("'Incentives Worksheet'!H"&amp;'Configurable Tab'!H19+6)&lt;&gt;0,0,"")</f>
        <v/>
      </c>
      <c r="G223" s="1188"/>
      <c r="H223" s="1188"/>
      <c r="I223" s="1188"/>
      <c r="J223" s="1188"/>
      <c r="K223" s="1188"/>
      <c r="L223" s="1188"/>
      <c r="M223" s="1188"/>
      <c r="N223" s="1188"/>
      <c r="O223" s="1188"/>
      <c r="P223" s="1188"/>
      <c r="Q223" s="1189"/>
      <c r="R223" s="1296"/>
      <c r="S223" s="1296"/>
      <c r="T223" s="1726"/>
      <c r="U223" s="1228">
        <v>0</v>
      </c>
      <c r="V223" s="1229" t="str" cm="1">
        <f t="array" aca="1" ref="V223" ca="1">IF(INDIRECT("'Incentives Worksheet'!H"&amp;'Configurable Tab'!H20+6)&lt;&gt;0,0,"")</f>
        <v/>
      </c>
      <c r="W223" s="1262" t="str" cm="1">
        <f t="array" aca="1" ref="W223" ca="1">IF(INDIRECT("'Incentives Worksheet'!H"&amp;'Configurable Tab'!H20+6)&lt;&gt;0,INDIRECT("'Incentives Worksheet'!H"&amp;'Configurable Tab'!H20+6)-0.01,"")</f>
        <v/>
      </c>
      <c r="X223" s="1231" t="str" cm="1">
        <f t="array" aca="1" ref="X223" ca="1">IF(INDIRECT("'Incentives Worksheet'!H"&amp;'Configurable Tab'!H20+6)&lt;&gt;0,0,"")</f>
        <v/>
      </c>
      <c r="Y223" s="1188"/>
      <c r="Z223" s="1188"/>
      <c r="AA223" s="1188"/>
      <c r="AB223" s="1188"/>
      <c r="AC223" s="1188"/>
      <c r="AD223" s="1188"/>
      <c r="AE223" s="1188"/>
      <c r="AF223" s="1188"/>
      <c r="AG223" s="1188"/>
      <c r="AH223" s="1188"/>
      <c r="AI223" s="1189"/>
      <c r="AJ223" s="1296"/>
      <c r="AK223" s="1296"/>
      <c r="AL223" s="1726"/>
      <c r="AM223" s="1228">
        <v>0</v>
      </c>
      <c r="AN223" s="1229" t="str" cm="1">
        <f t="array" aca="1" ref="AN223" ca="1">IF(INDIRECT("'Incentives Worksheet'!H"&amp;'Configurable Tab'!H21+6)&lt;&gt;0,0,"")</f>
        <v/>
      </c>
      <c r="AO223" s="1262" t="str" cm="1">
        <f t="array" aca="1" ref="AO223" ca="1">IF(INDIRECT("'Incentives Worksheet'!H"&amp;'Configurable Tab'!H21+6)&lt;&gt;0,INDIRECT("'Incentives Worksheet'!H"&amp;'Configurable Tab'!H21+6)-0.01,"")</f>
        <v/>
      </c>
      <c r="AP223" s="1231" t="str" cm="1">
        <f t="array" aca="1" ref="AP223" ca="1">IF(INDIRECT("'Incentives Worksheet'!H"&amp;'Configurable Tab'!H21+6)&lt;&gt;0,0,"")</f>
        <v/>
      </c>
      <c r="AQ223" s="1188"/>
      <c r="AR223" s="1188"/>
      <c r="AS223" s="1188"/>
      <c r="AT223" s="1188"/>
      <c r="AU223" s="1188"/>
      <c r="AV223" s="1188"/>
      <c r="AW223" s="1188"/>
      <c r="AX223" s="1188"/>
      <c r="AY223" s="1188"/>
      <c r="AZ223" s="1188"/>
      <c r="BA223" s="1189"/>
      <c r="BB223" s="1296"/>
      <c r="BC223" s="1726"/>
      <c r="BD223" s="1228">
        <v>0</v>
      </c>
      <c r="BE223" s="1229" t="str" cm="1">
        <f t="array" aca="1" ref="BE223" ca="1">IF(INDIRECT("'Incentives Worksheet'!H"&amp;'Configurable Tab'!H22+6)&lt;&gt;0,0,"")</f>
        <v/>
      </c>
      <c r="BF223" s="1262" t="str" cm="1">
        <f t="array" aca="1" ref="BF223" ca="1">IF(INDIRECT("'Incentives Worksheet'!H"&amp;'Configurable Tab'!H22+6)&lt;&gt;0,INDIRECT("'Incentives Worksheet'!H"&amp;'Configurable Tab'!H22+6)-0.01,"")</f>
        <v/>
      </c>
      <c r="BG223" s="1231" t="str" cm="1">
        <f t="array" aca="1" ref="BG223" ca="1">IF(INDIRECT("'Incentives Worksheet'!H"&amp;'Configurable Tab'!H22+6)&lt;&gt;0,0,"")</f>
        <v/>
      </c>
      <c r="BH223" s="1188"/>
      <c r="BI223" s="1188"/>
      <c r="BJ223" s="1188"/>
      <c r="BK223" s="1188"/>
      <c r="BL223" s="1188"/>
      <c r="BM223" s="1188"/>
      <c r="BN223" s="1188"/>
      <c r="BO223" s="1188"/>
      <c r="BP223" s="1188"/>
      <c r="BQ223" s="1188"/>
      <c r="BR223" s="1189"/>
      <c r="BS223" s="1296"/>
      <c r="BT223" s="1726"/>
      <c r="BU223" s="1228">
        <v>0</v>
      </c>
      <c r="BV223" s="1229" t="str" cm="1">
        <f t="array" aca="1" ref="BV223" ca="1">IF(INDIRECT("'Incentives Worksheet'!H"&amp;'Configurable Tab'!H23+6)&lt;&gt;0,0,"")</f>
        <v/>
      </c>
      <c r="BW223" s="1262" t="str" cm="1">
        <f t="array" aca="1" ref="BW223" ca="1">IF(INDIRECT("'Incentives Worksheet'!H"&amp;'Configurable Tab'!H23+6)&lt;&gt;0,INDIRECT("'Incentives Worksheet'!H"&amp;'Configurable Tab'!H23+6)-0.01,"")</f>
        <v/>
      </c>
      <c r="BX223" s="1231" t="str" cm="1">
        <f t="array" aca="1" ref="BX223" ca="1">IF(INDIRECT("'Incentives Worksheet'!H"&amp;'Configurable Tab'!H23+6)&lt;&gt;0,0,"")</f>
        <v/>
      </c>
      <c r="BY223" s="1188"/>
      <c r="BZ223" s="1188"/>
      <c r="CA223" s="1188"/>
      <c r="CB223" s="1188"/>
      <c r="CC223" s="1188"/>
      <c r="CD223" s="1188"/>
      <c r="CE223" s="1188"/>
      <c r="CF223" s="1188"/>
      <c r="CG223" s="1188"/>
      <c r="CH223" s="1188"/>
      <c r="CI223" s="1189"/>
      <c r="CJ223" s="1296"/>
      <c r="CK223" s="1296"/>
    </row>
    <row r="224" spans="1:89" ht="15.75" thickBot="1" x14ac:dyDescent="0.3">
      <c r="A224" s="1296"/>
      <c r="B224" s="1722"/>
      <c r="C224" s="1234">
        <v>1</v>
      </c>
      <c r="D224" s="1255" t="str" cm="1">
        <f t="array" aca="1" ref="D224" ca="1">IF(INDIRECT("'Incentives Worksheet'!H"&amp;'Configurable Tab'!H19+6)=0,"",INDIRECT("'Incentives Worksheet'!H"&amp;'Configurable Tab'!H19+6))</f>
        <v/>
      </c>
      <c r="E224" s="1280" t="str" cm="1">
        <f t="array" aca="1" ref="E224" ca="1">IF(INDIRECT("'Incentives Worksheet'!J"&amp;'Configurable Tab'!H19+6)=0,"",INDIRECT("'Incentives Worksheet'!J"&amp;'Configurable Tab'!H19+6))</f>
        <v/>
      </c>
      <c r="F224" s="1257" t="str" cm="1">
        <f t="array" aca="1" ref="F224" ca="1">IF(INDIRECT("'Incentives Worksheet'!L"&amp;'Configurable Tab'!H19+6)=0,"",INDIRECT("'Incentives Worksheet'!L"&amp;'Configurable Tab'!H19+6))</f>
        <v/>
      </c>
      <c r="G224" s="1188"/>
      <c r="H224" s="1188"/>
      <c r="I224" s="1188"/>
      <c r="J224" s="1188"/>
      <c r="K224" s="1188"/>
      <c r="L224" s="1188"/>
      <c r="M224" s="1188"/>
      <c r="N224" s="1188"/>
      <c r="O224" s="1188"/>
      <c r="P224" s="1188"/>
      <c r="Q224" s="1189"/>
      <c r="R224" s="1296"/>
      <c r="S224" s="1296"/>
      <c r="T224" s="1725"/>
      <c r="U224" s="1234">
        <v>1</v>
      </c>
      <c r="V224" s="1255" t="str" cm="1">
        <f t="array" aca="1" ref="V224" ca="1">IF(INDIRECT("'Incentives Worksheet'!H"&amp;'Configurable Tab'!H20+6)=0,"",INDIRECT("'Incentives Worksheet'!H"&amp;'Configurable Tab'!H20+6))</f>
        <v/>
      </c>
      <c r="W224" s="1280" t="str" cm="1">
        <f t="array" aca="1" ref="W224" ca="1">IF(INDIRECT("'Incentives Worksheet'!J"&amp;'Configurable Tab'!H20+6)=0,"",INDIRECT("'Incentives Worksheet'!J"&amp;'Configurable Tab'!H20+6))</f>
        <v/>
      </c>
      <c r="X224" s="1257" t="str" cm="1">
        <f t="array" aca="1" ref="X224" ca="1">IF(INDIRECT("'Incentives Worksheet'!L"&amp;'Configurable Tab'!H20+6)=0,"",INDIRECT("'Incentives Worksheet'!L"&amp;'Configurable Tab'!H20+6))</f>
        <v/>
      </c>
      <c r="Y224" s="1188"/>
      <c r="Z224" s="1188"/>
      <c r="AA224" s="1188"/>
      <c r="AB224" s="1188"/>
      <c r="AC224" s="1188"/>
      <c r="AD224" s="1188"/>
      <c r="AE224" s="1188"/>
      <c r="AF224" s="1188"/>
      <c r="AG224" s="1188"/>
      <c r="AH224" s="1188"/>
      <c r="AI224" s="1189"/>
      <c r="AJ224" s="1296"/>
      <c r="AK224" s="1296"/>
      <c r="AL224" s="1725"/>
      <c r="AM224" s="1234">
        <v>1</v>
      </c>
      <c r="AN224" s="1255" t="str" cm="1">
        <f t="array" aca="1" ref="AN224" ca="1">IF(INDIRECT("'Incentives Worksheet'!H"&amp;'Configurable Tab'!H21+6)=0,"",INDIRECT("'Incentives Worksheet'!H"&amp;'Configurable Tab'!H21+6))</f>
        <v/>
      </c>
      <c r="AO224" s="1280" t="str" cm="1">
        <f t="array" aca="1" ref="AO224" ca="1">IF(INDIRECT("'Incentives Worksheet'!J"&amp;'Configurable Tab'!H21+6)=0,"",INDIRECT("'Incentives Worksheet'!J"&amp;'Configurable Tab'!H21+6))</f>
        <v/>
      </c>
      <c r="AP224" s="1257" t="str" cm="1">
        <f t="array" aca="1" ref="AP224" ca="1">IF(INDIRECT("'Incentives Worksheet'!L"&amp;'Configurable Tab'!H21+6)=0,"",INDIRECT("'Incentives Worksheet'!L"&amp;'Configurable Tab'!H21+6))</f>
        <v/>
      </c>
      <c r="AQ224" s="1188"/>
      <c r="AR224" s="1188"/>
      <c r="AS224" s="1188"/>
      <c r="AT224" s="1188"/>
      <c r="AU224" s="1188"/>
      <c r="AV224" s="1188"/>
      <c r="AW224" s="1188"/>
      <c r="AX224" s="1188"/>
      <c r="AY224" s="1188"/>
      <c r="AZ224" s="1188"/>
      <c r="BA224" s="1189"/>
      <c r="BB224" s="1296"/>
      <c r="BC224" s="1725"/>
      <c r="BD224" s="1234">
        <v>1</v>
      </c>
      <c r="BE224" s="1255" t="str" cm="1">
        <f t="array" aca="1" ref="BE224" ca="1">IF(INDIRECT("'Incentives Worksheet'!H"&amp;'Configurable Tab'!H22+6)=0,"",INDIRECT("'Incentives Worksheet'!H"&amp;'Configurable Tab'!H22+6))</f>
        <v/>
      </c>
      <c r="BF224" s="1280" t="str" cm="1">
        <f t="array" aca="1" ref="BF224" ca="1">IF(INDIRECT("'Incentives Worksheet'!J"&amp;'Configurable Tab'!H22+6)=0,"",INDIRECT("'Incentives Worksheet'!J"&amp;'Configurable Tab'!H22+6))</f>
        <v/>
      </c>
      <c r="BG224" s="1257" t="str" cm="1">
        <f t="array" aca="1" ref="BG224" ca="1">IF(INDIRECT("'Incentives Worksheet'!L"&amp;'Configurable Tab'!H22+6)=0,"",INDIRECT("'Incentives Worksheet'!L"&amp;'Configurable Tab'!H22+6))</f>
        <v/>
      </c>
      <c r="BH224" s="1188"/>
      <c r="BI224" s="1188"/>
      <c r="BJ224" s="1188"/>
      <c r="BK224" s="1188"/>
      <c r="BL224" s="1188"/>
      <c r="BM224" s="1188"/>
      <c r="BN224" s="1188"/>
      <c r="BO224" s="1188"/>
      <c r="BP224" s="1188"/>
      <c r="BQ224" s="1188"/>
      <c r="BR224" s="1189"/>
      <c r="BS224" s="1296"/>
      <c r="BT224" s="1725"/>
      <c r="BU224" s="1234">
        <v>1</v>
      </c>
      <c r="BV224" s="1255" t="str" cm="1">
        <f t="array" aca="1" ref="BV224" ca="1">IF(INDIRECT("'Incentives Worksheet'!H"&amp;'Configurable Tab'!H23+6)=0,"",INDIRECT("'Incentives Worksheet'!H"&amp;'Configurable Tab'!H23+6))</f>
        <v/>
      </c>
      <c r="BW224" s="1280" t="str" cm="1">
        <f t="array" aca="1" ref="BW224" ca="1">IF(INDIRECT("'Incentives Worksheet'!J"&amp;'Configurable Tab'!H23+6)=0,"",INDIRECT("'Incentives Worksheet'!J"&amp;'Configurable Tab'!H23+6))</f>
        <v/>
      </c>
      <c r="BX224" s="1257" t="str" cm="1">
        <f t="array" aca="1" ref="BX224" ca="1">IF(INDIRECT("'Incentives Worksheet'!L"&amp;'Configurable Tab'!H23+6)=0,"",INDIRECT("'Incentives Worksheet'!L"&amp;'Configurable Tab'!H23+6))</f>
        <v/>
      </c>
      <c r="BY224" s="1188"/>
      <c r="BZ224" s="1188"/>
      <c r="CA224" s="1188"/>
      <c r="CB224" s="1188"/>
      <c r="CC224" s="1188"/>
      <c r="CD224" s="1188"/>
      <c r="CE224" s="1188"/>
      <c r="CF224" s="1188"/>
      <c r="CG224" s="1188"/>
      <c r="CH224" s="1188"/>
      <c r="CI224" s="1189"/>
      <c r="CJ224" s="1296"/>
      <c r="CK224" s="1296"/>
    </row>
    <row r="225" spans="1:89" ht="15.75" customHeight="1" thickBot="1" x14ac:dyDescent="0.3">
      <c r="A225" s="1296"/>
      <c r="B225" s="1719" t="s">
        <v>1842</v>
      </c>
      <c r="C225" s="1241" t="s">
        <v>1843</v>
      </c>
      <c r="D225" s="1242" t="s">
        <v>131</v>
      </c>
      <c r="E225" s="1242" t="s">
        <v>1844</v>
      </c>
      <c r="F225" s="1296"/>
      <c r="G225" s="1296"/>
      <c r="H225" s="1296"/>
      <c r="I225" s="1296"/>
      <c r="J225" s="1296"/>
      <c r="K225" s="1296"/>
      <c r="L225" s="1296"/>
      <c r="M225" s="1296"/>
      <c r="N225" s="1296"/>
      <c r="O225" s="1296"/>
      <c r="P225" s="1296"/>
      <c r="Q225" s="138"/>
      <c r="R225" s="1296"/>
      <c r="S225" s="1296"/>
      <c r="T225" s="1719" t="s">
        <v>1842</v>
      </c>
      <c r="U225" s="1241" t="s">
        <v>1843</v>
      </c>
      <c r="V225" s="1192" t="s">
        <v>131</v>
      </c>
      <c r="W225" s="1192" t="s">
        <v>1844</v>
      </c>
      <c r="X225" s="1296"/>
      <c r="Y225" s="1296"/>
      <c r="Z225" s="1296"/>
      <c r="AA225" s="1296"/>
      <c r="AB225" s="1296"/>
      <c r="AC225" s="1296"/>
      <c r="AD225" s="1296"/>
      <c r="AE225" s="1296"/>
      <c r="AF225" s="1296"/>
      <c r="AG225" s="1296"/>
      <c r="AH225" s="1296"/>
      <c r="AI225" s="138"/>
      <c r="AJ225" s="1296"/>
      <c r="AK225" s="1296"/>
      <c r="AL225" s="1719" t="s">
        <v>1842</v>
      </c>
      <c r="AM225" s="1241" t="s">
        <v>1843</v>
      </c>
      <c r="AN225" s="1192" t="s">
        <v>131</v>
      </c>
      <c r="AO225" s="1192" t="s">
        <v>1844</v>
      </c>
      <c r="AP225" s="1296"/>
      <c r="AQ225" s="1296"/>
      <c r="AR225" s="1296"/>
      <c r="AS225" s="1296"/>
      <c r="AT225" s="1296"/>
      <c r="AU225" s="1296"/>
      <c r="AV225" s="1296"/>
      <c r="AW225" s="1296"/>
      <c r="AX225" s="1296"/>
      <c r="AY225" s="1296"/>
      <c r="AZ225" s="1296"/>
      <c r="BA225" s="138"/>
      <c r="BB225" s="1296"/>
      <c r="BC225" s="1719" t="s">
        <v>1842</v>
      </c>
      <c r="BD225" s="1241" t="s">
        <v>1843</v>
      </c>
      <c r="BE225" s="1192" t="s">
        <v>131</v>
      </c>
      <c r="BF225" s="1192" t="s">
        <v>1844</v>
      </c>
      <c r="BG225" s="1296"/>
      <c r="BH225" s="1296"/>
      <c r="BI225" s="1296"/>
      <c r="BJ225" s="1296"/>
      <c r="BK225" s="1296"/>
      <c r="BL225" s="1296"/>
      <c r="BM225" s="1296"/>
      <c r="BN225" s="1296"/>
      <c r="BO225" s="1296"/>
      <c r="BP225" s="1296"/>
      <c r="BQ225" s="1296"/>
      <c r="BR225" s="138"/>
      <c r="BS225" s="1296"/>
      <c r="BT225" s="1719" t="s">
        <v>1842</v>
      </c>
      <c r="BU225" s="1241" t="s">
        <v>1843</v>
      </c>
      <c r="BV225" s="1192" t="s">
        <v>131</v>
      </c>
      <c r="BW225" s="1192" t="s">
        <v>1844</v>
      </c>
      <c r="BX225" s="1296"/>
      <c r="BY225" s="1296"/>
      <c r="BZ225" s="1296"/>
      <c r="CA225" s="1296"/>
      <c r="CB225" s="1296"/>
      <c r="CC225" s="1296"/>
      <c r="CD225" s="1296"/>
      <c r="CE225" s="1296"/>
      <c r="CF225" s="1296"/>
      <c r="CG225" s="1296"/>
      <c r="CH225" s="1296"/>
      <c r="CI225" s="138"/>
      <c r="CJ225" s="1296"/>
      <c r="CK225" s="1296"/>
    </row>
    <row r="226" spans="1:89" x14ac:dyDescent="0.25">
      <c r="A226" s="1296"/>
      <c r="B226" s="1726"/>
      <c r="C226" s="1193" t="s">
        <v>1845</v>
      </c>
      <c r="D226" s="1193" t="s">
        <v>1846</v>
      </c>
      <c r="E226" s="1194"/>
      <c r="F226" s="1296"/>
      <c r="G226" s="1296"/>
      <c r="H226" s="1296"/>
      <c r="I226" s="1296"/>
      <c r="J226" s="1296"/>
      <c r="K226" s="1296"/>
      <c r="L226" s="1296"/>
      <c r="M226" s="1296"/>
      <c r="N226" s="1296"/>
      <c r="O226" s="1296"/>
      <c r="P226" s="1296"/>
      <c r="Q226" s="138"/>
      <c r="R226" s="1296"/>
      <c r="S226" s="1296"/>
      <c r="T226" s="1726"/>
      <c r="U226" s="1193" t="s">
        <v>1845</v>
      </c>
      <c r="V226" s="1193" t="s">
        <v>1846</v>
      </c>
      <c r="W226" s="1194"/>
      <c r="X226" s="1296"/>
      <c r="Y226" s="1296"/>
      <c r="Z226" s="1296"/>
      <c r="AA226" s="1296"/>
      <c r="AB226" s="1296"/>
      <c r="AC226" s="1296"/>
      <c r="AD226" s="1296"/>
      <c r="AE226" s="1296"/>
      <c r="AF226" s="1296"/>
      <c r="AG226" s="1296"/>
      <c r="AH226" s="1296"/>
      <c r="AI226" s="138"/>
      <c r="AJ226" s="1296"/>
      <c r="AK226" s="1296"/>
      <c r="AL226" s="1726"/>
      <c r="AM226" s="1193" t="s">
        <v>1845</v>
      </c>
      <c r="AN226" s="1193" t="s">
        <v>1846</v>
      </c>
      <c r="AO226" s="1194"/>
      <c r="AP226" s="1296"/>
      <c r="AQ226" s="1296"/>
      <c r="AR226" s="1296"/>
      <c r="AS226" s="1296"/>
      <c r="AT226" s="1296"/>
      <c r="AU226" s="1296"/>
      <c r="AV226" s="1296"/>
      <c r="AW226" s="1296"/>
      <c r="AX226" s="1296"/>
      <c r="AY226" s="1296"/>
      <c r="AZ226" s="1296"/>
      <c r="BA226" s="138"/>
      <c r="BB226" s="1296"/>
      <c r="BC226" s="1726"/>
      <c r="BD226" s="1193" t="s">
        <v>1845</v>
      </c>
      <c r="BE226" s="1193" t="s">
        <v>1846</v>
      </c>
      <c r="BF226" s="1194"/>
      <c r="BG226" s="1296"/>
      <c r="BH226" s="1296"/>
      <c r="BI226" s="1296"/>
      <c r="BJ226" s="1296"/>
      <c r="BK226" s="1296"/>
      <c r="BL226" s="1296"/>
      <c r="BM226" s="1296"/>
      <c r="BN226" s="1296"/>
      <c r="BO226" s="1296"/>
      <c r="BP226" s="1296"/>
      <c r="BQ226" s="1296"/>
      <c r="BR226" s="138"/>
      <c r="BS226" s="1296"/>
      <c r="BT226" s="1726"/>
      <c r="BU226" s="1193" t="s">
        <v>1845</v>
      </c>
      <c r="BV226" s="1193" t="s">
        <v>1846</v>
      </c>
      <c r="BW226" s="1194"/>
      <c r="BX226" s="1296"/>
      <c r="BY226" s="1296"/>
      <c r="BZ226" s="1296"/>
      <c r="CA226" s="1296"/>
      <c r="CB226" s="1296"/>
      <c r="CC226" s="1296"/>
      <c r="CD226" s="1296"/>
      <c r="CE226" s="1296"/>
      <c r="CF226" s="1296"/>
      <c r="CG226" s="1296"/>
      <c r="CH226" s="1296"/>
      <c r="CI226" s="138"/>
      <c r="CJ226" s="1296"/>
      <c r="CK226" s="1296"/>
    </row>
    <row r="227" spans="1:89" x14ac:dyDescent="0.25">
      <c r="A227" s="1296"/>
      <c r="B227" s="1726"/>
      <c r="C227" s="1195" t="s">
        <v>1845</v>
      </c>
      <c r="D227" s="1195" t="s">
        <v>1847</v>
      </c>
      <c r="E227" s="1196" t="s">
        <v>1848</v>
      </c>
      <c r="F227" s="1296"/>
      <c r="G227" s="1296"/>
      <c r="H227" s="1296"/>
      <c r="I227" s="1296"/>
      <c r="J227" s="1296"/>
      <c r="K227" s="1296"/>
      <c r="L227" s="1296"/>
      <c r="M227" s="1296"/>
      <c r="N227" s="1296"/>
      <c r="O227" s="1296"/>
      <c r="P227" s="1296"/>
      <c r="Q227" s="138"/>
      <c r="R227" s="1296"/>
      <c r="S227" s="1296"/>
      <c r="T227" s="1726"/>
      <c r="U227" s="1195" t="s">
        <v>1845</v>
      </c>
      <c r="V227" s="1195" t="s">
        <v>1847</v>
      </c>
      <c r="W227" s="1196" t="s">
        <v>1848</v>
      </c>
      <c r="X227" s="1296"/>
      <c r="Y227" s="1296"/>
      <c r="Z227" s="1296"/>
      <c r="AA227" s="1296"/>
      <c r="AB227" s="1296"/>
      <c r="AC227" s="1296"/>
      <c r="AD227" s="1296"/>
      <c r="AE227" s="1296"/>
      <c r="AF227" s="1296"/>
      <c r="AG227" s="1296"/>
      <c r="AH227" s="1296"/>
      <c r="AI227" s="138"/>
      <c r="AJ227" s="1296"/>
      <c r="AK227" s="1296"/>
      <c r="AL227" s="1726"/>
      <c r="AM227" s="1195" t="s">
        <v>1845</v>
      </c>
      <c r="AN227" s="1195" t="s">
        <v>1847</v>
      </c>
      <c r="AO227" s="1196" t="s">
        <v>1848</v>
      </c>
      <c r="AP227" s="1296"/>
      <c r="AQ227" s="1296"/>
      <c r="AR227" s="1296"/>
      <c r="AS227" s="1296"/>
      <c r="AT227" s="1296"/>
      <c r="AU227" s="1296"/>
      <c r="AV227" s="1296"/>
      <c r="AW227" s="1296"/>
      <c r="AX227" s="1296"/>
      <c r="AY227" s="1296"/>
      <c r="AZ227" s="1296"/>
      <c r="BA227" s="138"/>
      <c r="BB227" s="1296"/>
      <c r="BC227" s="1726"/>
      <c r="BD227" s="1195" t="s">
        <v>1845</v>
      </c>
      <c r="BE227" s="1195" t="s">
        <v>1847</v>
      </c>
      <c r="BF227" s="1196" t="s">
        <v>1848</v>
      </c>
      <c r="BG227" s="1296"/>
      <c r="BH227" s="1296"/>
      <c r="BI227" s="1296"/>
      <c r="BJ227" s="1296"/>
      <c r="BK227" s="1296"/>
      <c r="BL227" s="1296"/>
      <c r="BM227" s="1296"/>
      <c r="BN227" s="1296"/>
      <c r="BO227" s="1296"/>
      <c r="BP227" s="1296"/>
      <c r="BQ227" s="1296"/>
      <c r="BR227" s="138"/>
      <c r="BS227" s="1296"/>
      <c r="BT227" s="1726"/>
      <c r="BU227" s="1195" t="s">
        <v>1845</v>
      </c>
      <c r="BV227" s="1195" t="s">
        <v>1847</v>
      </c>
      <c r="BW227" s="1196" t="s">
        <v>1848</v>
      </c>
      <c r="BX227" s="1296"/>
      <c r="BY227" s="1296"/>
      <c r="BZ227" s="1296"/>
      <c r="CA227" s="1296"/>
      <c r="CB227" s="1296"/>
      <c r="CC227" s="1296"/>
      <c r="CD227" s="1296"/>
      <c r="CE227" s="1296"/>
      <c r="CF227" s="1296"/>
      <c r="CG227" s="1296"/>
      <c r="CH227" s="1296"/>
      <c r="CI227" s="138"/>
      <c r="CJ227" s="1296"/>
      <c r="CK227" s="1296"/>
    </row>
    <row r="228" spans="1:89" x14ac:dyDescent="0.25">
      <c r="A228" s="1296"/>
      <c r="B228" s="1726"/>
      <c r="C228" s="1195" t="s">
        <v>1845</v>
      </c>
      <c r="D228" s="1195" t="s">
        <v>1849</v>
      </c>
      <c r="E228" s="1196" t="s">
        <v>1718</v>
      </c>
      <c r="F228" s="1296"/>
      <c r="G228" s="1296"/>
      <c r="H228" s="1296"/>
      <c r="I228" s="1296"/>
      <c r="J228" s="1296"/>
      <c r="K228" s="1296"/>
      <c r="L228" s="1296"/>
      <c r="M228" s="1296"/>
      <c r="N228" s="1296"/>
      <c r="O228" s="1296"/>
      <c r="P228" s="1296"/>
      <c r="Q228" s="138"/>
      <c r="R228" s="1296"/>
      <c r="S228" s="1296"/>
      <c r="T228" s="1726"/>
      <c r="U228" s="1195" t="s">
        <v>1845</v>
      </c>
      <c r="V228" s="1195" t="s">
        <v>1849</v>
      </c>
      <c r="W228" s="1196" t="s">
        <v>1718</v>
      </c>
      <c r="X228" s="1296"/>
      <c r="Y228" s="1296"/>
      <c r="Z228" s="1296"/>
      <c r="AA228" s="1296"/>
      <c r="AB228" s="1296"/>
      <c r="AC228" s="1296"/>
      <c r="AD228" s="1296"/>
      <c r="AE228" s="1296"/>
      <c r="AF228" s="1296"/>
      <c r="AG228" s="1296"/>
      <c r="AH228" s="1296"/>
      <c r="AI228" s="138"/>
      <c r="AJ228" s="1296"/>
      <c r="AK228" s="1296"/>
      <c r="AL228" s="1726"/>
      <c r="AM228" s="1195" t="s">
        <v>1845</v>
      </c>
      <c r="AN228" s="1195" t="s">
        <v>1849</v>
      </c>
      <c r="AO228" s="1196" t="s">
        <v>1718</v>
      </c>
      <c r="AP228" s="1296"/>
      <c r="AQ228" s="1296"/>
      <c r="AR228" s="1296"/>
      <c r="AS228" s="1296"/>
      <c r="AT228" s="1296"/>
      <c r="AU228" s="1296"/>
      <c r="AV228" s="1296"/>
      <c r="AW228" s="1296"/>
      <c r="AX228" s="1296"/>
      <c r="AY228" s="1296"/>
      <c r="AZ228" s="1296"/>
      <c r="BA228" s="138"/>
      <c r="BB228" s="1296"/>
      <c r="BC228" s="1726"/>
      <c r="BD228" s="1195" t="s">
        <v>1845</v>
      </c>
      <c r="BE228" s="1195" t="s">
        <v>1849</v>
      </c>
      <c r="BF228" s="1196" t="s">
        <v>1718</v>
      </c>
      <c r="BG228" s="1296"/>
      <c r="BH228" s="1296"/>
      <c r="BI228" s="1296"/>
      <c r="BJ228" s="1296"/>
      <c r="BK228" s="1296"/>
      <c r="BL228" s="1296"/>
      <c r="BM228" s="1296"/>
      <c r="BN228" s="1296"/>
      <c r="BO228" s="1296"/>
      <c r="BP228" s="1296"/>
      <c r="BQ228" s="1296"/>
      <c r="BR228" s="138"/>
      <c r="BS228" s="1296"/>
      <c r="BT228" s="1726"/>
      <c r="BU228" s="1195" t="s">
        <v>1845</v>
      </c>
      <c r="BV228" s="1195" t="s">
        <v>1849</v>
      </c>
      <c r="BW228" s="1196" t="s">
        <v>1718</v>
      </c>
      <c r="BX228" s="1296"/>
      <c r="BY228" s="1296"/>
      <c r="BZ228" s="1296"/>
      <c r="CA228" s="1296"/>
      <c r="CB228" s="1296"/>
      <c r="CC228" s="1296"/>
      <c r="CD228" s="1296"/>
      <c r="CE228" s="1296"/>
      <c r="CF228" s="1296"/>
      <c r="CG228" s="1296"/>
      <c r="CH228" s="1296"/>
      <c r="CI228" s="138"/>
      <c r="CJ228" s="1296"/>
      <c r="CK228" s="1296"/>
    </row>
    <row r="229" spans="1:89" ht="15.75" thickBot="1" x14ac:dyDescent="0.3">
      <c r="A229" s="1296"/>
      <c r="B229" s="1725"/>
      <c r="C229" s="1197" t="s">
        <v>1845</v>
      </c>
      <c r="D229" s="1197" t="s">
        <v>1850</v>
      </c>
      <c r="E229" s="1198" t="s">
        <v>1851</v>
      </c>
      <c r="F229" s="1296"/>
      <c r="G229" s="1296"/>
      <c r="H229" s="1296"/>
      <c r="I229" s="1296"/>
      <c r="J229" s="1296"/>
      <c r="K229" s="1296"/>
      <c r="L229" s="1296"/>
      <c r="M229" s="1296"/>
      <c r="N229" s="1296"/>
      <c r="O229" s="1296"/>
      <c r="P229" s="1296"/>
      <c r="Q229" s="138"/>
      <c r="R229" s="1296"/>
      <c r="S229" s="1296"/>
      <c r="T229" s="1725"/>
      <c r="U229" s="1197" t="s">
        <v>1845</v>
      </c>
      <c r="V229" s="1197" t="s">
        <v>1850</v>
      </c>
      <c r="W229" s="1198" t="s">
        <v>1851</v>
      </c>
      <c r="X229" s="1296"/>
      <c r="Y229" s="1296"/>
      <c r="Z229" s="1296"/>
      <c r="AA229" s="1296"/>
      <c r="AB229" s="1296"/>
      <c r="AC229" s="1296"/>
      <c r="AD229" s="1296"/>
      <c r="AE229" s="1296"/>
      <c r="AF229" s="1296"/>
      <c r="AG229" s="1296"/>
      <c r="AH229" s="1296"/>
      <c r="AI229" s="138"/>
      <c r="AJ229" s="1296"/>
      <c r="AK229" s="1296"/>
      <c r="AL229" s="1725"/>
      <c r="AM229" s="1197" t="s">
        <v>1845</v>
      </c>
      <c r="AN229" s="1197" t="s">
        <v>1850</v>
      </c>
      <c r="AO229" s="1198" t="s">
        <v>1851</v>
      </c>
      <c r="AP229" s="1296"/>
      <c r="AQ229" s="1296"/>
      <c r="AR229" s="1296"/>
      <c r="AS229" s="1296"/>
      <c r="AT229" s="1296"/>
      <c r="AU229" s="1296"/>
      <c r="AV229" s="1296"/>
      <c r="AW229" s="1296"/>
      <c r="AX229" s="1296"/>
      <c r="AY229" s="1296"/>
      <c r="AZ229" s="1296"/>
      <c r="BA229" s="138"/>
      <c r="BB229" s="1296"/>
      <c r="BC229" s="1725"/>
      <c r="BD229" s="1197" t="s">
        <v>1845</v>
      </c>
      <c r="BE229" s="1197" t="s">
        <v>1850</v>
      </c>
      <c r="BF229" s="1198" t="s">
        <v>1851</v>
      </c>
      <c r="BG229" s="1296"/>
      <c r="BH229" s="1296"/>
      <c r="BI229" s="1296"/>
      <c r="BJ229" s="1296"/>
      <c r="BK229" s="1296"/>
      <c r="BL229" s="1296"/>
      <c r="BM229" s="1296"/>
      <c r="BN229" s="1296"/>
      <c r="BO229" s="1296"/>
      <c r="BP229" s="1296"/>
      <c r="BQ229" s="1296"/>
      <c r="BR229" s="138"/>
      <c r="BS229" s="1296"/>
      <c r="BT229" s="1725"/>
      <c r="BU229" s="1197" t="s">
        <v>1845</v>
      </c>
      <c r="BV229" s="1197" t="s">
        <v>1850</v>
      </c>
      <c r="BW229" s="1198" t="s">
        <v>1851</v>
      </c>
      <c r="BX229" s="1296"/>
      <c r="BY229" s="1296"/>
      <c r="BZ229" s="1296"/>
      <c r="CA229" s="1296"/>
      <c r="CB229" s="1296"/>
      <c r="CC229" s="1296"/>
      <c r="CD229" s="1296"/>
      <c r="CE229" s="1296"/>
      <c r="CF229" s="1296"/>
      <c r="CG229" s="1296"/>
      <c r="CH229" s="1296"/>
      <c r="CI229" s="138"/>
      <c r="CJ229" s="1296"/>
      <c r="CK229" s="1296"/>
    </row>
    <row r="230" spans="1:89" ht="15.75" customHeight="1" thickBot="1" x14ac:dyDescent="0.3">
      <c r="A230" s="1296"/>
      <c r="B230" s="1719" t="s">
        <v>1852</v>
      </c>
      <c r="C230" s="1258" t="s">
        <v>1853</v>
      </c>
      <c r="D230" s="1200" t="s">
        <v>1843</v>
      </c>
      <c r="E230" s="1200" t="s">
        <v>131</v>
      </c>
      <c r="F230" s="1200" t="s">
        <v>1844</v>
      </c>
      <c r="G230" s="1200" t="s">
        <v>1854</v>
      </c>
      <c r="H230" s="1201" t="s">
        <v>1855</v>
      </c>
      <c r="I230" s="1202" t="s">
        <v>767</v>
      </c>
      <c r="J230" s="1202" t="s">
        <v>768</v>
      </c>
      <c r="K230" s="1202" t="s">
        <v>769</v>
      </c>
      <c r="L230" s="1202" t="s">
        <v>770</v>
      </c>
      <c r="M230" s="1202" t="s">
        <v>204</v>
      </c>
      <c r="N230" s="1296"/>
      <c r="O230" s="1296"/>
      <c r="P230" s="1296"/>
      <c r="Q230" s="138"/>
      <c r="R230" s="1296"/>
      <c r="S230" s="1296"/>
      <c r="T230" s="1719" t="s">
        <v>1852</v>
      </c>
      <c r="U230" s="1258" t="s">
        <v>1853</v>
      </c>
      <c r="V230" s="1200" t="s">
        <v>1843</v>
      </c>
      <c r="W230" s="1200" t="s">
        <v>131</v>
      </c>
      <c r="X230" s="1200" t="s">
        <v>1844</v>
      </c>
      <c r="Y230" s="1200" t="s">
        <v>1854</v>
      </c>
      <c r="Z230" s="1201" t="s">
        <v>1855</v>
      </c>
      <c r="AA230" s="1202" t="s">
        <v>767</v>
      </c>
      <c r="AB230" s="1202" t="s">
        <v>768</v>
      </c>
      <c r="AC230" s="1202" t="s">
        <v>769</v>
      </c>
      <c r="AD230" s="1202" t="s">
        <v>770</v>
      </c>
      <c r="AE230" s="1202" t="s">
        <v>204</v>
      </c>
      <c r="AF230" s="1296"/>
      <c r="AG230" s="1296"/>
      <c r="AH230" s="1296"/>
      <c r="AI230" s="138"/>
      <c r="AJ230" s="1296"/>
      <c r="AK230" s="1296"/>
      <c r="AL230" s="1719" t="s">
        <v>1852</v>
      </c>
      <c r="AM230" s="1258" t="s">
        <v>1853</v>
      </c>
      <c r="AN230" s="1200" t="s">
        <v>1843</v>
      </c>
      <c r="AO230" s="1200" t="s">
        <v>131</v>
      </c>
      <c r="AP230" s="1200" t="s">
        <v>1844</v>
      </c>
      <c r="AQ230" s="1200" t="s">
        <v>1854</v>
      </c>
      <c r="AR230" s="1201" t="s">
        <v>1855</v>
      </c>
      <c r="AS230" s="1202" t="s">
        <v>767</v>
      </c>
      <c r="AT230" s="1202" t="s">
        <v>768</v>
      </c>
      <c r="AU230" s="1202" t="s">
        <v>769</v>
      </c>
      <c r="AV230" s="1202" t="s">
        <v>770</v>
      </c>
      <c r="AW230" s="1202" t="s">
        <v>204</v>
      </c>
      <c r="AX230" s="1296"/>
      <c r="AY230" s="1296"/>
      <c r="AZ230" s="1296"/>
      <c r="BA230" s="138"/>
      <c r="BB230" s="1296"/>
      <c r="BC230" s="1719" t="s">
        <v>1852</v>
      </c>
      <c r="BD230" s="1258" t="s">
        <v>1853</v>
      </c>
      <c r="BE230" s="1200" t="s">
        <v>1843</v>
      </c>
      <c r="BF230" s="1200" t="s">
        <v>131</v>
      </c>
      <c r="BG230" s="1200" t="s">
        <v>1844</v>
      </c>
      <c r="BH230" s="1200" t="s">
        <v>1854</v>
      </c>
      <c r="BI230" s="1201" t="s">
        <v>1855</v>
      </c>
      <c r="BJ230" s="1202" t="s">
        <v>767</v>
      </c>
      <c r="BK230" s="1202" t="s">
        <v>768</v>
      </c>
      <c r="BL230" s="1202" t="s">
        <v>769</v>
      </c>
      <c r="BM230" s="1202" t="s">
        <v>770</v>
      </c>
      <c r="BN230" s="1202" t="s">
        <v>204</v>
      </c>
      <c r="BO230" s="1296"/>
      <c r="BP230" s="1296"/>
      <c r="BQ230" s="1296"/>
      <c r="BR230" s="138"/>
      <c r="BS230" s="1296"/>
      <c r="BT230" s="1719" t="s">
        <v>1852</v>
      </c>
      <c r="BU230" s="1258" t="s">
        <v>1853</v>
      </c>
      <c r="BV230" s="1200" t="s">
        <v>1843</v>
      </c>
      <c r="BW230" s="1200" t="s">
        <v>131</v>
      </c>
      <c r="BX230" s="1200" t="s">
        <v>1844</v>
      </c>
      <c r="BY230" s="1200" t="s">
        <v>1854</v>
      </c>
      <c r="BZ230" s="1201" t="s">
        <v>1855</v>
      </c>
      <c r="CA230" s="1202" t="s">
        <v>767</v>
      </c>
      <c r="CB230" s="1202" t="s">
        <v>768</v>
      </c>
      <c r="CC230" s="1202" t="s">
        <v>769</v>
      </c>
      <c r="CD230" s="1202" t="s">
        <v>770</v>
      </c>
      <c r="CE230" s="1202" t="s">
        <v>204</v>
      </c>
      <c r="CF230" s="1296"/>
      <c r="CG230" s="1296"/>
      <c r="CH230" s="1296"/>
      <c r="CI230" s="138"/>
      <c r="CJ230" s="1296"/>
      <c r="CK230" s="1296"/>
    </row>
    <row r="231" spans="1:89" x14ac:dyDescent="0.25">
      <c r="A231" s="1296"/>
      <c r="B231" s="1721"/>
      <c r="C231" s="1199">
        <v>1</v>
      </c>
      <c r="D231" s="1196" t="s">
        <v>1856</v>
      </c>
      <c r="E231" s="1196" t="s">
        <v>1444</v>
      </c>
      <c r="F231" s="1204" t="str">
        <f>'Required Info to Submit'!E23</f>
        <v/>
      </c>
      <c r="G231" s="1400" t="str">
        <f>IF(F231="","",'Required Info to Submit'!K23)</f>
        <v/>
      </c>
      <c r="H231" s="1401" t="str">
        <f>IF(F231="","",'Required Info to Submit'!L23)</f>
        <v/>
      </c>
      <c r="I231" s="1204" t="str">
        <f>'Required Info to Submit'!F23</f>
        <v/>
      </c>
      <c r="J231" s="1204" t="str">
        <f>'Required Info to Submit'!G23</f>
        <v/>
      </c>
      <c r="K231" s="1204" t="str">
        <f>'Required Info to Submit'!H23</f>
        <v/>
      </c>
      <c r="L231" s="1204" t="str">
        <f>'Required Info to Submit'!I23</f>
        <v/>
      </c>
      <c r="M231" s="1204" t="str">
        <f>'Required Info to Submit'!J23</f>
        <v/>
      </c>
      <c r="N231" s="1296"/>
      <c r="O231" s="1296"/>
      <c r="P231" s="1296"/>
      <c r="Q231" s="138"/>
      <c r="R231" s="1296"/>
      <c r="S231" s="1296"/>
      <c r="T231" s="1721"/>
      <c r="U231" s="1199">
        <v>1</v>
      </c>
      <c r="V231" s="1196" t="s">
        <v>1856</v>
      </c>
      <c r="W231" s="1196" t="s">
        <v>1444</v>
      </c>
      <c r="X231" s="1204" t="str">
        <f>'Required Info to Submit'!E23</f>
        <v/>
      </c>
      <c r="Y231" s="1400" t="str">
        <f>IF(X231="","",'Required Info to Submit'!K23)</f>
        <v/>
      </c>
      <c r="Z231" s="1401" t="str">
        <f>IF(X231="","",'Required Info to Submit'!L23)</f>
        <v/>
      </c>
      <c r="AA231" s="1204" t="str">
        <f>'Required Info to Submit'!F23</f>
        <v/>
      </c>
      <c r="AB231" s="1204" t="str">
        <f>'Required Info to Submit'!G23</f>
        <v/>
      </c>
      <c r="AC231" s="1204" t="str">
        <f>'Required Info to Submit'!H23</f>
        <v/>
      </c>
      <c r="AD231" s="1204" t="str">
        <f>'Required Info to Submit'!I23</f>
        <v/>
      </c>
      <c r="AE231" s="1204" t="str">
        <f>'Required Info to Submit'!J23</f>
        <v/>
      </c>
      <c r="AF231" s="1296"/>
      <c r="AG231" s="1296"/>
      <c r="AH231" s="1296"/>
      <c r="AI231" s="138"/>
      <c r="AJ231" s="1296"/>
      <c r="AK231" s="1296"/>
      <c r="AL231" s="1721"/>
      <c r="AM231" s="1199">
        <v>1</v>
      </c>
      <c r="AN231" s="1196" t="s">
        <v>1856</v>
      </c>
      <c r="AO231" s="1196" t="s">
        <v>1444</v>
      </c>
      <c r="AP231" s="1281" t="str">
        <f>'Required Info to Submit'!E23</f>
        <v/>
      </c>
      <c r="AQ231" s="1403" t="str">
        <f>IF(AP231="","",'Required Info to Submit'!K23)</f>
        <v/>
      </c>
      <c r="AR231" s="1404" t="str">
        <f>IF(AP231="","",'Required Info to Submit'!L23)</f>
        <v/>
      </c>
      <c r="AS231" s="1281" t="str">
        <f>'Required Info to Submit'!F23</f>
        <v/>
      </c>
      <c r="AT231" s="1281" t="str">
        <f>'Required Info to Submit'!G23</f>
        <v/>
      </c>
      <c r="AU231" s="1281" t="str">
        <f>'Required Info to Submit'!H23</f>
        <v/>
      </c>
      <c r="AV231" s="1281" t="str">
        <f>'Required Info to Submit'!I23</f>
        <v/>
      </c>
      <c r="AW231" s="1281" t="str">
        <f>'Required Info to Submit'!J23</f>
        <v/>
      </c>
      <c r="AX231" s="1296"/>
      <c r="AY231" s="1296"/>
      <c r="AZ231" s="1296"/>
      <c r="BA231" s="138"/>
      <c r="BB231" s="1296"/>
      <c r="BC231" s="1721"/>
      <c r="BD231" s="1199">
        <v>1</v>
      </c>
      <c r="BE231" s="1196" t="s">
        <v>1856</v>
      </c>
      <c r="BF231" s="1196" t="s">
        <v>1444</v>
      </c>
      <c r="BG231" s="1204" t="str">
        <f>'Required Info to Submit'!E23</f>
        <v/>
      </c>
      <c r="BH231" s="1400" t="str">
        <f>IF(BG231="","",'Required Info to Submit'!K23)</f>
        <v/>
      </c>
      <c r="BI231" s="1401" t="str">
        <f>IF(BG231="","",'Required Info to Submit'!L23)</f>
        <v/>
      </c>
      <c r="BJ231" s="1204" t="str">
        <f>'Required Info to Submit'!F23</f>
        <v/>
      </c>
      <c r="BK231" s="1204" t="str">
        <f>'Required Info to Submit'!G23</f>
        <v/>
      </c>
      <c r="BL231" s="1204" t="str">
        <f>'Required Info to Submit'!H23</f>
        <v/>
      </c>
      <c r="BM231" s="1204" t="str">
        <f>'Required Info to Submit'!I23</f>
        <v/>
      </c>
      <c r="BN231" s="1204" t="str">
        <f>'Required Info to Submit'!J23</f>
        <v/>
      </c>
      <c r="BO231" s="1296"/>
      <c r="BP231" s="1296"/>
      <c r="BQ231" s="1296"/>
      <c r="BR231" s="138"/>
      <c r="BS231" s="1296"/>
      <c r="BT231" s="1721"/>
      <c r="BU231" s="1199">
        <v>1</v>
      </c>
      <c r="BV231" s="1196" t="s">
        <v>1856</v>
      </c>
      <c r="BW231" s="1196" t="s">
        <v>1444</v>
      </c>
      <c r="BX231" s="1204" t="str">
        <f>'Required Info to Submit'!E23</f>
        <v/>
      </c>
      <c r="BY231" s="1400" t="str">
        <f>IF(BG231="","",'Required Info to Submit'!K23)</f>
        <v/>
      </c>
      <c r="BZ231" s="1401" t="str">
        <f>IF(BG231="","",'Required Info to Submit'!L23)</f>
        <v/>
      </c>
      <c r="CA231" s="1204" t="str">
        <f>'Required Info to Submit'!F23</f>
        <v/>
      </c>
      <c r="CB231" s="1204" t="str">
        <f>'Required Info to Submit'!G23</f>
        <v/>
      </c>
      <c r="CC231" s="1204" t="str">
        <f>'Required Info to Submit'!H23</f>
        <v/>
      </c>
      <c r="CD231" s="1204" t="str">
        <f>'Required Info to Submit'!I23</f>
        <v/>
      </c>
      <c r="CE231" s="1204" t="str">
        <f>'Required Info to Submit'!J23</f>
        <v/>
      </c>
      <c r="CF231" s="1296"/>
      <c r="CG231" s="1296"/>
      <c r="CH231" s="1296"/>
      <c r="CI231" s="138"/>
      <c r="CJ231" s="1296"/>
      <c r="CK231" s="1296"/>
    </row>
    <row r="232" spans="1:89" x14ac:dyDescent="0.25">
      <c r="A232" s="1296"/>
      <c r="B232" s="1721"/>
      <c r="C232" s="1205">
        <v>2</v>
      </c>
      <c r="D232" s="1196" t="s">
        <v>1856</v>
      </c>
      <c r="E232" s="1196" t="s">
        <v>1444</v>
      </c>
      <c r="F232" s="1204" t="str">
        <f>'Required Info to Submit'!E24</f>
        <v/>
      </c>
      <c r="G232" s="1400" t="str">
        <f>IF(F232="","",'Required Info to Submit'!K24)</f>
        <v/>
      </c>
      <c r="H232" s="1401" t="str">
        <f>IF(F232="","",'Required Info to Submit'!L24)</f>
        <v/>
      </c>
      <c r="I232" s="1204" t="str">
        <f>'Required Info to Submit'!F24</f>
        <v/>
      </c>
      <c r="J232" s="1204" t="str">
        <f>'Required Info to Submit'!G24</f>
        <v/>
      </c>
      <c r="K232" s="1204" t="str">
        <f>'Required Info to Submit'!H24</f>
        <v/>
      </c>
      <c r="L232" s="1204" t="str">
        <f>'Required Info to Submit'!I24</f>
        <v/>
      </c>
      <c r="M232" s="1204" t="str">
        <f>'Required Info to Submit'!J24</f>
        <v/>
      </c>
      <c r="N232" s="1296"/>
      <c r="O232" s="1296"/>
      <c r="P232" s="1296"/>
      <c r="Q232" s="138"/>
      <c r="R232" s="1296"/>
      <c r="S232" s="1296"/>
      <c r="T232" s="1721"/>
      <c r="U232" s="1205">
        <v>2</v>
      </c>
      <c r="V232" s="1196" t="s">
        <v>1856</v>
      </c>
      <c r="W232" s="1196" t="s">
        <v>1444</v>
      </c>
      <c r="X232" s="1204" t="str">
        <f>'Required Info to Submit'!E24</f>
        <v/>
      </c>
      <c r="Y232" s="1400" t="str">
        <f>IF(X232="","",'Required Info to Submit'!K24)</f>
        <v/>
      </c>
      <c r="Z232" s="1401" t="str">
        <f>IF(X232="","",'Required Info to Submit'!L24)</f>
        <v/>
      </c>
      <c r="AA232" s="1204" t="str">
        <f>'Required Info to Submit'!F24</f>
        <v/>
      </c>
      <c r="AB232" s="1204" t="str">
        <f>'Required Info to Submit'!G24</f>
        <v/>
      </c>
      <c r="AC232" s="1204" t="str">
        <f>'Required Info to Submit'!H24</f>
        <v/>
      </c>
      <c r="AD232" s="1204" t="str">
        <f>'Required Info to Submit'!I24</f>
        <v/>
      </c>
      <c r="AE232" s="1204" t="str">
        <f>'Required Info to Submit'!J24</f>
        <v/>
      </c>
      <c r="AF232" s="1296"/>
      <c r="AG232" s="1296"/>
      <c r="AH232" s="1296"/>
      <c r="AI232" s="138"/>
      <c r="AJ232" s="1296"/>
      <c r="AK232" s="1296"/>
      <c r="AL232" s="1721"/>
      <c r="AM232" s="1205">
        <v>2</v>
      </c>
      <c r="AN232" s="1196" t="s">
        <v>1856</v>
      </c>
      <c r="AO232" s="1196" t="s">
        <v>1444</v>
      </c>
      <c r="AP232" s="1281" t="str">
        <f>'Required Info to Submit'!E24</f>
        <v/>
      </c>
      <c r="AQ232" s="1403" t="str">
        <f>IF(AP232="","",'Required Info to Submit'!K24)</f>
        <v/>
      </c>
      <c r="AR232" s="1404" t="str">
        <f>IF(AP232="","",'Required Info to Submit'!L24)</f>
        <v/>
      </c>
      <c r="AS232" s="1281" t="str">
        <f>'Required Info to Submit'!F24</f>
        <v/>
      </c>
      <c r="AT232" s="1281" t="str">
        <f>'Required Info to Submit'!G24</f>
        <v/>
      </c>
      <c r="AU232" s="1281" t="str">
        <f>'Required Info to Submit'!H24</f>
        <v/>
      </c>
      <c r="AV232" s="1281" t="str">
        <f>'Required Info to Submit'!I24</f>
        <v/>
      </c>
      <c r="AW232" s="1281" t="str">
        <f>'Required Info to Submit'!J24</f>
        <v/>
      </c>
      <c r="AX232" s="1296"/>
      <c r="AY232" s="1296"/>
      <c r="AZ232" s="1296"/>
      <c r="BA232" s="138"/>
      <c r="BB232" s="1296"/>
      <c r="BC232" s="1721"/>
      <c r="BD232" s="1205">
        <v>2</v>
      </c>
      <c r="BE232" s="1196" t="s">
        <v>1856</v>
      </c>
      <c r="BF232" s="1196" t="s">
        <v>1444</v>
      </c>
      <c r="BG232" s="1204" t="str">
        <f>'Required Info to Submit'!E24</f>
        <v/>
      </c>
      <c r="BH232" s="1400" t="str">
        <f>IF(BG232="","",'Required Info to Submit'!K24)</f>
        <v/>
      </c>
      <c r="BI232" s="1401" t="str">
        <f>IF(BG232="","",'Required Info to Submit'!L24)</f>
        <v/>
      </c>
      <c r="BJ232" s="1204" t="str">
        <f>'Required Info to Submit'!F24</f>
        <v/>
      </c>
      <c r="BK232" s="1204" t="str">
        <f>'Required Info to Submit'!G24</f>
        <v/>
      </c>
      <c r="BL232" s="1204" t="str">
        <f>'Required Info to Submit'!H24</f>
        <v/>
      </c>
      <c r="BM232" s="1204" t="str">
        <f>'Required Info to Submit'!I24</f>
        <v/>
      </c>
      <c r="BN232" s="1204" t="str">
        <f>'Required Info to Submit'!J24</f>
        <v/>
      </c>
      <c r="BO232" s="1296"/>
      <c r="BP232" s="1296"/>
      <c r="BQ232" s="1296"/>
      <c r="BR232" s="138"/>
      <c r="BS232" s="1296"/>
      <c r="BT232" s="1721"/>
      <c r="BU232" s="1205">
        <v>2</v>
      </c>
      <c r="BV232" s="1196" t="s">
        <v>1856</v>
      </c>
      <c r="BW232" s="1196" t="s">
        <v>1444</v>
      </c>
      <c r="BX232" s="1204" t="str">
        <f>'Required Info to Submit'!E24</f>
        <v/>
      </c>
      <c r="BY232" s="1400" t="str">
        <f>IF(BG232="","",'Required Info to Submit'!K24)</f>
        <v/>
      </c>
      <c r="BZ232" s="1401" t="str">
        <f>IF(BG232="","",'Required Info to Submit'!L24)</f>
        <v/>
      </c>
      <c r="CA232" s="1204" t="str">
        <f>'Required Info to Submit'!F24</f>
        <v/>
      </c>
      <c r="CB232" s="1204" t="str">
        <f>'Required Info to Submit'!G24</f>
        <v/>
      </c>
      <c r="CC232" s="1204" t="str">
        <f>'Required Info to Submit'!H24</f>
        <v/>
      </c>
      <c r="CD232" s="1204" t="str">
        <f>'Required Info to Submit'!I24</f>
        <v/>
      </c>
      <c r="CE232" s="1204" t="str">
        <f>'Required Info to Submit'!J24</f>
        <v/>
      </c>
      <c r="CF232" s="1296"/>
      <c r="CG232" s="1296"/>
      <c r="CH232" s="1296"/>
      <c r="CI232" s="138"/>
      <c r="CJ232" s="1296"/>
      <c r="CK232" s="1296"/>
    </row>
    <row r="233" spans="1:89" x14ac:dyDescent="0.25">
      <c r="A233" s="1296"/>
      <c r="B233" s="1721"/>
      <c r="C233" s="1205">
        <v>3</v>
      </c>
      <c r="D233" s="1196" t="s">
        <v>1856</v>
      </c>
      <c r="E233" s="1196" t="s">
        <v>1444</v>
      </c>
      <c r="F233" s="1204" t="str">
        <f>'Required Info to Submit'!E25</f>
        <v/>
      </c>
      <c r="G233" s="1400" t="str">
        <f>IF(F233="","",'Required Info to Submit'!K25)</f>
        <v/>
      </c>
      <c r="H233" s="1401" t="str">
        <f>IF(F233="","",'Required Info to Submit'!L25)</f>
        <v/>
      </c>
      <c r="I233" s="1204" t="str">
        <f>'Required Info to Submit'!F25</f>
        <v/>
      </c>
      <c r="J233" s="1204" t="str">
        <f>'Required Info to Submit'!G25</f>
        <v/>
      </c>
      <c r="K233" s="1204" t="str">
        <f>'Required Info to Submit'!H25</f>
        <v/>
      </c>
      <c r="L233" s="1204" t="str">
        <f>'Required Info to Submit'!I25</f>
        <v/>
      </c>
      <c r="M233" s="1204" t="str">
        <f>'Required Info to Submit'!J25</f>
        <v/>
      </c>
      <c r="N233" s="1296"/>
      <c r="O233" s="1296"/>
      <c r="P233" s="1296"/>
      <c r="Q233" s="138"/>
      <c r="R233" s="1296"/>
      <c r="S233" s="1296"/>
      <c r="T233" s="1721"/>
      <c r="U233" s="1205">
        <v>3</v>
      </c>
      <c r="V233" s="1196" t="s">
        <v>1856</v>
      </c>
      <c r="W233" s="1196" t="s">
        <v>1444</v>
      </c>
      <c r="X233" s="1204" t="str">
        <f>'Required Info to Submit'!E25</f>
        <v/>
      </c>
      <c r="Y233" s="1400" t="str">
        <f>IF(X233="","",'Required Info to Submit'!K25)</f>
        <v/>
      </c>
      <c r="Z233" s="1401" t="str">
        <f>IF(X233="","",'Required Info to Submit'!L25)</f>
        <v/>
      </c>
      <c r="AA233" s="1204" t="str">
        <f>'Required Info to Submit'!F25</f>
        <v/>
      </c>
      <c r="AB233" s="1204" t="str">
        <f>'Required Info to Submit'!G25</f>
        <v/>
      </c>
      <c r="AC233" s="1204" t="str">
        <f>'Required Info to Submit'!H25</f>
        <v/>
      </c>
      <c r="AD233" s="1204" t="str">
        <f>'Required Info to Submit'!I25</f>
        <v/>
      </c>
      <c r="AE233" s="1204" t="str">
        <f>'Required Info to Submit'!J25</f>
        <v/>
      </c>
      <c r="AF233" s="1296"/>
      <c r="AG233" s="1296"/>
      <c r="AH233" s="1296"/>
      <c r="AI233" s="138"/>
      <c r="AJ233" s="1296"/>
      <c r="AK233" s="1296"/>
      <c r="AL233" s="1721"/>
      <c r="AM233" s="1205">
        <v>3</v>
      </c>
      <c r="AN233" s="1196" t="s">
        <v>1856</v>
      </c>
      <c r="AO233" s="1196" t="s">
        <v>1444</v>
      </c>
      <c r="AP233" s="1281" t="str">
        <f>'Required Info to Submit'!E25</f>
        <v/>
      </c>
      <c r="AQ233" s="1403" t="str">
        <f>IF(AP233="","",'Required Info to Submit'!K25)</f>
        <v/>
      </c>
      <c r="AR233" s="1404" t="str">
        <f>IF(AP233="","",'Required Info to Submit'!L25)</f>
        <v/>
      </c>
      <c r="AS233" s="1281" t="str">
        <f>'Required Info to Submit'!F25</f>
        <v/>
      </c>
      <c r="AT233" s="1281" t="str">
        <f>'Required Info to Submit'!G25</f>
        <v/>
      </c>
      <c r="AU233" s="1281" t="str">
        <f>'Required Info to Submit'!H25</f>
        <v/>
      </c>
      <c r="AV233" s="1281" t="str">
        <f>'Required Info to Submit'!I25</f>
        <v/>
      </c>
      <c r="AW233" s="1281" t="str">
        <f>'Required Info to Submit'!J25</f>
        <v/>
      </c>
      <c r="AX233" s="1296"/>
      <c r="AY233" s="1296"/>
      <c r="AZ233" s="1296"/>
      <c r="BA233" s="138"/>
      <c r="BB233" s="1296"/>
      <c r="BC233" s="1721"/>
      <c r="BD233" s="1205">
        <v>3</v>
      </c>
      <c r="BE233" s="1196" t="s">
        <v>1856</v>
      </c>
      <c r="BF233" s="1196" t="s">
        <v>1444</v>
      </c>
      <c r="BG233" s="1204" t="str">
        <f>'Required Info to Submit'!E25</f>
        <v/>
      </c>
      <c r="BH233" s="1400" t="str">
        <f>IF(BG233="","",'Required Info to Submit'!K25)</f>
        <v/>
      </c>
      <c r="BI233" s="1401" t="str">
        <f>IF(BG233="","",'Required Info to Submit'!L25)</f>
        <v/>
      </c>
      <c r="BJ233" s="1204" t="str">
        <f>'Required Info to Submit'!F25</f>
        <v/>
      </c>
      <c r="BK233" s="1204" t="str">
        <f>'Required Info to Submit'!G25</f>
        <v/>
      </c>
      <c r="BL233" s="1204" t="str">
        <f>'Required Info to Submit'!H25</f>
        <v/>
      </c>
      <c r="BM233" s="1204" t="str">
        <f>'Required Info to Submit'!I25</f>
        <v/>
      </c>
      <c r="BN233" s="1204" t="str">
        <f>'Required Info to Submit'!J25</f>
        <v/>
      </c>
      <c r="BO233" s="1296"/>
      <c r="BP233" s="1296"/>
      <c r="BQ233" s="1296"/>
      <c r="BR233" s="138"/>
      <c r="BS233" s="1296"/>
      <c r="BT233" s="1721"/>
      <c r="BU233" s="1205">
        <v>3</v>
      </c>
      <c r="BV233" s="1196" t="s">
        <v>1856</v>
      </c>
      <c r="BW233" s="1196" t="s">
        <v>1444</v>
      </c>
      <c r="BX233" s="1204" t="str">
        <f>'Required Info to Submit'!E25</f>
        <v/>
      </c>
      <c r="BY233" s="1400" t="str">
        <f>IF(BG233="","",'Required Info to Submit'!K25)</f>
        <v/>
      </c>
      <c r="BZ233" s="1401" t="str">
        <f>IF(BG233="","",'Required Info to Submit'!L25)</f>
        <v/>
      </c>
      <c r="CA233" s="1204" t="str">
        <f>'Required Info to Submit'!F25</f>
        <v/>
      </c>
      <c r="CB233" s="1204" t="str">
        <f>'Required Info to Submit'!G25</f>
        <v/>
      </c>
      <c r="CC233" s="1204" t="str">
        <f>'Required Info to Submit'!H25</f>
        <v/>
      </c>
      <c r="CD233" s="1204" t="str">
        <f>'Required Info to Submit'!I25</f>
        <v/>
      </c>
      <c r="CE233" s="1204" t="str">
        <f>'Required Info to Submit'!J25</f>
        <v/>
      </c>
      <c r="CF233" s="1296"/>
      <c r="CG233" s="1296"/>
      <c r="CH233" s="1296"/>
      <c r="CI233" s="138"/>
      <c r="CJ233" s="1296"/>
      <c r="CK233" s="1296"/>
    </row>
    <row r="234" spans="1:89" x14ac:dyDescent="0.25">
      <c r="A234" s="1296"/>
      <c r="B234" s="1721"/>
      <c r="C234" s="1205">
        <v>4</v>
      </c>
      <c r="D234" s="1196" t="s">
        <v>1856</v>
      </c>
      <c r="E234" s="1196" t="s">
        <v>1444</v>
      </c>
      <c r="F234" s="1204" t="str">
        <f>'Required Info to Submit'!E26</f>
        <v/>
      </c>
      <c r="G234" s="1400" t="str">
        <f>IF(F234="","",'Required Info to Submit'!K26)</f>
        <v/>
      </c>
      <c r="H234" s="1401" t="str">
        <f>IF(F234="","",'Required Info to Submit'!L26)</f>
        <v/>
      </c>
      <c r="I234" s="1204" t="str">
        <f>'Required Info to Submit'!F26</f>
        <v/>
      </c>
      <c r="J234" s="1204" t="str">
        <f>'Required Info to Submit'!G26</f>
        <v/>
      </c>
      <c r="K234" s="1204" t="str">
        <f>'Required Info to Submit'!H26</f>
        <v/>
      </c>
      <c r="L234" s="1204" t="str">
        <f>'Required Info to Submit'!I26</f>
        <v/>
      </c>
      <c r="M234" s="1204" t="str">
        <f>'Required Info to Submit'!J26</f>
        <v/>
      </c>
      <c r="N234" s="1296"/>
      <c r="O234" s="1296"/>
      <c r="P234" s="1296"/>
      <c r="Q234" s="138"/>
      <c r="R234" s="1296"/>
      <c r="S234" s="1296"/>
      <c r="T234" s="1721"/>
      <c r="U234" s="1205">
        <v>4</v>
      </c>
      <c r="V234" s="1196" t="s">
        <v>1856</v>
      </c>
      <c r="W234" s="1196" t="s">
        <v>1444</v>
      </c>
      <c r="X234" s="1204" t="str">
        <f>'Required Info to Submit'!E26</f>
        <v/>
      </c>
      <c r="Y234" s="1400" t="str">
        <f>IF(X234="","",'Required Info to Submit'!K26)</f>
        <v/>
      </c>
      <c r="Z234" s="1401" t="str">
        <f>IF(X234="","",'Required Info to Submit'!L26)</f>
        <v/>
      </c>
      <c r="AA234" s="1204" t="str">
        <f>'Required Info to Submit'!F26</f>
        <v/>
      </c>
      <c r="AB234" s="1204" t="str">
        <f>'Required Info to Submit'!G26</f>
        <v/>
      </c>
      <c r="AC234" s="1204" t="str">
        <f>'Required Info to Submit'!H26</f>
        <v/>
      </c>
      <c r="AD234" s="1204" t="str">
        <f>'Required Info to Submit'!I26</f>
        <v/>
      </c>
      <c r="AE234" s="1204" t="str">
        <f>'Required Info to Submit'!J26</f>
        <v/>
      </c>
      <c r="AF234" s="1296"/>
      <c r="AG234" s="1296"/>
      <c r="AH234" s="1296"/>
      <c r="AI234" s="138"/>
      <c r="AJ234" s="1296"/>
      <c r="AK234" s="1296"/>
      <c r="AL234" s="1721"/>
      <c r="AM234" s="1205">
        <v>4</v>
      </c>
      <c r="AN234" s="1196" t="s">
        <v>1856</v>
      </c>
      <c r="AO234" s="1196" t="s">
        <v>1444</v>
      </c>
      <c r="AP234" s="1281" t="str">
        <f>'Required Info to Submit'!E26</f>
        <v/>
      </c>
      <c r="AQ234" s="1403" t="str">
        <f>IF(AP234="","",'Required Info to Submit'!K26)</f>
        <v/>
      </c>
      <c r="AR234" s="1404" t="str">
        <f>IF(AP234="","",'Required Info to Submit'!L26)</f>
        <v/>
      </c>
      <c r="AS234" s="1281" t="str">
        <f>'Required Info to Submit'!F26</f>
        <v/>
      </c>
      <c r="AT234" s="1281" t="str">
        <f>'Required Info to Submit'!G26</f>
        <v/>
      </c>
      <c r="AU234" s="1281" t="str">
        <f>'Required Info to Submit'!H26</f>
        <v/>
      </c>
      <c r="AV234" s="1281" t="str">
        <f>'Required Info to Submit'!I26</f>
        <v/>
      </c>
      <c r="AW234" s="1281" t="str">
        <f>'Required Info to Submit'!J26</f>
        <v/>
      </c>
      <c r="AX234" s="1296"/>
      <c r="AY234" s="1296"/>
      <c r="AZ234" s="1296"/>
      <c r="BA234" s="138"/>
      <c r="BB234" s="1296"/>
      <c r="BC234" s="1721"/>
      <c r="BD234" s="1205">
        <v>4</v>
      </c>
      <c r="BE234" s="1196" t="s">
        <v>1856</v>
      </c>
      <c r="BF234" s="1196" t="s">
        <v>1444</v>
      </c>
      <c r="BG234" s="1204" t="str">
        <f>'Required Info to Submit'!E26</f>
        <v/>
      </c>
      <c r="BH234" s="1400" t="str">
        <f>IF(BG234="","",'Required Info to Submit'!K26)</f>
        <v/>
      </c>
      <c r="BI234" s="1401" t="str">
        <f>IF(BG234="","",'Required Info to Submit'!L26)</f>
        <v/>
      </c>
      <c r="BJ234" s="1204" t="str">
        <f>'Required Info to Submit'!F26</f>
        <v/>
      </c>
      <c r="BK234" s="1204" t="str">
        <f>'Required Info to Submit'!G26</f>
        <v/>
      </c>
      <c r="BL234" s="1204" t="str">
        <f>'Required Info to Submit'!H26</f>
        <v/>
      </c>
      <c r="BM234" s="1204" t="str">
        <f>'Required Info to Submit'!I26</f>
        <v/>
      </c>
      <c r="BN234" s="1204" t="str">
        <f>'Required Info to Submit'!J26</f>
        <v/>
      </c>
      <c r="BO234" s="1296"/>
      <c r="BP234" s="1296"/>
      <c r="BQ234" s="1296"/>
      <c r="BR234" s="138"/>
      <c r="BS234" s="1296"/>
      <c r="BT234" s="1721"/>
      <c r="BU234" s="1205">
        <v>4</v>
      </c>
      <c r="BV234" s="1196" t="s">
        <v>1856</v>
      </c>
      <c r="BW234" s="1196" t="s">
        <v>1444</v>
      </c>
      <c r="BX234" s="1204" t="str">
        <f>'Required Info to Submit'!E26</f>
        <v/>
      </c>
      <c r="BY234" s="1400" t="str">
        <f>IF(BG234="","",'Required Info to Submit'!K26)</f>
        <v/>
      </c>
      <c r="BZ234" s="1401" t="str">
        <f>IF(BG234="","",'Required Info to Submit'!L26)</f>
        <v/>
      </c>
      <c r="CA234" s="1204" t="str">
        <f>'Required Info to Submit'!F26</f>
        <v/>
      </c>
      <c r="CB234" s="1204" t="str">
        <f>'Required Info to Submit'!G26</f>
        <v/>
      </c>
      <c r="CC234" s="1204" t="str">
        <f>'Required Info to Submit'!H26</f>
        <v/>
      </c>
      <c r="CD234" s="1204" t="str">
        <f>'Required Info to Submit'!I26</f>
        <v/>
      </c>
      <c r="CE234" s="1204" t="str">
        <f>'Required Info to Submit'!J26</f>
        <v/>
      </c>
      <c r="CF234" s="1296"/>
      <c r="CG234" s="1296"/>
      <c r="CH234" s="1296"/>
      <c r="CI234" s="138"/>
      <c r="CJ234" s="1296"/>
      <c r="CK234" s="1296"/>
    </row>
    <row r="235" spans="1:89" x14ac:dyDescent="0.25">
      <c r="A235" s="1296"/>
      <c r="B235" s="1721"/>
      <c r="C235" s="1205">
        <v>5</v>
      </c>
      <c r="D235" s="1196" t="s">
        <v>1856</v>
      </c>
      <c r="E235" s="1196" t="s">
        <v>1444</v>
      </c>
      <c r="F235" s="1204" t="str">
        <f>'Required Info to Submit'!E27</f>
        <v/>
      </c>
      <c r="G235" s="1400" t="str">
        <f>IF(F235="","",'Required Info to Submit'!K27)</f>
        <v/>
      </c>
      <c r="H235" s="1401" t="str">
        <f>IF(F235="","",'Required Info to Submit'!L27)</f>
        <v/>
      </c>
      <c r="I235" s="1204" t="str">
        <f>'Required Info to Submit'!F27</f>
        <v/>
      </c>
      <c r="J235" s="1204" t="str">
        <f>'Required Info to Submit'!G27</f>
        <v/>
      </c>
      <c r="K235" s="1204" t="str">
        <f>'Required Info to Submit'!H27</f>
        <v/>
      </c>
      <c r="L235" s="1204" t="str">
        <f>'Required Info to Submit'!I27</f>
        <v/>
      </c>
      <c r="M235" s="1204" t="str">
        <f>'Required Info to Submit'!J27</f>
        <v/>
      </c>
      <c r="N235" s="1296"/>
      <c r="O235" s="1296"/>
      <c r="P235" s="1296"/>
      <c r="Q235" s="138"/>
      <c r="R235" s="1296"/>
      <c r="S235" s="1296"/>
      <c r="T235" s="1721"/>
      <c r="U235" s="1205">
        <v>5</v>
      </c>
      <c r="V235" s="1196" t="s">
        <v>1856</v>
      </c>
      <c r="W235" s="1196" t="s">
        <v>1444</v>
      </c>
      <c r="X235" s="1204" t="str">
        <f>'Required Info to Submit'!E27</f>
        <v/>
      </c>
      <c r="Y235" s="1400" t="str">
        <f>IF(X235="","",'Required Info to Submit'!K27)</f>
        <v/>
      </c>
      <c r="Z235" s="1401" t="str">
        <f>IF(X235="","",'Required Info to Submit'!L27)</f>
        <v/>
      </c>
      <c r="AA235" s="1204" t="str">
        <f>'Required Info to Submit'!F27</f>
        <v/>
      </c>
      <c r="AB235" s="1204" t="str">
        <f>'Required Info to Submit'!G27</f>
        <v/>
      </c>
      <c r="AC235" s="1204" t="str">
        <f>'Required Info to Submit'!H27</f>
        <v/>
      </c>
      <c r="AD235" s="1204" t="str">
        <f>'Required Info to Submit'!I27</f>
        <v/>
      </c>
      <c r="AE235" s="1204" t="str">
        <f>'Required Info to Submit'!J27</f>
        <v/>
      </c>
      <c r="AF235" s="1296"/>
      <c r="AG235" s="1296"/>
      <c r="AH235" s="1296"/>
      <c r="AI235" s="138"/>
      <c r="AJ235" s="1296"/>
      <c r="AK235" s="1296"/>
      <c r="AL235" s="1721"/>
      <c r="AM235" s="1205">
        <v>5</v>
      </c>
      <c r="AN235" s="1196" t="s">
        <v>1856</v>
      </c>
      <c r="AO235" s="1196" t="s">
        <v>1444</v>
      </c>
      <c r="AP235" s="1281" t="str">
        <f>'Required Info to Submit'!E27</f>
        <v/>
      </c>
      <c r="AQ235" s="1403" t="str">
        <f>IF(AP235="","",'Required Info to Submit'!K27)</f>
        <v/>
      </c>
      <c r="AR235" s="1404" t="str">
        <f>IF(AP235="","",'Required Info to Submit'!L27)</f>
        <v/>
      </c>
      <c r="AS235" s="1281" t="str">
        <f>'Required Info to Submit'!F27</f>
        <v/>
      </c>
      <c r="AT235" s="1281" t="str">
        <f>'Required Info to Submit'!G27</f>
        <v/>
      </c>
      <c r="AU235" s="1281" t="str">
        <f>'Required Info to Submit'!H27</f>
        <v/>
      </c>
      <c r="AV235" s="1281" t="str">
        <f>'Required Info to Submit'!I27</f>
        <v/>
      </c>
      <c r="AW235" s="1281" t="str">
        <f>'Required Info to Submit'!J27</f>
        <v/>
      </c>
      <c r="AX235" s="1296"/>
      <c r="AY235" s="1296"/>
      <c r="AZ235" s="1296"/>
      <c r="BA235" s="138"/>
      <c r="BB235" s="1296"/>
      <c r="BC235" s="1721"/>
      <c r="BD235" s="1205">
        <v>5</v>
      </c>
      <c r="BE235" s="1196" t="s">
        <v>1856</v>
      </c>
      <c r="BF235" s="1196" t="s">
        <v>1444</v>
      </c>
      <c r="BG235" s="1204" t="str">
        <f>'Required Info to Submit'!E27</f>
        <v/>
      </c>
      <c r="BH235" s="1400" t="str">
        <f>IF(BG235="","",'Required Info to Submit'!K27)</f>
        <v/>
      </c>
      <c r="BI235" s="1401" t="str">
        <f>IF(BG235="","",'Required Info to Submit'!L27)</f>
        <v/>
      </c>
      <c r="BJ235" s="1204" t="str">
        <f>'Required Info to Submit'!F27</f>
        <v/>
      </c>
      <c r="BK235" s="1204" t="str">
        <f>'Required Info to Submit'!G27</f>
        <v/>
      </c>
      <c r="BL235" s="1204" t="str">
        <f>'Required Info to Submit'!H27</f>
        <v/>
      </c>
      <c r="BM235" s="1204" t="str">
        <f>'Required Info to Submit'!I27</f>
        <v/>
      </c>
      <c r="BN235" s="1204" t="str">
        <f>'Required Info to Submit'!J27</f>
        <v/>
      </c>
      <c r="BO235" s="1296"/>
      <c r="BP235" s="1296"/>
      <c r="BQ235" s="1296"/>
      <c r="BR235" s="138"/>
      <c r="BS235" s="1296"/>
      <c r="BT235" s="1721"/>
      <c r="BU235" s="1205">
        <v>5</v>
      </c>
      <c r="BV235" s="1196" t="s">
        <v>1856</v>
      </c>
      <c r="BW235" s="1196" t="s">
        <v>1444</v>
      </c>
      <c r="BX235" s="1204" t="str">
        <f>'Required Info to Submit'!E27</f>
        <v/>
      </c>
      <c r="BY235" s="1400" t="str">
        <f>IF(BG235="","",'Required Info to Submit'!K27)</f>
        <v/>
      </c>
      <c r="BZ235" s="1401" t="str">
        <f>IF(BG235="","",'Required Info to Submit'!L27)</f>
        <v/>
      </c>
      <c r="CA235" s="1204" t="str">
        <f>'Required Info to Submit'!F27</f>
        <v/>
      </c>
      <c r="CB235" s="1204" t="str">
        <f>'Required Info to Submit'!G27</f>
        <v/>
      </c>
      <c r="CC235" s="1204" t="str">
        <f>'Required Info to Submit'!H27</f>
        <v/>
      </c>
      <c r="CD235" s="1204" t="str">
        <f>'Required Info to Submit'!I27</f>
        <v/>
      </c>
      <c r="CE235" s="1204" t="str">
        <f>'Required Info to Submit'!J27</f>
        <v/>
      </c>
      <c r="CF235" s="1296"/>
      <c r="CG235" s="1296"/>
      <c r="CH235" s="1296"/>
      <c r="CI235" s="138"/>
      <c r="CJ235" s="1296"/>
      <c r="CK235" s="1296"/>
    </row>
    <row r="236" spans="1:89" x14ac:dyDescent="0.25">
      <c r="A236" s="1296"/>
      <c r="B236" s="1721"/>
      <c r="C236" s="1205">
        <v>6</v>
      </c>
      <c r="D236" s="1196" t="s">
        <v>1856</v>
      </c>
      <c r="E236" s="1196" t="s">
        <v>1444</v>
      </c>
      <c r="F236" s="1204" t="str">
        <f>'Required Info to Submit'!E28</f>
        <v/>
      </c>
      <c r="G236" s="1400" t="str">
        <f>IF(F236="","",'Required Info to Submit'!K28)</f>
        <v/>
      </c>
      <c r="H236" s="1401" t="str">
        <f>IF(F236="","",'Required Info to Submit'!L28)</f>
        <v/>
      </c>
      <c r="I236" s="1204" t="str">
        <f>'Required Info to Submit'!F28</f>
        <v/>
      </c>
      <c r="J236" s="1204" t="str">
        <f>'Required Info to Submit'!G28</f>
        <v/>
      </c>
      <c r="K236" s="1204" t="str">
        <f>'Required Info to Submit'!H28</f>
        <v/>
      </c>
      <c r="L236" s="1204" t="str">
        <f>'Required Info to Submit'!I28</f>
        <v/>
      </c>
      <c r="M236" s="1204" t="str">
        <f>'Required Info to Submit'!J28</f>
        <v/>
      </c>
      <c r="N236" s="1296"/>
      <c r="O236" s="1296"/>
      <c r="P236" s="1296"/>
      <c r="Q236" s="138"/>
      <c r="R236" s="1296"/>
      <c r="S236" s="1296"/>
      <c r="T236" s="1721"/>
      <c r="U236" s="1205">
        <v>6</v>
      </c>
      <c r="V236" s="1196" t="s">
        <v>1856</v>
      </c>
      <c r="W236" s="1196" t="s">
        <v>1444</v>
      </c>
      <c r="X236" s="1204" t="str">
        <f>'Required Info to Submit'!E28</f>
        <v/>
      </c>
      <c r="Y236" s="1400" t="str">
        <f>IF(X236="","",'Required Info to Submit'!K28)</f>
        <v/>
      </c>
      <c r="Z236" s="1401" t="str">
        <f>IF(X236="","",'Required Info to Submit'!L28)</f>
        <v/>
      </c>
      <c r="AA236" s="1204" t="str">
        <f>'Required Info to Submit'!F28</f>
        <v/>
      </c>
      <c r="AB236" s="1204" t="str">
        <f>'Required Info to Submit'!G28</f>
        <v/>
      </c>
      <c r="AC236" s="1204" t="str">
        <f>'Required Info to Submit'!H28</f>
        <v/>
      </c>
      <c r="AD236" s="1204" t="str">
        <f>'Required Info to Submit'!I28</f>
        <v/>
      </c>
      <c r="AE236" s="1204" t="str">
        <f>'Required Info to Submit'!J28</f>
        <v/>
      </c>
      <c r="AF236" s="1296"/>
      <c r="AG236" s="1296"/>
      <c r="AH236" s="1296"/>
      <c r="AI236" s="138"/>
      <c r="AJ236" s="1296"/>
      <c r="AK236" s="1296"/>
      <c r="AL236" s="1721"/>
      <c r="AM236" s="1205">
        <v>6</v>
      </c>
      <c r="AN236" s="1196" t="s">
        <v>1856</v>
      </c>
      <c r="AO236" s="1196" t="s">
        <v>1444</v>
      </c>
      <c r="AP236" s="1281" t="str">
        <f>'Required Info to Submit'!E28</f>
        <v/>
      </c>
      <c r="AQ236" s="1403" t="str">
        <f>IF(AP236="","",'Required Info to Submit'!K28)</f>
        <v/>
      </c>
      <c r="AR236" s="1404" t="str">
        <f>IF(AP236="","",'Required Info to Submit'!L28)</f>
        <v/>
      </c>
      <c r="AS236" s="1281" t="str">
        <f>'Required Info to Submit'!F28</f>
        <v/>
      </c>
      <c r="AT236" s="1281" t="str">
        <f>'Required Info to Submit'!G28</f>
        <v/>
      </c>
      <c r="AU236" s="1281" t="str">
        <f>'Required Info to Submit'!H28</f>
        <v/>
      </c>
      <c r="AV236" s="1281" t="str">
        <f>'Required Info to Submit'!I28</f>
        <v/>
      </c>
      <c r="AW236" s="1281" t="str">
        <f>'Required Info to Submit'!J28</f>
        <v/>
      </c>
      <c r="AX236" s="1296"/>
      <c r="AY236" s="1296"/>
      <c r="AZ236" s="1296"/>
      <c r="BA236" s="138"/>
      <c r="BB236" s="1296"/>
      <c r="BC236" s="1721"/>
      <c r="BD236" s="1205">
        <v>6</v>
      </c>
      <c r="BE236" s="1196" t="s">
        <v>1856</v>
      </c>
      <c r="BF236" s="1196" t="s">
        <v>1444</v>
      </c>
      <c r="BG236" s="1204" t="str">
        <f>'Required Info to Submit'!E28</f>
        <v/>
      </c>
      <c r="BH236" s="1400" t="str">
        <f>IF(BG236="","",'Required Info to Submit'!K28)</f>
        <v/>
      </c>
      <c r="BI236" s="1401" t="str">
        <f>IF(BG236="","",'Required Info to Submit'!L28)</f>
        <v/>
      </c>
      <c r="BJ236" s="1204" t="str">
        <f>'Required Info to Submit'!F28</f>
        <v/>
      </c>
      <c r="BK236" s="1204" t="str">
        <f>'Required Info to Submit'!G28</f>
        <v/>
      </c>
      <c r="BL236" s="1204" t="str">
        <f>'Required Info to Submit'!H28</f>
        <v/>
      </c>
      <c r="BM236" s="1204" t="str">
        <f>'Required Info to Submit'!I28</f>
        <v/>
      </c>
      <c r="BN236" s="1204" t="str">
        <f>'Required Info to Submit'!J28</f>
        <v/>
      </c>
      <c r="BO236" s="1296"/>
      <c r="BP236" s="1296"/>
      <c r="BQ236" s="1296"/>
      <c r="BR236" s="138"/>
      <c r="BS236" s="1296"/>
      <c r="BT236" s="1721"/>
      <c r="BU236" s="1205">
        <v>6</v>
      </c>
      <c r="BV236" s="1196" t="s">
        <v>1856</v>
      </c>
      <c r="BW236" s="1196" t="s">
        <v>1444</v>
      </c>
      <c r="BX236" s="1204" t="str">
        <f>'Required Info to Submit'!E28</f>
        <v/>
      </c>
      <c r="BY236" s="1400" t="str">
        <f>IF(BG236="","",'Required Info to Submit'!K28)</f>
        <v/>
      </c>
      <c r="BZ236" s="1401" t="str">
        <f>IF(BG236="","",'Required Info to Submit'!L28)</f>
        <v/>
      </c>
      <c r="CA236" s="1204" t="str">
        <f>'Required Info to Submit'!F28</f>
        <v/>
      </c>
      <c r="CB236" s="1204" t="str">
        <f>'Required Info to Submit'!G28</f>
        <v/>
      </c>
      <c r="CC236" s="1204" t="str">
        <f>'Required Info to Submit'!H28</f>
        <v/>
      </c>
      <c r="CD236" s="1204" t="str">
        <f>'Required Info to Submit'!I28</f>
        <v/>
      </c>
      <c r="CE236" s="1204" t="str">
        <f>'Required Info to Submit'!J28</f>
        <v/>
      </c>
      <c r="CF236" s="1296"/>
      <c r="CG236" s="1296"/>
      <c r="CH236" s="1296"/>
      <c r="CI236" s="138"/>
      <c r="CJ236" s="1296"/>
      <c r="CK236" s="1296"/>
    </row>
    <row r="237" spans="1:89" x14ac:dyDescent="0.25">
      <c r="A237" s="1296"/>
      <c r="B237" s="1721"/>
      <c r="C237" s="1205">
        <v>7</v>
      </c>
      <c r="D237" s="1196" t="s">
        <v>1856</v>
      </c>
      <c r="E237" s="1196" t="s">
        <v>1444</v>
      </c>
      <c r="F237" s="1204" t="str">
        <f>'Required Info to Submit'!E29</f>
        <v/>
      </c>
      <c r="G237" s="1400" t="str">
        <f>IF(F237="","",'Required Info to Submit'!K29)</f>
        <v/>
      </c>
      <c r="H237" s="1401" t="str">
        <f>IF(F237="","",'Required Info to Submit'!L29)</f>
        <v/>
      </c>
      <c r="I237" s="1204" t="str">
        <f>'Required Info to Submit'!F29</f>
        <v/>
      </c>
      <c r="J237" s="1204" t="str">
        <f>'Required Info to Submit'!G29</f>
        <v/>
      </c>
      <c r="K237" s="1204" t="str">
        <f>'Required Info to Submit'!H29</f>
        <v/>
      </c>
      <c r="L237" s="1204" t="str">
        <f>'Required Info to Submit'!I29</f>
        <v/>
      </c>
      <c r="M237" s="1204" t="str">
        <f>'Required Info to Submit'!J29</f>
        <v/>
      </c>
      <c r="N237" s="1296"/>
      <c r="O237" s="1296"/>
      <c r="P237" s="1296"/>
      <c r="Q237" s="138"/>
      <c r="R237" s="1296"/>
      <c r="S237" s="1296"/>
      <c r="T237" s="1721"/>
      <c r="U237" s="1205">
        <v>7</v>
      </c>
      <c r="V237" s="1196" t="s">
        <v>1856</v>
      </c>
      <c r="W237" s="1196" t="s">
        <v>1444</v>
      </c>
      <c r="X237" s="1204" t="str">
        <f>'Required Info to Submit'!E29</f>
        <v/>
      </c>
      <c r="Y237" s="1400" t="str">
        <f>IF(X237="","",'Required Info to Submit'!K29)</f>
        <v/>
      </c>
      <c r="Z237" s="1401" t="str">
        <f>IF(X237="","",'Required Info to Submit'!L29)</f>
        <v/>
      </c>
      <c r="AA237" s="1204" t="str">
        <f>'Required Info to Submit'!F29</f>
        <v/>
      </c>
      <c r="AB237" s="1204" t="str">
        <f>'Required Info to Submit'!G29</f>
        <v/>
      </c>
      <c r="AC237" s="1204" t="str">
        <f>'Required Info to Submit'!H29</f>
        <v/>
      </c>
      <c r="AD237" s="1204" t="str">
        <f>'Required Info to Submit'!I29</f>
        <v/>
      </c>
      <c r="AE237" s="1204" t="str">
        <f>'Required Info to Submit'!J29</f>
        <v/>
      </c>
      <c r="AF237" s="1296"/>
      <c r="AG237" s="1296"/>
      <c r="AH237" s="1296"/>
      <c r="AI237" s="138"/>
      <c r="AJ237" s="1296"/>
      <c r="AK237" s="1296"/>
      <c r="AL237" s="1721"/>
      <c r="AM237" s="1205">
        <v>7</v>
      </c>
      <c r="AN237" s="1196" t="s">
        <v>1856</v>
      </c>
      <c r="AO237" s="1196" t="s">
        <v>1444</v>
      </c>
      <c r="AP237" s="1281" t="str">
        <f>'Required Info to Submit'!E29</f>
        <v/>
      </c>
      <c r="AQ237" s="1403" t="str">
        <f>IF(AP237="","",'Required Info to Submit'!K29)</f>
        <v/>
      </c>
      <c r="AR237" s="1404" t="str">
        <f>IF(AP237="","",'Required Info to Submit'!L29)</f>
        <v/>
      </c>
      <c r="AS237" s="1281" t="str">
        <f>'Required Info to Submit'!F29</f>
        <v/>
      </c>
      <c r="AT237" s="1281" t="str">
        <f>'Required Info to Submit'!G29</f>
        <v/>
      </c>
      <c r="AU237" s="1281" t="str">
        <f>'Required Info to Submit'!H29</f>
        <v/>
      </c>
      <c r="AV237" s="1281" t="str">
        <f>'Required Info to Submit'!I29</f>
        <v/>
      </c>
      <c r="AW237" s="1281" t="str">
        <f>'Required Info to Submit'!J29</f>
        <v/>
      </c>
      <c r="AX237" s="1296"/>
      <c r="AY237" s="1296"/>
      <c r="AZ237" s="1296"/>
      <c r="BA237" s="138"/>
      <c r="BB237" s="1296"/>
      <c r="BC237" s="1721"/>
      <c r="BD237" s="1205">
        <v>7</v>
      </c>
      <c r="BE237" s="1196" t="s">
        <v>1856</v>
      </c>
      <c r="BF237" s="1196" t="s">
        <v>1444</v>
      </c>
      <c r="BG237" s="1204" t="str">
        <f>'Required Info to Submit'!E29</f>
        <v/>
      </c>
      <c r="BH237" s="1400" t="str">
        <f>IF(BG237="","",'Required Info to Submit'!K29)</f>
        <v/>
      </c>
      <c r="BI237" s="1401" t="str">
        <f>IF(BG237="","",'Required Info to Submit'!L29)</f>
        <v/>
      </c>
      <c r="BJ237" s="1204" t="str">
        <f>'Required Info to Submit'!F29</f>
        <v/>
      </c>
      <c r="BK237" s="1204" t="str">
        <f>'Required Info to Submit'!G29</f>
        <v/>
      </c>
      <c r="BL237" s="1204" t="str">
        <f>'Required Info to Submit'!H29</f>
        <v/>
      </c>
      <c r="BM237" s="1204" t="str">
        <f>'Required Info to Submit'!I29</f>
        <v/>
      </c>
      <c r="BN237" s="1204" t="str">
        <f>'Required Info to Submit'!J29</f>
        <v/>
      </c>
      <c r="BO237" s="1296"/>
      <c r="BP237" s="1296"/>
      <c r="BQ237" s="1296"/>
      <c r="BR237" s="138"/>
      <c r="BS237" s="1296"/>
      <c r="BT237" s="1721"/>
      <c r="BU237" s="1205">
        <v>7</v>
      </c>
      <c r="BV237" s="1196" t="s">
        <v>1856</v>
      </c>
      <c r="BW237" s="1196" t="s">
        <v>1444</v>
      </c>
      <c r="BX237" s="1204" t="str">
        <f>'Required Info to Submit'!E29</f>
        <v/>
      </c>
      <c r="BY237" s="1400" t="str">
        <f>IF(BG237="","",'Required Info to Submit'!K29)</f>
        <v/>
      </c>
      <c r="BZ237" s="1401" t="str">
        <f>IF(BG237="","",'Required Info to Submit'!L29)</f>
        <v/>
      </c>
      <c r="CA237" s="1204" t="str">
        <f>'Required Info to Submit'!F29</f>
        <v/>
      </c>
      <c r="CB237" s="1204" t="str">
        <f>'Required Info to Submit'!G29</f>
        <v/>
      </c>
      <c r="CC237" s="1204" t="str">
        <f>'Required Info to Submit'!H29</f>
        <v/>
      </c>
      <c r="CD237" s="1204" t="str">
        <f>'Required Info to Submit'!I29</f>
        <v/>
      </c>
      <c r="CE237" s="1204" t="str">
        <f>'Required Info to Submit'!J29</f>
        <v/>
      </c>
      <c r="CF237" s="1296"/>
      <c r="CG237" s="1296"/>
      <c r="CH237" s="1296"/>
      <c r="CI237" s="138"/>
      <c r="CJ237" s="1296"/>
      <c r="CK237" s="1296"/>
    </row>
    <row r="238" spans="1:89" x14ac:dyDescent="0.25">
      <c r="A238" s="1296"/>
      <c r="B238" s="1721"/>
      <c r="C238" s="1205">
        <v>8</v>
      </c>
      <c r="D238" s="1196" t="s">
        <v>1856</v>
      </c>
      <c r="E238" s="1196" t="s">
        <v>1444</v>
      </c>
      <c r="F238" s="1204" t="str">
        <f>'Required Info to Submit'!E30</f>
        <v/>
      </c>
      <c r="G238" s="1400" t="str">
        <f>IF(F238="","",'Required Info to Submit'!K30)</f>
        <v/>
      </c>
      <c r="H238" s="1401" t="str">
        <f>IF(F238="","",'Required Info to Submit'!L30)</f>
        <v/>
      </c>
      <c r="I238" s="1204" t="str">
        <f>'Required Info to Submit'!F30</f>
        <v/>
      </c>
      <c r="J238" s="1204" t="str">
        <f>'Required Info to Submit'!G30</f>
        <v/>
      </c>
      <c r="K238" s="1204" t="str">
        <f>'Required Info to Submit'!H30</f>
        <v/>
      </c>
      <c r="L238" s="1204" t="str">
        <f>'Required Info to Submit'!I30</f>
        <v/>
      </c>
      <c r="M238" s="1204" t="str">
        <f>'Required Info to Submit'!J30</f>
        <v/>
      </c>
      <c r="N238" s="1296"/>
      <c r="O238" s="1296"/>
      <c r="P238" s="1296"/>
      <c r="Q238" s="138"/>
      <c r="R238" s="1296"/>
      <c r="S238" s="1296"/>
      <c r="T238" s="1721"/>
      <c r="U238" s="1205">
        <v>8</v>
      </c>
      <c r="V238" s="1196" t="s">
        <v>1856</v>
      </c>
      <c r="W238" s="1196" t="s">
        <v>1444</v>
      </c>
      <c r="X238" s="1204" t="str">
        <f>'Required Info to Submit'!E30</f>
        <v/>
      </c>
      <c r="Y238" s="1400" t="str">
        <f>IF(X238="","",'Required Info to Submit'!K30)</f>
        <v/>
      </c>
      <c r="Z238" s="1401" t="str">
        <f>IF(X238="","",'Required Info to Submit'!L30)</f>
        <v/>
      </c>
      <c r="AA238" s="1204" t="str">
        <f>'Required Info to Submit'!F30</f>
        <v/>
      </c>
      <c r="AB238" s="1204" t="str">
        <f>'Required Info to Submit'!G30</f>
        <v/>
      </c>
      <c r="AC238" s="1204" t="str">
        <f>'Required Info to Submit'!H30</f>
        <v/>
      </c>
      <c r="AD238" s="1204" t="str">
        <f>'Required Info to Submit'!I30</f>
        <v/>
      </c>
      <c r="AE238" s="1204" t="str">
        <f>'Required Info to Submit'!J30</f>
        <v/>
      </c>
      <c r="AF238" s="1296"/>
      <c r="AG238" s="1296"/>
      <c r="AH238" s="1296"/>
      <c r="AI238" s="138"/>
      <c r="AJ238" s="1296"/>
      <c r="AK238" s="1296"/>
      <c r="AL238" s="1721"/>
      <c r="AM238" s="1205">
        <v>8</v>
      </c>
      <c r="AN238" s="1196" t="s">
        <v>1856</v>
      </c>
      <c r="AO238" s="1196" t="s">
        <v>1444</v>
      </c>
      <c r="AP238" s="1281" t="str">
        <f>'Required Info to Submit'!E30</f>
        <v/>
      </c>
      <c r="AQ238" s="1403" t="str">
        <f>IF(AP238="","",'Required Info to Submit'!K30)</f>
        <v/>
      </c>
      <c r="AR238" s="1404" t="str">
        <f>IF(AP238="","",'Required Info to Submit'!L30)</f>
        <v/>
      </c>
      <c r="AS238" s="1281" t="str">
        <f>'Required Info to Submit'!F30</f>
        <v/>
      </c>
      <c r="AT238" s="1281" t="str">
        <f>'Required Info to Submit'!G30</f>
        <v/>
      </c>
      <c r="AU238" s="1281" t="str">
        <f>'Required Info to Submit'!H30</f>
        <v/>
      </c>
      <c r="AV238" s="1281" t="str">
        <f>'Required Info to Submit'!I30</f>
        <v/>
      </c>
      <c r="AW238" s="1281" t="str">
        <f>'Required Info to Submit'!J30</f>
        <v/>
      </c>
      <c r="AX238" s="1296"/>
      <c r="AY238" s="1296"/>
      <c r="AZ238" s="1296"/>
      <c r="BA238" s="138"/>
      <c r="BB238" s="1296"/>
      <c r="BC238" s="1721"/>
      <c r="BD238" s="1205">
        <v>8</v>
      </c>
      <c r="BE238" s="1196" t="s">
        <v>1856</v>
      </c>
      <c r="BF238" s="1196" t="s">
        <v>1444</v>
      </c>
      <c r="BG238" s="1204" t="str">
        <f>'Required Info to Submit'!E30</f>
        <v/>
      </c>
      <c r="BH238" s="1400" t="str">
        <f>IF(BG238="","",'Required Info to Submit'!K30)</f>
        <v/>
      </c>
      <c r="BI238" s="1401" t="str">
        <f>IF(BG238="","",'Required Info to Submit'!L30)</f>
        <v/>
      </c>
      <c r="BJ238" s="1204" t="str">
        <f>'Required Info to Submit'!F30</f>
        <v/>
      </c>
      <c r="BK238" s="1204" t="str">
        <f>'Required Info to Submit'!G30</f>
        <v/>
      </c>
      <c r="BL238" s="1204" t="str">
        <f>'Required Info to Submit'!H30</f>
        <v/>
      </c>
      <c r="BM238" s="1204" t="str">
        <f>'Required Info to Submit'!I30</f>
        <v/>
      </c>
      <c r="BN238" s="1204" t="str">
        <f>'Required Info to Submit'!J30</f>
        <v/>
      </c>
      <c r="BO238" s="1296"/>
      <c r="BP238" s="1296"/>
      <c r="BQ238" s="1296"/>
      <c r="BR238" s="138"/>
      <c r="BS238" s="1296"/>
      <c r="BT238" s="1721"/>
      <c r="BU238" s="1205">
        <v>8</v>
      </c>
      <c r="BV238" s="1196" t="s">
        <v>1856</v>
      </c>
      <c r="BW238" s="1196" t="s">
        <v>1444</v>
      </c>
      <c r="BX238" s="1204" t="str">
        <f>'Required Info to Submit'!E30</f>
        <v/>
      </c>
      <c r="BY238" s="1400" t="str">
        <f>IF(BG238="","",'Required Info to Submit'!K30)</f>
        <v/>
      </c>
      <c r="BZ238" s="1401" t="str">
        <f>IF(BG238="","",'Required Info to Submit'!L30)</f>
        <v/>
      </c>
      <c r="CA238" s="1204" t="str">
        <f>'Required Info to Submit'!F30</f>
        <v/>
      </c>
      <c r="CB238" s="1204" t="str">
        <f>'Required Info to Submit'!G30</f>
        <v/>
      </c>
      <c r="CC238" s="1204" t="str">
        <f>'Required Info to Submit'!H30</f>
        <v/>
      </c>
      <c r="CD238" s="1204" t="str">
        <f>'Required Info to Submit'!I30</f>
        <v/>
      </c>
      <c r="CE238" s="1204" t="str">
        <f>'Required Info to Submit'!J30</f>
        <v/>
      </c>
      <c r="CF238" s="1296"/>
      <c r="CG238" s="1296"/>
      <c r="CH238" s="1296"/>
      <c r="CI238" s="138"/>
      <c r="CJ238" s="1296"/>
      <c r="CK238" s="1296"/>
    </row>
    <row r="239" spans="1:89" x14ac:dyDescent="0.25">
      <c r="A239" s="1296"/>
      <c r="B239" s="1721"/>
      <c r="C239" s="1205">
        <v>9</v>
      </c>
      <c r="D239" s="1196" t="s">
        <v>1856</v>
      </c>
      <c r="E239" s="1196" t="s">
        <v>1444</v>
      </c>
      <c r="F239" s="1204" t="str">
        <f>'Required Info to Submit'!E31</f>
        <v/>
      </c>
      <c r="G239" s="1400" t="str">
        <f>IF(F239="","",'Required Info to Submit'!K31)</f>
        <v/>
      </c>
      <c r="H239" s="1401" t="str">
        <f>IF(F239="","",'Required Info to Submit'!L31)</f>
        <v/>
      </c>
      <c r="I239" s="1204" t="str">
        <f>'Required Info to Submit'!F31</f>
        <v/>
      </c>
      <c r="J239" s="1204" t="str">
        <f>'Required Info to Submit'!G31</f>
        <v/>
      </c>
      <c r="K239" s="1204" t="str">
        <f>'Required Info to Submit'!H31</f>
        <v/>
      </c>
      <c r="L239" s="1204" t="str">
        <f>'Required Info to Submit'!I31</f>
        <v/>
      </c>
      <c r="M239" s="1204" t="str">
        <f>'Required Info to Submit'!J31</f>
        <v/>
      </c>
      <c r="N239" s="1296"/>
      <c r="O239" s="1296"/>
      <c r="P239" s="1296"/>
      <c r="Q239" s="138"/>
      <c r="R239" s="1296"/>
      <c r="S239" s="1296"/>
      <c r="T239" s="1721"/>
      <c r="U239" s="1205">
        <v>9</v>
      </c>
      <c r="V239" s="1196" t="s">
        <v>1856</v>
      </c>
      <c r="W239" s="1196" t="s">
        <v>1444</v>
      </c>
      <c r="X239" s="1204" t="str">
        <f>'Required Info to Submit'!E31</f>
        <v/>
      </c>
      <c r="Y239" s="1400" t="str">
        <f>IF(X239="","",'Required Info to Submit'!K31)</f>
        <v/>
      </c>
      <c r="Z239" s="1401" t="str">
        <f>IF(X239="","",'Required Info to Submit'!L31)</f>
        <v/>
      </c>
      <c r="AA239" s="1204" t="str">
        <f>'Required Info to Submit'!F31</f>
        <v/>
      </c>
      <c r="AB239" s="1204" t="str">
        <f>'Required Info to Submit'!G31</f>
        <v/>
      </c>
      <c r="AC239" s="1204" t="str">
        <f>'Required Info to Submit'!H31</f>
        <v/>
      </c>
      <c r="AD239" s="1204" t="str">
        <f>'Required Info to Submit'!I31</f>
        <v/>
      </c>
      <c r="AE239" s="1204" t="str">
        <f>'Required Info to Submit'!J31</f>
        <v/>
      </c>
      <c r="AF239" s="1296"/>
      <c r="AG239" s="1296"/>
      <c r="AH239" s="1296"/>
      <c r="AI239" s="138"/>
      <c r="AJ239" s="1296"/>
      <c r="AK239" s="1296"/>
      <c r="AL239" s="1721"/>
      <c r="AM239" s="1205">
        <v>9</v>
      </c>
      <c r="AN239" s="1196" t="s">
        <v>1856</v>
      </c>
      <c r="AO239" s="1196" t="s">
        <v>1444</v>
      </c>
      <c r="AP239" s="1281" t="str">
        <f>'Required Info to Submit'!E31</f>
        <v/>
      </c>
      <c r="AQ239" s="1403" t="str">
        <f>IF(AP239="","",'Required Info to Submit'!K31)</f>
        <v/>
      </c>
      <c r="AR239" s="1404" t="str">
        <f>IF(AP239="","",'Required Info to Submit'!L31)</f>
        <v/>
      </c>
      <c r="AS239" s="1281" t="str">
        <f>'Required Info to Submit'!F31</f>
        <v/>
      </c>
      <c r="AT239" s="1281" t="str">
        <f>'Required Info to Submit'!G31</f>
        <v/>
      </c>
      <c r="AU239" s="1281" t="str">
        <f>'Required Info to Submit'!H31</f>
        <v/>
      </c>
      <c r="AV239" s="1281" t="str">
        <f>'Required Info to Submit'!I31</f>
        <v/>
      </c>
      <c r="AW239" s="1281" t="str">
        <f>'Required Info to Submit'!J31</f>
        <v/>
      </c>
      <c r="AX239" s="1296"/>
      <c r="AY239" s="1296"/>
      <c r="AZ239" s="1296"/>
      <c r="BA239" s="138"/>
      <c r="BB239" s="1296"/>
      <c r="BC239" s="1721"/>
      <c r="BD239" s="1205">
        <v>9</v>
      </c>
      <c r="BE239" s="1196" t="s">
        <v>1856</v>
      </c>
      <c r="BF239" s="1196" t="s">
        <v>1444</v>
      </c>
      <c r="BG239" s="1204" t="str">
        <f>'Required Info to Submit'!E31</f>
        <v/>
      </c>
      <c r="BH239" s="1400" t="str">
        <f>IF(BG239="","",'Required Info to Submit'!K31)</f>
        <v/>
      </c>
      <c r="BI239" s="1401" t="str">
        <f>IF(BG239="","",'Required Info to Submit'!L31)</f>
        <v/>
      </c>
      <c r="BJ239" s="1204" t="str">
        <f>'Required Info to Submit'!F31</f>
        <v/>
      </c>
      <c r="BK239" s="1204" t="str">
        <f>'Required Info to Submit'!G31</f>
        <v/>
      </c>
      <c r="BL239" s="1204" t="str">
        <f>'Required Info to Submit'!H31</f>
        <v/>
      </c>
      <c r="BM239" s="1204" t="str">
        <f>'Required Info to Submit'!I31</f>
        <v/>
      </c>
      <c r="BN239" s="1204" t="str">
        <f>'Required Info to Submit'!J31</f>
        <v/>
      </c>
      <c r="BO239" s="1296"/>
      <c r="BP239" s="1296"/>
      <c r="BQ239" s="1296"/>
      <c r="BR239" s="138"/>
      <c r="BS239" s="1296"/>
      <c r="BT239" s="1721"/>
      <c r="BU239" s="1205">
        <v>9</v>
      </c>
      <c r="BV239" s="1196" t="s">
        <v>1856</v>
      </c>
      <c r="BW239" s="1196" t="s">
        <v>1444</v>
      </c>
      <c r="BX239" s="1204" t="str">
        <f>'Required Info to Submit'!E31</f>
        <v/>
      </c>
      <c r="BY239" s="1400" t="str">
        <f>IF(BG239="","",'Required Info to Submit'!K31)</f>
        <v/>
      </c>
      <c r="BZ239" s="1401" t="str">
        <f>IF(BG239="","",'Required Info to Submit'!L31)</f>
        <v/>
      </c>
      <c r="CA239" s="1204" t="str">
        <f>'Required Info to Submit'!F31</f>
        <v/>
      </c>
      <c r="CB239" s="1204" t="str">
        <f>'Required Info to Submit'!G31</f>
        <v/>
      </c>
      <c r="CC239" s="1204" t="str">
        <f>'Required Info to Submit'!H31</f>
        <v/>
      </c>
      <c r="CD239" s="1204" t="str">
        <f>'Required Info to Submit'!I31</f>
        <v/>
      </c>
      <c r="CE239" s="1204" t="str">
        <f>'Required Info to Submit'!J31</f>
        <v/>
      </c>
      <c r="CF239" s="1296"/>
      <c r="CG239" s="1296"/>
      <c r="CH239" s="1296"/>
      <c r="CI239" s="138"/>
      <c r="CJ239" s="1296"/>
      <c r="CK239" s="1296"/>
    </row>
    <row r="240" spans="1:89" ht="15.75" thickBot="1" x14ac:dyDescent="0.3">
      <c r="A240" s="1296"/>
      <c r="B240" s="1722"/>
      <c r="C240" s="1207">
        <v>10</v>
      </c>
      <c r="D240" s="1198" t="s">
        <v>1856</v>
      </c>
      <c r="E240" s="1198" t="s">
        <v>1444</v>
      </c>
      <c r="F240" s="1209" t="str">
        <f>'Required Info to Submit'!E32</f>
        <v/>
      </c>
      <c r="G240" s="1402" t="str">
        <f>IF(F240="","",'Required Info to Submit'!K32)</f>
        <v/>
      </c>
      <c r="H240" s="1402" t="str">
        <f>IF(F240="","",'Required Info to Submit'!L32)</f>
        <v/>
      </c>
      <c r="I240" s="1209" t="str">
        <f>'Required Info to Submit'!F32</f>
        <v/>
      </c>
      <c r="J240" s="1209" t="str">
        <f>'Required Info to Submit'!G32</f>
        <v/>
      </c>
      <c r="K240" s="1209" t="str">
        <f>'Required Info to Submit'!H32</f>
        <v/>
      </c>
      <c r="L240" s="1209" t="str">
        <f>'Required Info to Submit'!I32</f>
        <v/>
      </c>
      <c r="M240" s="1209" t="str">
        <f>'Required Info to Submit'!J32</f>
        <v/>
      </c>
      <c r="N240" s="256"/>
      <c r="O240" s="256"/>
      <c r="P240" s="256"/>
      <c r="Q240" s="257"/>
      <c r="R240" s="1296"/>
      <c r="S240" s="1296"/>
      <c r="T240" s="1722"/>
      <c r="U240" s="1207">
        <v>10</v>
      </c>
      <c r="V240" s="1198" t="s">
        <v>1856</v>
      </c>
      <c r="W240" s="1198" t="s">
        <v>1444</v>
      </c>
      <c r="X240" s="1209" t="str">
        <f>'Required Info to Submit'!E32</f>
        <v/>
      </c>
      <c r="Y240" s="1402" t="str">
        <f>IF(X240="","",'Required Info to Submit'!K32)</f>
        <v/>
      </c>
      <c r="Z240" s="1405" t="str">
        <f>IF(X240="","",'Required Info to Submit'!L32)</f>
        <v/>
      </c>
      <c r="AA240" s="1209" t="str">
        <f>'Required Info to Submit'!F32</f>
        <v/>
      </c>
      <c r="AB240" s="1209" t="str">
        <f>'Required Info to Submit'!G32</f>
        <v/>
      </c>
      <c r="AC240" s="1209" t="str">
        <f>'Required Info to Submit'!H32</f>
        <v/>
      </c>
      <c r="AD240" s="1209" t="str">
        <f>'Required Info to Submit'!I32</f>
        <v/>
      </c>
      <c r="AE240" s="1209" t="str">
        <f>'Required Info to Submit'!J32</f>
        <v/>
      </c>
      <c r="AF240" s="256"/>
      <c r="AG240" s="256"/>
      <c r="AH240" s="256"/>
      <c r="AI240" s="257"/>
      <c r="AJ240" s="1296"/>
      <c r="AK240" s="1296"/>
      <c r="AL240" s="1722"/>
      <c r="AM240" s="1207">
        <v>10</v>
      </c>
      <c r="AN240" s="1198" t="s">
        <v>1856</v>
      </c>
      <c r="AO240" s="1198" t="s">
        <v>1444</v>
      </c>
      <c r="AP240" s="1282" t="str">
        <f>'Required Info to Submit'!E32</f>
        <v/>
      </c>
      <c r="AQ240" s="1406" t="str">
        <f>IF(AP240="","",'Required Info to Submit'!K32)</f>
        <v/>
      </c>
      <c r="AR240" s="1406" t="str">
        <f>IF(AP240="","",'Required Info to Submit'!L32)</f>
        <v/>
      </c>
      <c r="AS240" s="1282" t="str">
        <f>'Required Info to Submit'!F32</f>
        <v/>
      </c>
      <c r="AT240" s="1282" t="str">
        <f>'Required Info to Submit'!G32</f>
        <v/>
      </c>
      <c r="AU240" s="1282" t="str">
        <f>'Required Info to Submit'!H32</f>
        <v/>
      </c>
      <c r="AV240" s="1282" t="str">
        <f>'Required Info to Submit'!I32</f>
        <v/>
      </c>
      <c r="AW240" s="1282" t="str">
        <f>'Required Info to Submit'!J32</f>
        <v/>
      </c>
      <c r="AX240" s="256"/>
      <c r="AY240" s="256"/>
      <c r="AZ240" s="256"/>
      <c r="BA240" s="257"/>
      <c r="BB240" s="1296"/>
      <c r="BC240" s="1722"/>
      <c r="BD240" s="1207">
        <v>10</v>
      </c>
      <c r="BE240" s="1198" t="s">
        <v>1856</v>
      </c>
      <c r="BF240" s="1198" t="s">
        <v>1444</v>
      </c>
      <c r="BG240" s="1209" t="str">
        <f>'Required Info to Submit'!E32</f>
        <v/>
      </c>
      <c r="BH240" s="1402" t="str">
        <f>IF(BG240="","",'Required Info to Submit'!K32)</f>
        <v/>
      </c>
      <c r="BI240" s="1402" t="str">
        <f>IF(BG240="","",'Required Info to Submit'!L32)</f>
        <v/>
      </c>
      <c r="BJ240" s="1209" t="str">
        <f>'Required Info to Submit'!F32</f>
        <v/>
      </c>
      <c r="BK240" s="1209" t="str">
        <f>'Required Info to Submit'!G32</f>
        <v/>
      </c>
      <c r="BL240" s="1209" t="str">
        <f>'Required Info to Submit'!H32</f>
        <v/>
      </c>
      <c r="BM240" s="1209" t="str">
        <f>'Required Info to Submit'!I32</f>
        <v/>
      </c>
      <c r="BN240" s="1209" t="str">
        <f>'Required Info to Submit'!J32</f>
        <v/>
      </c>
      <c r="BO240" s="256"/>
      <c r="BP240" s="256"/>
      <c r="BQ240" s="256"/>
      <c r="BR240" s="257"/>
      <c r="BS240" s="1296"/>
      <c r="BT240" s="1722"/>
      <c r="BU240" s="1207">
        <v>10</v>
      </c>
      <c r="BV240" s="1198" t="s">
        <v>1856</v>
      </c>
      <c r="BW240" s="1198" t="s">
        <v>1444</v>
      </c>
      <c r="BX240" s="1209" t="str">
        <f>'Required Info to Submit'!E32</f>
        <v/>
      </c>
      <c r="BY240" s="1402" t="str">
        <f>IF(BG240="","",'Required Info to Submit'!K32)</f>
        <v/>
      </c>
      <c r="BZ240" s="1402" t="str">
        <f>IF(BG240="","",'Required Info to Submit'!L32)</f>
        <v/>
      </c>
      <c r="CA240" s="1209" t="str">
        <f>'Required Info to Submit'!F32</f>
        <v/>
      </c>
      <c r="CB240" s="1209" t="str">
        <f>'Required Info to Submit'!G32</f>
        <v/>
      </c>
      <c r="CC240" s="1209" t="str">
        <f>'Required Info to Submit'!H32</f>
        <v/>
      </c>
      <c r="CD240" s="1209" t="str">
        <f>'Required Info to Submit'!I32</f>
        <v/>
      </c>
      <c r="CE240" s="1209" t="str">
        <f>'Required Info to Submit'!J32</f>
        <v/>
      </c>
      <c r="CF240" s="256"/>
      <c r="CG240" s="256"/>
      <c r="CH240" s="256"/>
      <c r="CI240" s="257"/>
      <c r="CJ240" s="1296"/>
      <c r="CK240" s="1296"/>
    </row>
    <row r="241" spans="1:89" x14ac:dyDescent="0.25">
      <c r="A241" s="1296"/>
      <c r="B241" s="1296"/>
      <c r="C241" s="1296"/>
      <c r="D241" s="1296"/>
      <c r="E241" s="1296"/>
      <c r="F241" s="1296"/>
      <c r="G241" s="1296"/>
      <c r="H241" s="1296"/>
      <c r="I241" s="1296"/>
      <c r="J241" s="1296"/>
      <c r="K241" s="1296"/>
      <c r="L241" s="1296"/>
      <c r="M241" s="1296"/>
      <c r="N241" s="1296"/>
      <c r="O241" s="1296"/>
      <c r="P241" s="1296"/>
      <c r="Q241" s="1296"/>
      <c r="R241" s="1296"/>
      <c r="S241" s="1296"/>
      <c r="T241" s="1296"/>
      <c r="U241" s="1296"/>
      <c r="V241" s="1296"/>
      <c r="W241" s="1296"/>
      <c r="X241" s="1296"/>
      <c r="Y241" s="1296"/>
      <c r="Z241" s="1296"/>
      <c r="AA241" s="1296"/>
      <c r="AB241" s="1296"/>
      <c r="AC241" s="1296"/>
      <c r="AD241" s="1296"/>
      <c r="AE241" s="1296"/>
      <c r="AF241" s="1296"/>
      <c r="AG241" s="1296"/>
      <c r="AH241" s="1296"/>
      <c r="AI241" s="1296"/>
      <c r="AJ241" s="1296"/>
      <c r="AK241" s="1296"/>
      <c r="AL241" s="1296"/>
      <c r="AM241" s="1296"/>
      <c r="AN241" s="1296"/>
      <c r="AO241" s="1296"/>
      <c r="AP241" s="1296"/>
      <c r="AQ241" s="1296"/>
      <c r="AR241" s="1296"/>
      <c r="AS241" s="1296"/>
      <c r="AT241" s="1296"/>
      <c r="AU241" s="1296"/>
      <c r="AV241" s="1296"/>
      <c r="AW241" s="1296"/>
      <c r="AX241" s="1296"/>
      <c r="AY241" s="1296"/>
      <c r="AZ241" s="1296"/>
      <c r="BA241" s="1296"/>
      <c r="BB241" s="1296"/>
      <c r="BC241" s="1296"/>
      <c r="BD241" s="1296"/>
      <c r="BE241" s="1296"/>
      <c r="BF241" s="1296"/>
      <c r="BG241" s="1296"/>
      <c r="BH241" s="1296"/>
      <c r="BI241" s="1296"/>
      <c r="BJ241" s="1296"/>
      <c r="BK241" s="1296"/>
      <c r="BL241" s="1296"/>
      <c r="BM241" s="1296"/>
      <c r="BN241" s="1296"/>
      <c r="BO241" s="1296"/>
      <c r="BP241" s="1296"/>
      <c r="BQ241" s="1296"/>
      <c r="BR241" s="1296"/>
      <c r="BS241" s="1296"/>
      <c r="BT241" s="1296"/>
      <c r="BU241" s="1296"/>
      <c r="BV241" s="1296"/>
      <c r="BW241" s="1296"/>
      <c r="BX241" s="1296"/>
      <c r="BY241" s="1296"/>
      <c r="BZ241" s="1296"/>
      <c r="CA241" s="1296"/>
      <c r="CB241" s="1296"/>
      <c r="CC241" s="1296"/>
      <c r="CD241" s="1296"/>
      <c r="CE241" s="1296"/>
      <c r="CF241" s="1296"/>
      <c r="CG241" s="1296"/>
      <c r="CH241" s="1296"/>
      <c r="CI241" s="1296"/>
      <c r="CJ241" s="1296"/>
      <c r="CK241" s="1296"/>
    </row>
    <row r="242" spans="1:89" ht="15.75" thickBot="1" x14ac:dyDescent="0.3">
      <c r="A242" s="1296"/>
      <c r="B242" s="1296"/>
      <c r="C242" s="1296"/>
      <c r="D242" s="1296"/>
      <c r="E242" s="1296"/>
      <c r="F242" s="1296"/>
      <c r="G242" s="1296"/>
      <c r="H242" s="1296"/>
      <c r="I242" s="1296"/>
      <c r="J242" s="1296"/>
      <c r="K242" s="1296"/>
      <c r="L242" s="1296"/>
      <c r="M242" s="1296"/>
      <c r="N242" s="1296"/>
      <c r="O242" s="1296"/>
      <c r="P242" s="1296"/>
      <c r="Q242" s="1296"/>
      <c r="R242" s="1296"/>
      <c r="S242" s="1296"/>
      <c r="T242" s="1296"/>
      <c r="U242" s="1296"/>
      <c r="V242" s="1296"/>
      <c r="W242" s="1296"/>
      <c r="X242" s="1296"/>
      <c r="Y242" s="1296"/>
      <c r="Z242" s="1296"/>
      <c r="AA242" s="1296"/>
      <c r="AB242" s="1296"/>
      <c r="AC242" s="1296"/>
      <c r="AD242" s="1296"/>
      <c r="AE242" s="1296"/>
      <c r="AF242" s="1296"/>
      <c r="AG242" s="1296"/>
      <c r="AH242" s="1296"/>
      <c r="AI242" s="1296"/>
      <c r="AJ242" s="1296"/>
      <c r="AK242" s="1296"/>
      <c r="AL242" s="1296"/>
      <c r="AM242" s="1296"/>
      <c r="AN242" s="1296"/>
      <c r="AO242" s="1296"/>
      <c r="AP242" s="1296"/>
      <c r="AQ242" s="1296"/>
      <c r="AR242" s="1296"/>
      <c r="AS242" s="1296"/>
      <c r="AT242" s="1296"/>
      <c r="AU242" s="1296"/>
      <c r="AV242" s="1296"/>
      <c r="AW242" s="1296"/>
      <c r="AX242" s="1296"/>
      <c r="AY242" s="1296"/>
      <c r="AZ242" s="1296"/>
      <c r="BA242" s="1296"/>
      <c r="BB242" s="1296"/>
      <c r="BC242" s="1296"/>
      <c r="BD242" s="1296"/>
      <c r="BE242" s="1296"/>
      <c r="BF242" s="1296"/>
      <c r="BG242" s="1296"/>
      <c r="BH242" s="1296"/>
      <c r="BI242" s="1296"/>
      <c r="BJ242" s="1296"/>
      <c r="BK242" s="1296"/>
      <c r="BL242" s="1296"/>
      <c r="BM242" s="1296"/>
      <c r="BN242" s="1296"/>
      <c r="BO242" s="1296"/>
      <c r="BP242" s="1296"/>
      <c r="BQ242" s="1296"/>
      <c r="BR242" s="1296"/>
      <c r="BS242" s="1296"/>
      <c r="BT242" s="1296"/>
      <c r="BU242" s="1296"/>
      <c r="BV242" s="1296"/>
      <c r="BW242" s="1296"/>
      <c r="BX242" s="1296"/>
      <c r="BY242" s="1296"/>
      <c r="BZ242" s="1296"/>
      <c r="CA242" s="1296"/>
      <c r="CB242" s="1296"/>
      <c r="CC242" s="1296"/>
      <c r="CD242" s="1296"/>
      <c r="CE242" s="1296"/>
      <c r="CF242" s="1296"/>
      <c r="CG242" s="1296"/>
      <c r="CH242" s="1296"/>
      <c r="CI242" s="1296"/>
      <c r="CJ242" s="1296"/>
      <c r="CK242" s="1296"/>
    </row>
    <row r="243" spans="1:89" ht="30.75" thickBot="1" x14ac:dyDescent="0.3">
      <c r="A243" s="1296"/>
      <c r="B243" s="1182"/>
      <c r="C243" s="1177" t="s">
        <v>1400</v>
      </c>
      <c r="D243" s="1177" t="s">
        <v>1510</v>
      </c>
      <c r="E243" s="1177" t="s">
        <v>767</v>
      </c>
      <c r="F243" s="1177" t="s">
        <v>1515</v>
      </c>
      <c r="G243" s="1177" t="s">
        <v>1833</v>
      </c>
      <c r="H243" s="1178" t="s">
        <v>1834</v>
      </c>
      <c r="I243" s="1178" t="s">
        <v>1835</v>
      </c>
      <c r="J243" s="1177" t="s">
        <v>1857</v>
      </c>
      <c r="K243" s="1177" t="s">
        <v>1836</v>
      </c>
      <c r="L243" s="1178" t="s">
        <v>1414</v>
      </c>
      <c r="M243" s="1178" t="s">
        <v>1398</v>
      </c>
      <c r="N243" s="1177" t="s">
        <v>1399</v>
      </c>
      <c r="O243" s="1177" t="s">
        <v>722</v>
      </c>
      <c r="P243" s="1177" t="s">
        <v>723</v>
      </c>
      <c r="Q243" s="1178" t="s">
        <v>1514</v>
      </c>
      <c r="R243" s="1296"/>
      <c r="S243" s="1296"/>
      <c r="T243" s="1296"/>
      <c r="U243" s="1296"/>
      <c r="V243" s="1296"/>
      <c r="W243" s="1296"/>
      <c r="X243" s="1296"/>
      <c r="Y243" s="1296"/>
      <c r="Z243" s="1296"/>
      <c r="AA243" s="1296"/>
      <c r="AB243" s="1296"/>
      <c r="AC243" s="1296"/>
      <c r="AD243" s="1296"/>
      <c r="AE243" s="1296"/>
      <c r="AF243" s="1296"/>
      <c r="AG243" s="1296"/>
      <c r="AH243" s="1296"/>
      <c r="AI243" s="1296"/>
      <c r="AJ243" s="1296"/>
      <c r="AK243" s="1296"/>
      <c r="AL243" s="1296"/>
      <c r="AM243" s="1296"/>
      <c r="AN243" s="1296"/>
      <c r="AO243" s="1296"/>
      <c r="AP243" s="1296"/>
      <c r="AQ243" s="1296"/>
      <c r="AR243" s="1296"/>
      <c r="AS243" s="1296"/>
      <c r="AT243" s="1296"/>
      <c r="AU243" s="1296"/>
      <c r="AV243" s="1296"/>
      <c r="AW243" s="1296"/>
      <c r="AX243" s="1296"/>
      <c r="AY243" s="1296"/>
      <c r="AZ243" s="1296"/>
      <c r="BA243" s="1296"/>
      <c r="BB243" s="1296"/>
      <c r="BC243" s="1296"/>
      <c r="BD243" s="1296"/>
      <c r="BE243" s="1296"/>
      <c r="BF243" s="1296"/>
      <c r="BG243" s="1296"/>
      <c r="BH243" s="1296"/>
      <c r="BI243" s="1296"/>
      <c r="BJ243" s="1296"/>
      <c r="BK243" s="1296"/>
      <c r="BL243" s="1296"/>
      <c r="BM243" s="1296"/>
      <c r="BN243" s="1296"/>
      <c r="BO243" s="1296"/>
      <c r="BP243" s="1296"/>
      <c r="BQ243" s="1296"/>
      <c r="BR243" s="1296"/>
      <c r="BS243" s="1296"/>
      <c r="BT243" s="1296"/>
      <c r="BU243" s="1296"/>
      <c r="BV243" s="1296"/>
      <c r="BW243" s="1296"/>
      <c r="BX243" s="1296"/>
      <c r="BY243" s="1296"/>
      <c r="BZ243" s="1296"/>
      <c r="CA243" s="1296"/>
      <c r="CB243" s="1296"/>
      <c r="CC243" s="1296"/>
      <c r="CD243" s="1296"/>
      <c r="CE243" s="1296"/>
      <c r="CF243" s="1296"/>
      <c r="CG243" s="1296"/>
      <c r="CH243" s="1296"/>
      <c r="CI243" s="1296"/>
      <c r="CJ243" s="1296"/>
      <c r="CK243" s="1296"/>
    </row>
    <row r="244" spans="1:89" ht="60.75" thickBot="1" x14ac:dyDescent="0.3">
      <c r="A244" s="1296"/>
      <c r="B244" s="1184" t="s">
        <v>1837</v>
      </c>
      <c r="C244" s="1185" t="s">
        <v>1559</v>
      </c>
      <c r="D244" s="1186">
        <v>4001</v>
      </c>
      <c r="E244" s="1181" t="s">
        <v>1884</v>
      </c>
      <c r="F244" s="1181" t="s">
        <v>1516</v>
      </c>
      <c r="G244" s="1179" t="str" cm="1">
        <f t="array" aca="1" ref="G244" ca="1">INDIRECT("'Incentives Worksheet'!P"&amp;'Configurable Tab'!H24+3)</f>
        <v>Same as Payout Cycle</v>
      </c>
      <c r="H244" s="1179" t="str" cm="1">
        <f t="array" aca="1" ref="H244" ca="1">IF(ISBLANK(INDIRECT("'Incentives Worksheet'!H"&amp;'Configurable Tab'!H24+3)),"",INDIRECT("'Incentives Worksheet'!H"&amp;'Configurable Tab'!H24+3))</f>
        <v/>
      </c>
      <c r="I244" s="1179" t="str" cm="1">
        <f t="array" aca="1" ref="I244" ca="1">IF(INDIRECT("'Incentives Worksheet'!R"&amp;'Configurable Tab'!H24+3)="USF Calendar","Fiscal",INDIRECT("'Incentives Worksheet'!R"&amp;'Configurable Tab'!H24+3))</f>
        <v>Fiscal</v>
      </c>
      <c r="J244" s="1179" t="str" cm="1">
        <f t="array" aca="1" ref="J244" ca="1">IF(INDIRECT("'Incentives Worksheet'!L"&amp;'Configurable Tab'!H24+9)="All"," Select All Products","Unselect All Products")</f>
        <v>Unselect All Products</v>
      </c>
      <c r="K244" s="1179" t="str" cm="1">
        <f t="array" aca="1" ref="K244" ca="1">IF(INDIRECT("'Incentives Worksheet'!T"&amp;'Configurable Tab'!H24+3)="Yes","Post to GL","")</f>
        <v/>
      </c>
      <c r="L244" s="1179" t="str" cm="1">
        <f t="array" aca="1" ref="L244" ca="1">IF(ISBLANK(INDIRECT("'Incentives Worksheet'!L"&amp;'Configurable Tab'!H24+3)),"",INDIRECT("'Incentives Worksheet'!L"&amp;'Configurable Tab'!H24+3))</f>
        <v/>
      </c>
      <c r="M244" s="1179" t="str" cm="1">
        <f t="array" aca="1" ref="M244" ca="1">IF(ISBLANK(INDIRECT("'Incentives Worksheet'!J"&amp;'Configurable Tab'!H24+3)),"",INDIRECT("'Incentives Worksheet'!J"&amp;'Configurable Tab'!H24+3))</f>
        <v/>
      </c>
      <c r="N244" s="1179" t="str" cm="1">
        <f t="array" aca="1" ref="N244" ca="1">IF(ISBLANK(INDIRECT("'Incentives Worksheet'!N"&amp;'Configurable Tab'!H24+3)),"",INDIRECT("'Incentives Worksheet'!N"&amp;'Configurable Tab'!H24+3))</f>
        <v/>
      </c>
      <c r="O244" s="1180" t="str" cm="1">
        <f t="array" aca="1" ref="O244" ca="1">INDIRECT("'Incentives Worksheet'!D"&amp;'Configurable Tab'!H24+6)</f>
        <v/>
      </c>
      <c r="P244" s="1180" t="str" cm="1">
        <f t="array" aca="1" ref="P244" ca="1">INDIRECT("'Incentives Worksheet'!D"&amp;'Configurable Tab'!H24+8)</f>
        <v/>
      </c>
      <c r="Q244" s="1179" t="str" cm="1">
        <f t="array" aca="1" ref="Q244" ca="1">IF(INDIRECT("'Incentives Worksheet'!D"&amp;'Configurable Tab'!H24+10)="No","Update tracking dates",INDIRECT("'Incentives Worksheet'!D"&amp;'Configurable Tab'!H24+10))</f>
        <v>Yes</v>
      </c>
      <c r="R244" s="1296"/>
      <c r="S244" s="1296"/>
      <c r="T244" s="1296"/>
      <c r="U244" s="1296"/>
      <c r="V244" s="1296"/>
      <c r="W244" s="1296"/>
      <c r="X244" s="1296"/>
      <c r="Y244" s="1296"/>
      <c r="Z244" s="1296"/>
      <c r="AA244" s="1296"/>
      <c r="AB244" s="1296"/>
      <c r="AC244" s="1296"/>
      <c r="AD244" s="1296"/>
      <c r="AE244" s="1296"/>
      <c r="AF244" s="1296"/>
      <c r="AG244" s="1296"/>
      <c r="AH244" s="1296"/>
      <c r="AI244" s="1296"/>
      <c r="AJ244" s="1296"/>
      <c r="AK244" s="1296"/>
      <c r="AL244" s="1296"/>
      <c r="AM244" s="1296"/>
      <c r="AN244" s="1296"/>
      <c r="AO244" s="1296"/>
      <c r="AP244" s="1296"/>
      <c r="AQ244" s="1296"/>
      <c r="AR244" s="1296"/>
      <c r="AS244" s="1296"/>
      <c r="AT244" s="1296"/>
      <c r="AU244" s="1296"/>
      <c r="AV244" s="1296"/>
      <c r="AW244" s="1296"/>
      <c r="AX244" s="1296"/>
      <c r="AY244" s="1296"/>
      <c r="AZ244" s="1296"/>
      <c r="BA244" s="1296"/>
      <c r="BB244" s="1296"/>
      <c r="BC244" s="1296"/>
      <c r="BD244" s="1296"/>
      <c r="BE244" s="1296"/>
      <c r="BF244" s="1296"/>
      <c r="BG244" s="1296"/>
      <c r="BH244" s="1296"/>
      <c r="BI244" s="1296"/>
      <c r="BJ244" s="1296"/>
      <c r="BK244" s="1296"/>
      <c r="BL244" s="1296"/>
      <c r="BM244" s="1296"/>
      <c r="BN244" s="1296"/>
      <c r="BO244" s="1296"/>
      <c r="BP244" s="1296"/>
      <c r="BQ244" s="1296"/>
      <c r="BR244" s="1296"/>
      <c r="BS244" s="1296"/>
      <c r="BT244" s="1296"/>
      <c r="BU244" s="1296"/>
      <c r="BV244" s="1296"/>
      <c r="BW244" s="1296"/>
      <c r="BX244" s="1296"/>
      <c r="BY244" s="1296"/>
      <c r="BZ244" s="1296"/>
      <c r="CA244" s="1296"/>
      <c r="CB244" s="1296"/>
      <c r="CC244" s="1296"/>
      <c r="CD244" s="1296"/>
      <c r="CE244" s="1296"/>
      <c r="CF244" s="1296"/>
      <c r="CG244" s="1296"/>
      <c r="CH244" s="1296"/>
      <c r="CI244" s="1296"/>
      <c r="CJ244" s="1296"/>
      <c r="CK244" s="1296"/>
    </row>
    <row r="245" spans="1:89" ht="30.75" thickBot="1" x14ac:dyDescent="0.3">
      <c r="A245" s="1296"/>
      <c r="B245" s="1719" t="s">
        <v>1838</v>
      </c>
      <c r="C245" s="1210" t="s">
        <v>1858</v>
      </c>
      <c r="D245" s="1177" t="s">
        <v>1859</v>
      </c>
      <c r="E245" s="1178" t="s">
        <v>1376</v>
      </c>
      <c r="F245" s="1177" t="s">
        <v>1861</v>
      </c>
      <c r="G245" s="1211" t="s">
        <v>1864</v>
      </c>
      <c r="H245" s="1212"/>
      <c r="I245" s="1212"/>
      <c r="J245" s="1296"/>
      <c r="K245" s="1212"/>
      <c r="L245" s="1212"/>
      <c r="M245" s="1212"/>
      <c r="N245" s="1212"/>
      <c r="O245" s="1212"/>
      <c r="P245" s="1212"/>
      <c r="Q245" s="1213"/>
      <c r="R245" s="1296"/>
      <c r="S245" s="1296"/>
      <c r="T245" s="1296"/>
      <c r="U245" s="1296"/>
      <c r="V245" s="1296"/>
      <c r="W245" s="1296"/>
      <c r="X245" s="1296"/>
      <c r="Y245" s="1296"/>
      <c r="Z245" s="1296"/>
      <c r="AA245" s="1296"/>
      <c r="AB245" s="1296"/>
      <c r="AC245" s="1296"/>
      <c r="AD245" s="1296"/>
      <c r="AE245" s="1296"/>
      <c r="AF245" s="1296"/>
      <c r="AG245" s="1296"/>
      <c r="AH245" s="1296"/>
      <c r="AI245" s="1296"/>
      <c r="AJ245" s="1296"/>
      <c r="AK245" s="1296"/>
      <c r="AL245" s="1296"/>
      <c r="AM245" s="1296"/>
      <c r="AN245" s="1296"/>
      <c r="AO245" s="1296"/>
      <c r="AP245" s="1296"/>
      <c r="AQ245" s="1296"/>
      <c r="AR245" s="1296"/>
      <c r="AS245" s="1296"/>
      <c r="AT245" s="1296"/>
      <c r="AU245" s="1296"/>
      <c r="AV245" s="1296"/>
      <c r="AW245" s="1296"/>
      <c r="AX245" s="1296"/>
      <c r="AY245" s="1296"/>
      <c r="AZ245" s="1296"/>
      <c r="BA245" s="1296"/>
      <c r="BB245" s="1296"/>
      <c r="BC245" s="1296"/>
      <c r="BD245" s="1296"/>
      <c r="BE245" s="1296"/>
      <c r="BF245" s="1296"/>
      <c r="BG245" s="1296"/>
      <c r="BH245" s="1296"/>
      <c r="BI245" s="1296"/>
      <c r="BJ245" s="1296"/>
      <c r="BK245" s="1296"/>
      <c r="BL245" s="1296"/>
      <c r="BM245" s="1296"/>
      <c r="BN245" s="1296"/>
      <c r="BO245" s="1296"/>
      <c r="BP245" s="1296"/>
      <c r="BQ245" s="1296"/>
      <c r="BR245" s="1296"/>
      <c r="BS245" s="1296"/>
      <c r="BT245" s="1296"/>
      <c r="BU245" s="1296"/>
      <c r="BV245" s="1296"/>
      <c r="BW245" s="1296"/>
      <c r="BX245" s="1296"/>
      <c r="BY245" s="1296"/>
      <c r="BZ245" s="1296"/>
      <c r="CA245" s="1296"/>
      <c r="CB245" s="1296"/>
      <c r="CC245" s="1296"/>
      <c r="CD245" s="1296"/>
      <c r="CE245" s="1296"/>
      <c r="CF245" s="1296"/>
      <c r="CG245" s="1296"/>
      <c r="CH245" s="1296"/>
      <c r="CI245" s="1296"/>
      <c r="CJ245" s="1296"/>
      <c r="CK245" s="1296"/>
    </row>
    <row r="246" spans="1:89" ht="15.75" thickBot="1" x14ac:dyDescent="0.3">
      <c r="A246" s="1296"/>
      <c r="B246" s="1726"/>
      <c r="C246" s="1245" t="s">
        <v>1874</v>
      </c>
      <c r="D246" s="1245" t="str" cm="1">
        <f t="array" aca="1" ref="D246" ca="1">IF(INDIRECT("'Incentives Worksheet'!L"&amp;'Configurable Tab'!H24+9)="All"," All Products","Included Products")</f>
        <v>Included Products</v>
      </c>
      <c r="E246" s="1245" t="str" cm="1">
        <f t="array" aca="1" ref="E246" ca="1">IF(INDIRECT("'Incentives Worksheet'!J"&amp;'Configurable Tab'!H24+9)="All","All Customers","Individual")</f>
        <v>All Customers</v>
      </c>
      <c r="F246" s="1246" t="str" cm="1">
        <f t="array" aca="1" ref="F246" ca="1">IF(INDIRECT("'Incentives Worksheet'!L"&amp;'Configurable Tab'!H24+6)&lt;&gt;0,INDIRECT("'Incentives Worksheet'!L"&amp;'Configurable Tab'!H24+6),"")</f>
        <v/>
      </c>
      <c r="G246" s="1247" t="str" cm="1">
        <f t="array" aca="1" ref="G246" ca="1">INDIRECT("'Incentives Worksheet'!N"&amp;'Configurable Tab'!H24+6)</f>
        <v>%</v>
      </c>
      <c r="H246" s="1188"/>
      <c r="I246" s="1188"/>
      <c r="J246" s="1296"/>
      <c r="K246" s="1188"/>
      <c r="L246" s="1188"/>
      <c r="M246" s="1188"/>
      <c r="N246" s="1188"/>
      <c r="O246" s="1188"/>
      <c r="P246" s="1188"/>
      <c r="Q246" s="138"/>
      <c r="R246" s="1296"/>
      <c r="S246" s="1296"/>
      <c r="T246" s="1296"/>
      <c r="U246" s="1296"/>
      <c r="V246" s="1296"/>
      <c r="W246" s="1296"/>
      <c r="X246" s="1296"/>
      <c r="Y246" s="1296"/>
      <c r="Z246" s="1296"/>
      <c r="AA246" s="1296"/>
      <c r="AB246" s="1296"/>
      <c r="AC246" s="1296"/>
      <c r="AD246" s="1296"/>
      <c r="AE246" s="1296"/>
      <c r="AF246" s="1296"/>
      <c r="AG246" s="1296"/>
      <c r="AH246" s="1296"/>
      <c r="AI246" s="1296"/>
      <c r="AJ246" s="1296"/>
      <c r="AK246" s="1296"/>
      <c r="AL246" s="1296"/>
      <c r="AM246" s="1296"/>
      <c r="AN246" s="1296"/>
      <c r="AO246" s="1296"/>
      <c r="AP246" s="1296"/>
      <c r="AQ246" s="1296"/>
      <c r="AR246" s="1296"/>
      <c r="AS246" s="1296"/>
      <c r="AT246" s="1296"/>
      <c r="AU246" s="1296"/>
      <c r="AV246" s="1296"/>
      <c r="AW246" s="1296"/>
      <c r="AX246" s="1296"/>
      <c r="AY246" s="1296"/>
      <c r="AZ246" s="1296"/>
      <c r="BA246" s="1296"/>
      <c r="BB246" s="1296"/>
      <c r="BC246" s="1296"/>
      <c r="BD246" s="1296"/>
      <c r="BE246" s="1296"/>
      <c r="BF246" s="1296"/>
      <c r="BG246" s="1296"/>
      <c r="BH246" s="1296"/>
      <c r="BI246" s="1296"/>
      <c r="BJ246" s="1296"/>
      <c r="BK246" s="1296"/>
      <c r="BL246" s="1296"/>
      <c r="BM246" s="1296"/>
      <c r="BN246" s="1296"/>
      <c r="BO246" s="1296"/>
      <c r="BP246" s="1296"/>
      <c r="BQ246" s="1296"/>
      <c r="BR246" s="1296"/>
      <c r="BS246" s="1296"/>
      <c r="BT246" s="1296"/>
      <c r="BU246" s="1296"/>
      <c r="BV246" s="1296"/>
      <c r="BW246" s="1296"/>
      <c r="BX246" s="1296"/>
      <c r="BY246" s="1296"/>
      <c r="BZ246" s="1296"/>
      <c r="CA246" s="1296"/>
      <c r="CB246" s="1296"/>
      <c r="CC246" s="1296"/>
      <c r="CD246" s="1296"/>
      <c r="CE246" s="1296"/>
      <c r="CF246" s="1296"/>
      <c r="CG246" s="1296"/>
      <c r="CH246" s="1296"/>
      <c r="CI246" s="1296"/>
      <c r="CJ246" s="1296"/>
      <c r="CK246" s="1296"/>
    </row>
    <row r="247" spans="1:89" x14ac:dyDescent="0.25">
      <c r="A247" s="1296"/>
      <c r="B247" s="1721"/>
      <c r="C247" s="1220" t="s">
        <v>1868</v>
      </c>
      <c r="D247" s="1221" t="s">
        <v>126</v>
      </c>
      <c r="E247" s="1222" t="s">
        <v>128</v>
      </c>
      <c r="F247" s="1223" t="s">
        <v>1110</v>
      </c>
      <c r="G247" s="1188"/>
      <c r="H247" s="1188"/>
      <c r="I247" s="1188"/>
      <c r="J247" s="1188"/>
      <c r="K247" s="1188"/>
      <c r="L247" s="1188"/>
      <c r="M247" s="1188"/>
      <c r="N247" s="1188"/>
      <c r="O247" s="1188"/>
      <c r="P247" s="1188"/>
      <c r="Q247" s="1189"/>
      <c r="R247" s="1296"/>
      <c r="S247" s="1296"/>
      <c r="T247" s="1296"/>
      <c r="U247" s="1296"/>
      <c r="V247" s="1296"/>
      <c r="W247" s="1296"/>
      <c r="X247" s="1296"/>
      <c r="Y247" s="1296"/>
      <c r="Z247" s="1296"/>
      <c r="AA247" s="1296"/>
      <c r="AB247" s="1296"/>
      <c r="AC247" s="1296"/>
      <c r="AD247" s="1296"/>
      <c r="AE247" s="1296"/>
      <c r="AF247" s="1296"/>
      <c r="AG247" s="1296"/>
      <c r="AH247" s="1296"/>
      <c r="AI247" s="1296"/>
      <c r="AJ247" s="1296"/>
      <c r="AK247" s="1296"/>
      <c r="AL247" s="1296"/>
      <c r="AM247" s="1296"/>
      <c r="AN247" s="1296"/>
      <c r="AO247" s="1296"/>
      <c r="AP247" s="1296"/>
      <c r="AQ247" s="1296"/>
      <c r="AR247" s="1296"/>
      <c r="AS247" s="1296"/>
      <c r="AT247" s="1296"/>
      <c r="AU247" s="1296"/>
      <c r="AV247" s="1296"/>
      <c r="AW247" s="1296"/>
      <c r="AX247" s="1296"/>
      <c r="AY247" s="1296"/>
      <c r="AZ247" s="1296"/>
      <c r="BA247" s="1296"/>
      <c r="BB247" s="1296"/>
      <c r="BC247" s="1296"/>
      <c r="BD247" s="1296"/>
      <c r="BE247" s="1296"/>
      <c r="BF247" s="1296"/>
      <c r="BG247" s="1296"/>
      <c r="BH247" s="1296"/>
      <c r="BI247" s="1296"/>
      <c r="BJ247" s="1296"/>
      <c r="BK247" s="1296"/>
      <c r="BL247" s="1296"/>
      <c r="BM247" s="1296"/>
      <c r="BN247" s="1296"/>
      <c r="BO247" s="1296"/>
      <c r="BP247" s="1296"/>
      <c r="BQ247" s="1296"/>
      <c r="BR247" s="1296"/>
      <c r="BS247" s="1296"/>
      <c r="BT247" s="1296"/>
      <c r="BU247" s="1296"/>
      <c r="BV247" s="1296"/>
      <c r="BW247" s="1296"/>
      <c r="BX247" s="1296"/>
      <c r="BY247" s="1296"/>
      <c r="BZ247" s="1296"/>
      <c r="CA247" s="1296"/>
      <c r="CB247" s="1296"/>
      <c r="CC247" s="1296"/>
      <c r="CD247" s="1296"/>
      <c r="CE247" s="1296"/>
      <c r="CF247" s="1296"/>
      <c r="CG247" s="1296"/>
      <c r="CH247" s="1296"/>
      <c r="CI247" s="1296"/>
      <c r="CJ247" s="1296"/>
      <c r="CK247" s="1296"/>
    </row>
    <row r="248" spans="1:89" x14ac:dyDescent="0.25">
      <c r="A248" s="1296"/>
      <c r="B248" s="1721"/>
      <c r="C248" s="1228">
        <v>0</v>
      </c>
      <c r="D248" s="1229" t="str" cm="1">
        <f t="array" aca="1" ref="D248" ca="1">IF(INDIRECT("'Incentives Worksheet'!H"&amp;'Configurable Tab'!H24+6)&lt;&gt;0,0,"")</f>
        <v/>
      </c>
      <c r="E248" s="1262" t="str" cm="1">
        <f t="array" aca="1" ref="E248" ca="1">IF(INDIRECT("'Incentives Worksheet'!H"&amp;'Configurable Tab'!H24+6)&lt;&gt;0,INDIRECT("'Incentives Worksheet'!H"&amp;'Configurable Tab'!H24+6)-0.01,"")</f>
        <v/>
      </c>
      <c r="F248" s="1231" t="str" cm="1">
        <f t="array" aca="1" ref="F248" ca="1">IF(INDIRECT("'Incentives Worksheet'!H"&amp;'Configurable Tab'!H24+6)&lt;&gt;0,0,"")</f>
        <v/>
      </c>
      <c r="G248" s="1188"/>
      <c r="H248" s="1188"/>
      <c r="I248" s="1188"/>
      <c r="J248" s="1188"/>
      <c r="K248" s="1188"/>
      <c r="L248" s="1188"/>
      <c r="M248" s="1188"/>
      <c r="N248" s="1188"/>
      <c r="O248" s="1188"/>
      <c r="P248" s="1188"/>
      <c r="Q248" s="1189"/>
      <c r="R248" s="1296"/>
      <c r="S248" s="1296"/>
      <c r="T248" s="1296"/>
      <c r="U248" s="1296"/>
      <c r="V248" s="1296"/>
      <c r="W248" s="1296"/>
      <c r="X248" s="1296"/>
      <c r="Y248" s="1296"/>
      <c r="Z248" s="1296"/>
      <c r="AA248" s="1296"/>
      <c r="AB248" s="1296"/>
      <c r="AC248" s="1296"/>
      <c r="AD248" s="1296"/>
      <c r="AE248" s="1296"/>
      <c r="AF248" s="1296"/>
      <c r="AG248" s="1296"/>
      <c r="AH248" s="1296"/>
      <c r="AI248" s="1296"/>
      <c r="AJ248" s="1296"/>
      <c r="AK248" s="1296"/>
      <c r="AL248" s="1296"/>
      <c r="AM248" s="1296"/>
      <c r="AN248" s="1296"/>
      <c r="AO248" s="1296"/>
      <c r="AP248" s="1296"/>
      <c r="AQ248" s="1296"/>
      <c r="AR248" s="1296"/>
      <c r="AS248" s="1296"/>
      <c r="AT248" s="1296"/>
      <c r="AU248" s="1296"/>
      <c r="AV248" s="1296"/>
      <c r="AW248" s="1296"/>
      <c r="AX248" s="1296"/>
      <c r="AY248" s="1296"/>
      <c r="AZ248" s="1296"/>
      <c r="BA248" s="1296"/>
      <c r="BB248" s="1296"/>
      <c r="BC248" s="1296"/>
      <c r="BD248" s="1296"/>
      <c r="BE248" s="1296"/>
      <c r="BF248" s="1296"/>
      <c r="BG248" s="1296"/>
      <c r="BH248" s="1296"/>
      <c r="BI248" s="1296"/>
      <c r="BJ248" s="1296"/>
      <c r="BK248" s="1296"/>
      <c r="BL248" s="1296"/>
      <c r="BM248" s="1296"/>
      <c r="BN248" s="1296"/>
      <c r="BO248" s="1296"/>
      <c r="BP248" s="1296"/>
      <c r="BQ248" s="1296"/>
      <c r="BR248" s="1296"/>
      <c r="BS248" s="1296"/>
      <c r="BT248" s="1296"/>
      <c r="BU248" s="1296"/>
      <c r="BV248" s="1296"/>
      <c r="BW248" s="1296"/>
      <c r="BX248" s="1296"/>
      <c r="BY248" s="1296"/>
      <c r="BZ248" s="1296"/>
      <c r="CA248" s="1296"/>
      <c r="CB248" s="1296"/>
      <c r="CC248" s="1296"/>
      <c r="CD248" s="1296"/>
      <c r="CE248" s="1296"/>
      <c r="CF248" s="1296"/>
      <c r="CG248" s="1296"/>
      <c r="CH248" s="1296"/>
      <c r="CI248" s="1296"/>
      <c r="CJ248" s="1296"/>
      <c r="CK248" s="1296"/>
    </row>
    <row r="249" spans="1:89" ht="15.75" thickBot="1" x14ac:dyDescent="0.3">
      <c r="A249" s="1296"/>
      <c r="B249" s="1722"/>
      <c r="C249" s="1234">
        <v>1</v>
      </c>
      <c r="D249" s="1255" t="str" cm="1">
        <f t="array" aca="1" ref="D249" ca="1">IF(INDIRECT("'Incentives Worksheet'!H"&amp;'Configurable Tab'!H24+6)=0,"",INDIRECT("'Incentives Worksheet'!H"&amp;'Configurable Tab'!H24+6))</f>
        <v/>
      </c>
      <c r="E249" s="1280" t="str" cm="1">
        <f t="array" aca="1" ref="E249" ca="1">IF(INDIRECT("'Incentives Worksheet'!J"&amp;'Configurable Tab'!H24+6)=0,"",INDIRECT("'Incentives Worksheet'!J"&amp;'Configurable Tab'!H24+6))</f>
        <v/>
      </c>
      <c r="F249" s="1257" t="str" cm="1">
        <f t="array" aca="1" ref="F249" ca="1">IF(INDIRECT("'Incentives Worksheet'!L"&amp;'Configurable Tab'!H24+6)=0,"",INDIRECT("'Incentives Worksheet'!L"&amp;'Configurable Tab'!H24+6))</f>
        <v/>
      </c>
      <c r="G249" s="1188"/>
      <c r="H249" s="1188"/>
      <c r="I249" s="1188"/>
      <c r="J249" s="1188"/>
      <c r="K249" s="1188"/>
      <c r="L249" s="1188"/>
      <c r="M249" s="1188"/>
      <c r="N249" s="1188"/>
      <c r="O249" s="1188"/>
      <c r="P249" s="1188"/>
      <c r="Q249" s="1189"/>
      <c r="R249" s="1296"/>
      <c r="S249" s="1296"/>
      <c r="T249" s="1296"/>
      <c r="U249" s="1296"/>
      <c r="V249" s="1296"/>
      <c r="W249" s="1296"/>
      <c r="X249" s="1296"/>
      <c r="Y249" s="1296"/>
      <c r="Z249" s="1296"/>
      <c r="AA249" s="1296"/>
      <c r="AB249" s="1296"/>
      <c r="AC249" s="1296"/>
      <c r="AD249" s="1296"/>
      <c r="AE249" s="1296"/>
      <c r="AF249" s="1296"/>
      <c r="AG249" s="1296"/>
      <c r="AH249" s="1296"/>
      <c r="AI249" s="1296"/>
      <c r="AJ249" s="1296"/>
      <c r="AK249" s="1296"/>
      <c r="AL249" s="1296"/>
      <c r="AM249" s="1296"/>
      <c r="AN249" s="1296"/>
      <c r="AO249" s="1296"/>
      <c r="AP249" s="1296"/>
      <c r="AQ249" s="1296"/>
      <c r="AR249" s="1296"/>
      <c r="AS249" s="1296"/>
      <c r="AT249" s="1296"/>
      <c r="AU249" s="1296"/>
      <c r="AV249" s="1296"/>
      <c r="AW249" s="1296"/>
      <c r="AX249" s="1296"/>
      <c r="AY249" s="1296"/>
      <c r="AZ249" s="1296"/>
      <c r="BA249" s="1296"/>
      <c r="BB249" s="1296"/>
      <c r="BC249" s="1296"/>
      <c r="BD249" s="1296"/>
      <c r="BE249" s="1296"/>
      <c r="BF249" s="1296"/>
      <c r="BG249" s="1296"/>
      <c r="BH249" s="1296"/>
      <c r="BI249" s="1296"/>
      <c r="BJ249" s="1296"/>
      <c r="BK249" s="1296"/>
      <c r="BL249" s="1296"/>
      <c r="BM249" s="1296"/>
      <c r="BN249" s="1296"/>
      <c r="BO249" s="1296"/>
      <c r="BP249" s="1296"/>
      <c r="BQ249" s="1296"/>
      <c r="BR249" s="1296"/>
      <c r="BS249" s="1296"/>
      <c r="BT249" s="1296"/>
      <c r="BU249" s="1296"/>
      <c r="BV249" s="1296"/>
      <c r="BW249" s="1296"/>
      <c r="BX249" s="1296"/>
      <c r="BY249" s="1296"/>
      <c r="BZ249" s="1296"/>
      <c r="CA249" s="1296"/>
      <c r="CB249" s="1296"/>
      <c r="CC249" s="1296"/>
      <c r="CD249" s="1296"/>
      <c r="CE249" s="1296"/>
      <c r="CF249" s="1296"/>
      <c r="CG249" s="1296"/>
      <c r="CH249" s="1296"/>
      <c r="CI249" s="1296"/>
      <c r="CJ249" s="1296"/>
      <c r="CK249" s="1296"/>
    </row>
    <row r="250" spans="1:89" ht="15.75" thickBot="1" x14ac:dyDescent="0.3">
      <c r="A250" s="1296"/>
      <c r="B250" s="1719" t="s">
        <v>1842</v>
      </c>
      <c r="C250" s="1241" t="s">
        <v>1843</v>
      </c>
      <c r="D250" s="1242" t="s">
        <v>131</v>
      </c>
      <c r="E250" s="1242" t="s">
        <v>1844</v>
      </c>
      <c r="F250" s="1296"/>
      <c r="G250" s="1296"/>
      <c r="H250" s="1296"/>
      <c r="I250" s="1296"/>
      <c r="J250" s="1296"/>
      <c r="K250" s="1296"/>
      <c r="L250" s="1296"/>
      <c r="M250" s="1296"/>
      <c r="N250" s="1296"/>
      <c r="O250" s="1296"/>
      <c r="P250" s="1296"/>
      <c r="Q250" s="138"/>
      <c r="R250" s="1296"/>
      <c r="S250" s="1296"/>
      <c r="T250" s="1296"/>
      <c r="U250" s="1296"/>
      <c r="V250" s="1296"/>
      <c r="W250" s="1296"/>
      <c r="X250" s="1296"/>
      <c r="Y250" s="1296"/>
      <c r="Z250" s="1296"/>
      <c r="AA250" s="1296"/>
      <c r="AB250" s="1296"/>
      <c r="AC250" s="1296"/>
      <c r="AD250" s="1296"/>
      <c r="AE250" s="1296"/>
      <c r="AF250" s="1296"/>
      <c r="AG250" s="1296"/>
      <c r="AH250" s="1296"/>
      <c r="AI250" s="1296"/>
      <c r="AJ250" s="1296"/>
      <c r="AK250" s="1296"/>
      <c r="AL250" s="1296"/>
      <c r="AM250" s="1296"/>
      <c r="AN250" s="1296"/>
      <c r="AO250" s="1296"/>
      <c r="AP250" s="1296"/>
      <c r="AQ250" s="1296"/>
      <c r="AR250" s="1296"/>
      <c r="AS250" s="1296"/>
      <c r="AT250" s="1296"/>
      <c r="AU250" s="1296"/>
      <c r="AV250" s="1296"/>
      <c r="AW250" s="1296"/>
      <c r="AX250" s="1296"/>
      <c r="AY250" s="1296"/>
      <c r="AZ250" s="1296"/>
      <c r="BA250" s="1296"/>
      <c r="BB250" s="1296"/>
      <c r="BC250" s="1296"/>
      <c r="BD250" s="1296"/>
      <c r="BE250" s="1296"/>
      <c r="BF250" s="1296"/>
      <c r="BG250" s="1296"/>
      <c r="BH250" s="1296"/>
      <c r="BI250" s="1296"/>
      <c r="BJ250" s="1296"/>
      <c r="BK250" s="1296"/>
      <c r="BL250" s="1296"/>
      <c r="BM250" s="1296"/>
      <c r="BN250" s="1296"/>
      <c r="BO250" s="1296"/>
      <c r="BP250" s="1296"/>
      <c r="BQ250" s="1296"/>
      <c r="BR250" s="1296"/>
      <c r="BS250" s="1296"/>
      <c r="BT250" s="1296"/>
      <c r="BU250" s="1296"/>
      <c r="BV250" s="1296"/>
      <c r="BW250" s="1296"/>
      <c r="BX250" s="1296"/>
      <c r="BY250" s="1296"/>
      <c r="BZ250" s="1296"/>
      <c r="CA250" s="1296"/>
      <c r="CB250" s="1296"/>
      <c r="CC250" s="1296"/>
      <c r="CD250" s="1296"/>
      <c r="CE250" s="1296"/>
      <c r="CF250" s="1296"/>
      <c r="CG250" s="1296"/>
      <c r="CH250" s="1296"/>
      <c r="CI250" s="1296"/>
      <c r="CJ250" s="1296"/>
      <c r="CK250" s="1296"/>
    </row>
    <row r="251" spans="1:89" x14ac:dyDescent="0.25">
      <c r="A251" s="1296"/>
      <c r="B251" s="1726"/>
      <c r="C251" s="1193" t="s">
        <v>1845</v>
      </c>
      <c r="D251" s="1193" t="s">
        <v>1846</v>
      </c>
      <c r="E251" s="1194"/>
      <c r="F251" s="1296"/>
      <c r="G251" s="1296"/>
      <c r="H251" s="1296"/>
      <c r="I251" s="1296"/>
      <c r="J251" s="1296"/>
      <c r="K251" s="1296"/>
      <c r="L251" s="1296"/>
      <c r="M251" s="1296"/>
      <c r="N251" s="1296"/>
      <c r="O251" s="1296"/>
      <c r="P251" s="1296"/>
      <c r="Q251" s="138"/>
      <c r="R251" s="1296"/>
      <c r="S251" s="1296"/>
      <c r="T251" s="1296"/>
      <c r="U251" s="1296"/>
      <c r="V251" s="1296"/>
      <c r="W251" s="1296"/>
      <c r="X251" s="1296"/>
      <c r="Y251" s="1296"/>
      <c r="Z251" s="1296"/>
      <c r="AA251" s="1296"/>
      <c r="AB251" s="1296"/>
      <c r="AC251" s="1296"/>
      <c r="AD251" s="1296"/>
      <c r="AE251" s="1296"/>
      <c r="AF251" s="1296"/>
      <c r="AG251" s="1296"/>
      <c r="AH251" s="1296"/>
      <c r="AI251" s="1296"/>
      <c r="AJ251" s="1296"/>
      <c r="AK251" s="1296"/>
      <c r="AL251" s="1296"/>
      <c r="AM251" s="1296"/>
      <c r="AN251" s="1296"/>
      <c r="AO251" s="1296"/>
      <c r="AP251" s="1296"/>
      <c r="AQ251" s="1296"/>
      <c r="AR251" s="1296"/>
      <c r="AS251" s="1296"/>
      <c r="AT251" s="1296"/>
      <c r="AU251" s="1296"/>
      <c r="AV251" s="1296"/>
      <c r="AW251" s="1296"/>
      <c r="AX251" s="1296"/>
      <c r="AY251" s="1296"/>
      <c r="AZ251" s="1296"/>
      <c r="BA251" s="1296"/>
      <c r="BB251" s="1296"/>
      <c r="BC251" s="1296"/>
      <c r="BD251" s="1296"/>
      <c r="BE251" s="1296"/>
      <c r="BF251" s="1296"/>
      <c r="BG251" s="1296"/>
      <c r="BH251" s="1296"/>
      <c r="BI251" s="1296"/>
      <c r="BJ251" s="1296"/>
      <c r="BK251" s="1296"/>
      <c r="BL251" s="1296"/>
      <c r="BM251" s="1296"/>
      <c r="BN251" s="1296"/>
      <c r="BO251" s="1296"/>
      <c r="BP251" s="1296"/>
      <c r="BQ251" s="1296"/>
      <c r="BR251" s="1296"/>
      <c r="BS251" s="1296"/>
      <c r="BT251" s="1296"/>
      <c r="BU251" s="1296"/>
      <c r="BV251" s="1296"/>
      <c r="BW251" s="1296"/>
      <c r="BX251" s="1296"/>
      <c r="BY251" s="1296"/>
      <c r="BZ251" s="1296"/>
      <c r="CA251" s="1296"/>
      <c r="CB251" s="1296"/>
      <c r="CC251" s="1296"/>
      <c r="CD251" s="1296"/>
      <c r="CE251" s="1296"/>
      <c r="CF251" s="1296"/>
      <c r="CG251" s="1296"/>
      <c r="CH251" s="1296"/>
      <c r="CI251" s="1296"/>
      <c r="CJ251" s="1296"/>
      <c r="CK251" s="1296"/>
    </row>
    <row r="252" spans="1:89" x14ac:dyDescent="0.25">
      <c r="A252" s="1296"/>
      <c r="B252" s="1726"/>
      <c r="C252" s="1195" t="s">
        <v>1845</v>
      </c>
      <c r="D252" s="1195" t="s">
        <v>1847</v>
      </c>
      <c r="E252" s="1196" t="s">
        <v>1848</v>
      </c>
      <c r="F252" s="1296"/>
      <c r="G252" s="1296"/>
      <c r="H252" s="1296"/>
      <c r="I252" s="1296"/>
      <c r="J252" s="1296"/>
      <c r="K252" s="1296"/>
      <c r="L252" s="1296"/>
      <c r="M252" s="1296"/>
      <c r="N252" s="1296"/>
      <c r="O252" s="1296"/>
      <c r="P252" s="1296"/>
      <c r="Q252" s="138"/>
      <c r="R252" s="1296"/>
      <c r="S252" s="1296"/>
      <c r="T252" s="1296"/>
      <c r="U252" s="1296"/>
      <c r="V252" s="1296"/>
      <c r="W252" s="1296"/>
      <c r="X252" s="1296"/>
      <c r="Y252" s="1296"/>
      <c r="Z252" s="1296"/>
      <c r="AA252" s="1296"/>
      <c r="AB252" s="1296"/>
      <c r="AC252" s="1296"/>
      <c r="AD252" s="1296"/>
      <c r="AE252" s="1296"/>
      <c r="AF252" s="1296"/>
      <c r="AG252" s="1296"/>
      <c r="AH252" s="1296"/>
      <c r="AI252" s="1296"/>
      <c r="AJ252" s="1296"/>
      <c r="AK252" s="1296"/>
      <c r="AL252" s="1296"/>
      <c r="AM252" s="1296"/>
      <c r="AN252" s="1296"/>
      <c r="AO252" s="1296"/>
      <c r="AP252" s="1296"/>
      <c r="AQ252" s="1296"/>
      <c r="AR252" s="1296"/>
      <c r="AS252" s="1296"/>
      <c r="AT252" s="1296"/>
      <c r="AU252" s="1296"/>
      <c r="AV252" s="1296"/>
      <c r="AW252" s="1296"/>
      <c r="AX252" s="1296"/>
      <c r="AY252" s="1296"/>
      <c r="AZ252" s="1296"/>
      <c r="BA252" s="1296"/>
      <c r="BB252" s="1296"/>
      <c r="BC252" s="1296"/>
      <c r="BD252" s="1296"/>
      <c r="BE252" s="1296"/>
      <c r="BF252" s="1296"/>
      <c r="BG252" s="1296"/>
      <c r="BH252" s="1296"/>
      <c r="BI252" s="1296"/>
      <c r="BJ252" s="1296"/>
      <c r="BK252" s="1296"/>
      <c r="BL252" s="1296"/>
      <c r="BM252" s="1296"/>
      <c r="BN252" s="1296"/>
      <c r="BO252" s="1296"/>
      <c r="BP252" s="1296"/>
      <c r="BQ252" s="1296"/>
      <c r="BR252" s="1296"/>
      <c r="BS252" s="1296"/>
      <c r="BT252" s="1296"/>
      <c r="BU252" s="1296"/>
      <c r="BV252" s="1296"/>
      <c r="BW252" s="1296"/>
      <c r="BX252" s="1296"/>
      <c r="BY252" s="1296"/>
      <c r="BZ252" s="1296"/>
      <c r="CA252" s="1296"/>
      <c r="CB252" s="1296"/>
      <c r="CC252" s="1296"/>
      <c r="CD252" s="1296"/>
      <c r="CE252" s="1296"/>
      <c r="CF252" s="1296"/>
      <c r="CG252" s="1296"/>
      <c r="CH252" s="1296"/>
      <c r="CI252" s="1296"/>
      <c r="CJ252" s="1296"/>
      <c r="CK252" s="1296"/>
    </row>
    <row r="253" spans="1:89" s="1383" customFormat="1" x14ac:dyDescent="0.25">
      <c r="B253" s="1726"/>
      <c r="C253" s="1195" t="s">
        <v>1845</v>
      </c>
      <c r="D253" s="1195" t="s">
        <v>1849</v>
      </c>
      <c r="E253" s="1196" t="s">
        <v>1718</v>
      </c>
      <c r="Q253" s="138"/>
    </row>
    <row r="254" spans="1:89" s="1383" customFormat="1" x14ac:dyDescent="0.25">
      <c r="B254" s="1726"/>
      <c r="C254" s="1195" t="s">
        <v>1845</v>
      </c>
      <c r="D254" s="1195" t="s">
        <v>1850</v>
      </c>
      <c r="E254" s="1196" t="s">
        <v>1851</v>
      </c>
      <c r="Q254" s="138"/>
    </row>
    <row r="255" spans="1:89" x14ac:dyDescent="0.25">
      <c r="A255" s="1296"/>
      <c r="B255" s="1726"/>
      <c r="C255" s="1195" t="s">
        <v>1856</v>
      </c>
      <c r="D255" s="1195" t="s">
        <v>1903</v>
      </c>
      <c r="E255" s="1196" t="s">
        <v>1904</v>
      </c>
      <c r="F255" s="1296"/>
      <c r="G255" s="1296"/>
      <c r="H255" s="1296"/>
      <c r="I255" s="1296"/>
      <c r="J255" s="1296"/>
      <c r="K255" s="1296"/>
      <c r="L255" s="1296"/>
      <c r="M255" s="1296"/>
      <c r="N255" s="1296"/>
      <c r="O255" s="1296"/>
      <c r="P255" s="1296"/>
      <c r="Q255" s="138"/>
      <c r="R255" s="1296"/>
      <c r="S255" s="1296"/>
      <c r="T255" s="1296"/>
      <c r="U255" s="1296"/>
      <c r="V255" s="1296"/>
      <c r="W255" s="1296"/>
      <c r="X255" s="1296"/>
      <c r="Y255" s="1296"/>
      <c r="Z255" s="1296"/>
      <c r="AA255" s="1296"/>
      <c r="AB255" s="1296"/>
      <c r="AC255" s="1296"/>
      <c r="AD255" s="1296"/>
      <c r="AE255" s="1296"/>
      <c r="AF255" s="1296"/>
      <c r="AG255" s="1296"/>
      <c r="AH255" s="1296"/>
      <c r="AI255" s="1296"/>
      <c r="AJ255" s="1296"/>
      <c r="AK255" s="1296"/>
      <c r="AL255" s="1296"/>
      <c r="AM255" s="1296"/>
      <c r="AN255" s="1296"/>
      <c r="AO255" s="1296"/>
      <c r="AP255" s="1296"/>
      <c r="AQ255" s="1296"/>
      <c r="AR255" s="1296"/>
      <c r="AS255" s="1296"/>
      <c r="AT255" s="1296"/>
      <c r="AU255" s="1296"/>
      <c r="AV255" s="1296"/>
      <c r="AW255" s="1296"/>
      <c r="AX255" s="1296"/>
      <c r="AY255" s="1296"/>
      <c r="AZ255" s="1296"/>
      <c r="BA255" s="1296"/>
      <c r="BB255" s="1296"/>
      <c r="BC255" s="1296"/>
      <c r="BD255" s="1296"/>
      <c r="BE255" s="1296"/>
      <c r="BF255" s="1296"/>
      <c r="BG255" s="1296"/>
      <c r="BH255" s="1296"/>
      <c r="BI255" s="1296"/>
      <c r="BJ255" s="1296"/>
      <c r="BK255" s="1296"/>
      <c r="BL255" s="1296"/>
      <c r="BM255" s="1296"/>
      <c r="BN255" s="1296"/>
      <c r="BO255" s="1296"/>
      <c r="BP255" s="1296"/>
      <c r="BQ255" s="1296"/>
      <c r="BR255" s="1296"/>
      <c r="BS255" s="1296"/>
      <c r="BT255" s="1296"/>
      <c r="BU255" s="1296"/>
      <c r="BV255" s="1296"/>
      <c r="BW255" s="1296"/>
      <c r="BX255" s="1296"/>
      <c r="BY255" s="1296"/>
      <c r="BZ255" s="1296"/>
      <c r="CA255" s="1296"/>
      <c r="CB255" s="1296"/>
      <c r="CC255" s="1296"/>
      <c r="CD255" s="1296"/>
      <c r="CE255" s="1296"/>
      <c r="CF255" s="1296"/>
      <c r="CG255" s="1296"/>
      <c r="CH255" s="1296"/>
      <c r="CI255" s="1296"/>
      <c r="CJ255" s="1296"/>
      <c r="CK255" s="1296"/>
    </row>
    <row r="256" spans="1:89" ht="15.75" thickBot="1" x14ac:dyDescent="0.3">
      <c r="A256" s="1296"/>
      <c r="B256" s="1725"/>
      <c r="C256" s="1197" t="s">
        <v>1856</v>
      </c>
      <c r="D256" s="1197" t="s">
        <v>1903</v>
      </c>
      <c r="E256" s="1198" t="s">
        <v>1905</v>
      </c>
      <c r="F256" s="1296"/>
      <c r="G256" s="1296"/>
      <c r="H256" s="1296"/>
      <c r="I256" s="1296"/>
      <c r="J256" s="1296"/>
      <c r="K256" s="1296"/>
      <c r="L256" s="1296"/>
      <c r="M256" s="1296"/>
      <c r="N256" s="1296"/>
      <c r="O256" s="1296"/>
      <c r="P256" s="1296"/>
      <c r="Q256" s="138"/>
      <c r="R256" s="1296"/>
      <c r="S256" s="1296"/>
      <c r="T256" s="1296"/>
      <c r="U256" s="1296"/>
      <c r="V256" s="1296"/>
      <c r="W256" s="1296"/>
      <c r="X256" s="1296"/>
      <c r="Y256" s="1296"/>
      <c r="Z256" s="1296"/>
      <c r="AA256" s="1296"/>
      <c r="AB256" s="1296"/>
      <c r="AC256" s="1296"/>
      <c r="AD256" s="1296"/>
      <c r="AE256" s="1296"/>
      <c r="AF256" s="1296"/>
      <c r="AG256" s="1296"/>
      <c r="AH256" s="1296"/>
      <c r="AI256" s="1296"/>
      <c r="AJ256" s="1296"/>
      <c r="AK256" s="1296"/>
      <c r="AL256" s="1296"/>
      <c r="AM256" s="1296"/>
      <c r="AN256" s="1296"/>
      <c r="AO256" s="1296"/>
      <c r="AP256" s="1296"/>
      <c r="AQ256" s="1296"/>
      <c r="AR256" s="1296"/>
      <c r="AS256" s="1296"/>
      <c r="AT256" s="1296"/>
      <c r="AU256" s="1296"/>
      <c r="AV256" s="1296"/>
      <c r="AW256" s="1296"/>
      <c r="AX256" s="1296"/>
      <c r="AY256" s="1296"/>
      <c r="AZ256" s="1296"/>
      <c r="BA256" s="1296"/>
      <c r="BB256" s="1296"/>
      <c r="BC256" s="1296"/>
      <c r="BD256" s="1296"/>
      <c r="BE256" s="1296"/>
      <c r="BF256" s="1296"/>
      <c r="BG256" s="1296"/>
      <c r="BH256" s="1296"/>
      <c r="BI256" s="1296"/>
      <c r="BJ256" s="1296"/>
      <c r="BK256" s="1296"/>
      <c r="BL256" s="1296"/>
      <c r="BM256" s="1296"/>
      <c r="BN256" s="1296"/>
      <c r="BO256" s="1296"/>
      <c r="BP256" s="1296"/>
      <c r="BQ256" s="1296"/>
      <c r="BR256" s="1296"/>
      <c r="BS256" s="1296"/>
      <c r="BT256" s="1296"/>
      <c r="BU256" s="1296"/>
      <c r="BV256" s="1296"/>
      <c r="BW256" s="1296"/>
      <c r="BX256" s="1296"/>
      <c r="BY256" s="1296"/>
      <c r="BZ256" s="1296"/>
      <c r="CA256" s="1296"/>
      <c r="CB256" s="1296"/>
      <c r="CC256" s="1296"/>
      <c r="CD256" s="1296"/>
      <c r="CE256" s="1296"/>
      <c r="CF256" s="1296"/>
      <c r="CG256" s="1296"/>
      <c r="CH256" s="1296"/>
      <c r="CI256" s="1296"/>
      <c r="CJ256" s="1296"/>
      <c r="CK256" s="1296"/>
    </row>
    <row r="257" spans="1:89" ht="15.75" thickBot="1" x14ac:dyDescent="0.3">
      <c r="A257" s="1296"/>
      <c r="B257" s="1719" t="s">
        <v>1852</v>
      </c>
      <c r="C257" s="1258" t="s">
        <v>1853</v>
      </c>
      <c r="D257" s="1200" t="s">
        <v>1843</v>
      </c>
      <c r="E257" s="1200" t="s">
        <v>131</v>
      </c>
      <c r="F257" s="1200" t="s">
        <v>1844</v>
      </c>
      <c r="G257" s="1200" t="s">
        <v>1854</v>
      </c>
      <c r="H257" s="1201" t="s">
        <v>1855</v>
      </c>
      <c r="I257" s="1202" t="s">
        <v>767</v>
      </c>
      <c r="J257" s="1202" t="s">
        <v>768</v>
      </c>
      <c r="K257" s="1202" t="s">
        <v>769</v>
      </c>
      <c r="L257" s="1202" t="s">
        <v>770</v>
      </c>
      <c r="M257" s="1202" t="s">
        <v>204</v>
      </c>
      <c r="N257" s="1296"/>
      <c r="O257" s="1296"/>
      <c r="P257" s="1296"/>
      <c r="Q257" s="138"/>
      <c r="R257" s="1296"/>
      <c r="S257" s="1296"/>
      <c r="T257" s="1296"/>
      <c r="U257" s="1296"/>
      <c r="V257" s="1296"/>
      <c r="W257" s="1296"/>
      <c r="X257" s="1296"/>
      <c r="Y257" s="1296"/>
      <c r="Z257" s="1296"/>
      <c r="AA257" s="1296"/>
      <c r="AB257" s="1296"/>
      <c r="AC257" s="1296"/>
      <c r="AD257" s="1296"/>
      <c r="AE257" s="1296"/>
      <c r="AF257" s="1296"/>
      <c r="AG257" s="1296"/>
      <c r="AH257" s="1296"/>
      <c r="AI257" s="1296"/>
      <c r="AJ257" s="1296"/>
      <c r="AK257" s="1296"/>
      <c r="AL257" s="1296"/>
      <c r="AM257" s="1296"/>
      <c r="AN257" s="1296"/>
      <c r="AO257" s="1296"/>
      <c r="AP257" s="1296"/>
      <c r="AQ257" s="1296"/>
      <c r="AR257" s="1296"/>
      <c r="AS257" s="1296"/>
      <c r="AT257" s="1296"/>
      <c r="AU257" s="1296"/>
      <c r="AV257" s="1296"/>
      <c r="AW257" s="1296"/>
      <c r="AX257" s="1296"/>
      <c r="AY257" s="1296"/>
      <c r="AZ257" s="1296"/>
      <c r="BA257" s="1296"/>
      <c r="BB257" s="1296"/>
      <c r="BC257" s="1296"/>
      <c r="BD257" s="1296"/>
      <c r="BE257" s="1296"/>
      <c r="BF257" s="1296"/>
      <c r="BG257" s="1296"/>
      <c r="BH257" s="1296"/>
      <c r="BI257" s="1296"/>
      <c r="BJ257" s="1296"/>
      <c r="BK257" s="1296"/>
      <c r="BL257" s="1296"/>
      <c r="BM257" s="1296"/>
      <c r="BN257" s="1296"/>
      <c r="BO257" s="1296"/>
      <c r="BP257" s="1296"/>
      <c r="BQ257" s="1296"/>
      <c r="BR257" s="1296"/>
      <c r="BS257" s="1296"/>
      <c r="BT257" s="1296"/>
      <c r="BU257" s="1296"/>
      <c r="BV257" s="1296"/>
      <c r="BW257" s="1296"/>
      <c r="BX257" s="1296"/>
      <c r="BY257" s="1296"/>
      <c r="BZ257" s="1296"/>
      <c r="CA257" s="1296"/>
      <c r="CB257" s="1296"/>
      <c r="CC257" s="1296"/>
      <c r="CD257" s="1296"/>
      <c r="CE257" s="1296"/>
      <c r="CF257" s="1296"/>
      <c r="CG257" s="1296"/>
      <c r="CH257" s="1296"/>
      <c r="CI257" s="1296"/>
      <c r="CJ257" s="1296"/>
      <c r="CK257" s="1296"/>
    </row>
    <row r="258" spans="1:89" x14ac:dyDescent="0.25">
      <c r="A258" s="1296"/>
      <c r="B258" s="1721"/>
      <c r="C258" s="1199">
        <v>1</v>
      </c>
      <c r="D258" s="1196" t="s">
        <v>1856</v>
      </c>
      <c r="E258" s="1196" t="s">
        <v>1444</v>
      </c>
      <c r="F258" s="1204" t="str">
        <f>'Required Info to Submit'!E23</f>
        <v/>
      </c>
      <c r="G258" s="1400" t="str">
        <f>IF(F258="","",'Required Info to Submit'!K23)</f>
        <v/>
      </c>
      <c r="H258" s="1401" t="str">
        <f>IF(F258="","",'Required Info to Submit'!L23)</f>
        <v/>
      </c>
      <c r="I258" s="1204" t="str">
        <f>'Required Info to Submit'!F23</f>
        <v/>
      </c>
      <c r="J258" s="1204" t="str">
        <f>'Required Info to Submit'!G23</f>
        <v/>
      </c>
      <c r="K258" s="1204" t="str">
        <f>'Required Info to Submit'!H23</f>
        <v/>
      </c>
      <c r="L258" s="1204" t="str">
        <f>'Required Info to Submit'!I23</f>
        <v/>
      </c>
      <c r="M258" s="1204" t="str">
        <f>'Required Info to Submit'!J23</f>
        <v/>
      </c>
      <c r="N258" s="1296"/>
      <c r="O258" s="1296"/>
      <c r="P258" s="1296"/>
      <c r="Q258" s="138"/>
      <c r="R258" s="1296"/>
      <c r="S258" s="1296"/>
      <c r="T258" s="1296"/>
      <c r="U258" s="1296"/>
      <c r="V258" s="1296"/>
      <c r="W258" s="1296"/>
      <c r="X258" s="1296"/>
      <c r="Y258" s="1296"/>
      <c r="Z258" s="1296"/>
      <c r="AA258" s="1296"/>
      <c r="AB258" s="1296"/>
      <c r="AC258" s="1296"/>
      <c r="AD258" s="1296"/>
      <c r="AE258" s="1296"/>
      <c r="AF258" s="1296"/>
      <c r="AG258" s="1296"/>
      <c r="AH258" s="1296"/>
      <c r="AI258" s="1296"/>
      <c r="AJ258" s="1296"/>
      <c r="AK258" s="1296"/>
      <c r="AL258" s="1296"/>
      <c r="AM258" s="1296"/>
      <c r="AN258" s="1296"/>
      <c r="AO258" s="1296"/>
      <c r="AP258" s="1296"/>
      <c r="AQ258" s="1296"/>
      <c r="AR258" s="1296"/>
      <c r="AS258" s="1296"/>
      <c r="AT258" s="1296"/>
      <c r="AU258" s="1296"/>
      <c r="AV258" s="1296"/>
      <c r="AW258" s="1296"/>
      <c r="AX258" s="1296"/>
      <c r="AY258" s="1296"/>
      <c r="AZ258" s="1296"/>
      <c r="BA258" s="1296"/>
      <c r="BB258" s="1296"/>
      <c r="BC258" s="1296"/>
      <c r="BD258" s="1296"/>
      <c r="BE258" s="1296"/>
      <c r="BF258" s="1296"/>
      <c r="BG258" s="1296"/>
      <c r="BH258" s="1296"/>
      <c r="BI258" s="1296"/>
      <c r="BJ258" s="1296"/>
      <c r="BK258" s="1296"/>
      <c r="BL258" s="1296"/>
      <c r="BM258" s="1296"/>
      <c r="BN258" s="1296"/>
      <c r="BO258" s="1296"/>
      <c r="BP258" s="1296"/>
      <c r="BQ258" s="1296"/>
      <c r="BR258" s="1296"/>
      <c r="BS258" s="1296"/>
      <c r="BT258" s="1296"/>
      <c r="BU258" s="1296"/>
      <c r="BV258" s="1296"/>
      <c r="BW258" s="1296"/>
      <c r="BX258" s="1296"/>
      <c r="BY258" s="1296"/>
      <c r="BZ258" s="1296"/>
      <c r="CA258" s="1296"/>
      <c r="CB258" s="1296"/>
      <c r="CC258" s="1296"/>
      <c r="CD258" s="1296"/>
      <c r="CE258" s="1296"/>
      <c r="CF258" s="1296"/>
      <c r="CG258" s="1296"/>
      <c r="CH258" s="1296"/>
      <c r="CI258" s="1296"/>
      <c r="CJ258" s="1296"/>
      <c r="CK258" s="1296"/>
    </row>
    <row r="259" spans="1:89" x14ac:dyDescent="0.25">
      <c r="A259" s="1296"/>
      <c r="B259" s="1721"/>
      <c r="C259" s="1205">
        <v>2</v>
      </c>
      <c r="D259" s="1196" t="s">
        <v>1856</v>
      </c>
      <c r="E259" s="1196" t="s">
        <v>1444</v>
      </c>
      <c r="F259" s="1204" t="str">
        <f>'Required Info to Submit'!E24</f>
        <v/>
      </c>
      <c r="G259" s="1400" t="str">
        <f>IF(F259="","",'Required Info to Submit'!K24)</f>
        <v/>
      </c>
      <c r="H259" s="1401" t="str">
        <f>IF(F259="","",'Required Info to Submit'!L24)</f>
        <v/>
      </c>
      <c r="I259" s="1204" t="str">
        <f>'Required Info to Submit'!F24</f>
        <v/>
      </c>
      <c r="J259" s="1204" t="str">
        <f>'Required Info to Submit'!G24</f>
        <v/>
      </c>
      <c r="K259" s="1204" t="str">
        <f>'Required Info to Submit'!H24</f>
        <v/>
      </c>
      <c r="L259" s="1204" t="str">
        <f>'Required Info to Submit'!I24</f>
        <v/>
      </c>
      <c r="M259" s="1204" t="str">
        <f>'Required Info to Submit'!J24</f>
        <v/>
      </c>
      <c r="N259" s="1296"/>
      <c r="O259" s="1296"/>
      <c r="P259" s="1296"/>
      <c r="Q259" s="138"/>
      <c r="R259" s="1296"/>
      <c r="S259" s="1296"/>
      <c r="T259" s="1296"/>
      <c r="U259" s="1296"/>
      <c r="V259" s="1296"/>
      <c r="W259" s="1296"/>
      <c r="X259" s="1296"/>
      <c r="Y259" s="1296"/>
      <c r="Z259" s="1296"/>
      <c r="AA259" s="1296"/>
      <c r="AB259" s="1296"/>
      <c r="AC259" s="1296"/>
      <c r="AD259" s="1296"/>
      <c r="AE259" s="1296"/>
      <c r="AF259" s="1296"/>
      <c r="AG259" s="1296"/>
      <c r="AH259" s="1296"/>
      <c r="AI259" s="1296"/>
      <c r="AJ259" s="1296"/>
      <c r="AK259" s="1296"/>
      <c r="AL259" s="1296"/>
      <c r="AM259" s="1296"/>
      <c r="AN259" s="1296"/>
      <c r="AO259" s="1296"/>
      <c r="AP259" s="1296"/>
      <c r="AQ259" s="1296"/>
      <c r="AR259" s="1296"/>
      <c r="AS259" s="1296"/>
      <c r="AT259" s="1296"/>
      <c r="AU259" s="1296"/>
      <c r="AV259" s="1296"/>
      <c r="AW259" s="1296"/>
      <c r="AX259" s="1296"/>
      <c r="AY259" s="1296"/>
      <c r="AZ259" s="1296"/>
      <c r="BA259" s="1296"/>
      <c r="BB259" s="1296"/>
      <c r="BC259" s="1296"/>
      <c r="BD259" s="1296"/>
      <c r="BE259" s="1296"/>
      <c r="BF259" s="1296"/>
      <c r="BG259" s="1296"/>
      <c r="BH259" s="1296"/>
      <c r="BI259" s="1296"/>
      <c r="BJ259" s="1296"/>
      <c r="BK259" s="1296"/>
      <c r="BL259" s="1296"/>
      <c r="BM259" s="1296"/>
      <c r="BN259" s="1296"/>
      <c r="BO259" s="1296"/>
      <c r="BP259" s="1296"/>
      <c r="BQ259" s="1296"/>
      <c r="BR259" s="1296"/>
      <c r="BS259" s="1296"/>
      <c r="BT259" s="1296"/>
      <c r="BU259" s="1296"/>
      <c r="BV259" s="1296"/>
      <c r="BW259" s="1296"/>
      <c r="BX259" s="1296"/>
      <c r="BY259" s="1296"/>
      <c r="BZ259" s="1296"/>
      <c r="CA259" s="1296"/>
      <c r="CB259" s="1296"/>
      <c r="CC259" s="1296"/>
      <c r="CD259" s="1296"/>
      <c r="CE259" s="1296"/>
      <c r="CF259" s="1296"/>
      <c r="CG259" s="1296"/>
      <c r="CH259" s="1296"/>
      <c r="CI259" s="1296"/>
      <c r="CJ259" s="1296"/>
      <c r="CK259" s="1296"/>
    </row>
    <row r="260" spans="1:89" x14ac:dyDescent="0.25">
      <c r="A260" s="1296"/>
      <c r="B260" s="1721"/>
      <c r="C260" s="1205">
        <v>3</v>
      </c>
      <c r="D260" s="1196" t="s">
        <v>1856</v>
      </c>
      <c r="E260" s="1196" t="s">
        <v>1444</v>
      </c>
      <c r="F260" s="1204" t="str">
        <f>'Required Info to Submit'!E25</f>
        <v/>
      </c>
      <c r="G260" s="1400" t="str">
        <f>IF(F260="","",'Required Info to Submit'!K25)</f>
        <v/>
      </c>
      <c r="H260" s="1401" t="str">
        <f>IF(F260="","",'Required Info to Submit'!L25)</f>
        <v/>
      </c>
      <c r="I260" s="1204" t="str">
        <f>'Required Info to Submit'!F25</f>
        <v/>
      </c>
      <c r="J260" s="1204" t="str">
        <f>'Required Info to Submit'!G25</f>
        <v/>
      </c>
      <c r="K260" s="1204" t="str">
        <f>'Required Info to Submit'!H25</f>
        <v/>
      </c>
      <c r="L260" s="1204" t="str">
        <f>'Required Info to Submit'!I25</f>
        <v/>
      </c>
      <c r="M260" s="1204" t="str">
        <f>'Required Info to Submit'!J25</f>
        <v/>
      </c>
      <c r="N260" s="1296"/>
      <c r="O260" s="1296"/>
      <c r="P260" s="1296"/>
      <c r="Q260" s="138"/>
      <c r="R260" s="1296"/>
      <c r="S260" s="1296"/>
      <c r="T260" s="1296"/>
      <c r="U260" s="1296"/>
      <c r="V260" s="1296"/>
      <c r="W260" s="1296"/>
      <c r="X260" s="1296"/>
      <c r="Y260" s="1296"/>
      <c r="Z260" s="1296"/>
      <c r="AA260" s="1296"/>
      <c r="AB260" s="1296"/>
      <c r="AC260" s="1296"/>
      <c r="AD260" s="1296"/>
      <c r="AE260" s="1296"/>
      <c r="AF260" s="1296"/>
      <c r="AG260" s="1296"/>
      <c r="AH260" s="1296"/>
      <c r="AI260" s="1296"/>
      <c r="AJ260" s="1296"/>
      <c r="AK260" s="1296"/>
      <c r="AL260" s="1296"/>
      <c r="AM260" s="1296"/>
      <c r="AN260" s="1296"/>
      <c r="AO260" s="1296"/>
      <c r="AP260" s="1296"/>
      <c r="AQ260" s="1296"/>
      <c r="AR260" s="1296"/>
      <c r="AS260" s="1296"/>
      <c r="AT260" s="1296"/>
      <c r="AU260" s="1296"/>
      <c r="AV260" s="1296"/>
      <c r="AW260" s="1296"/>
      <c r="AX260" s="1296"/>
      <c r="AY260" s="1296"/>
      <c r="AZ260" s="1296"/>
      <c r="BA260" s="1296"/>
      <c r="BB260" s="1296"/>
      <c r="BC260" s="1296"/>
      <c r="BD260" s="1296"/>
      <c r="BE260" s="1296"/>
      <c r="BF260" s="1296"/>
      <c r="BG260" s="1296"/>
      <c r="BH260" s="1296"/>
      <c r="BI260" s="1296"/>
      <c r="BJ260" s="1296"/>
      <c r="BK260" s="1296"/>
      <c r="BL260" s="1296"/>
      <c r="BM260" s="1296"/>
      <c r="BN260" s="1296"/>
      <c r="BO260" s="1296"/>
      <c r="BP260" s="1296"/>
      <c r="BQ260" s="1296"/>
      <c r="BR260" s="1296"/>
      <c r="BS260" s="1296"/>
      <c r="BT260" s="1296"/>
      <c r="BU260" s="1296"/>
      <c r="BV260" s="1296"/>
      <c r="BW260" s="1296"/>
      <c r="BX260" s="1296"/>
      <c r="BY260" s="1296"/>
      <c r="BZ260" s="1296"/>
      <c r="CA260" s="1296"/>
      <c r="CB260" s="1296"/>
      <c r="CC260" s="1296"/>
      <c r="CD260" s="1296"/>
      <c r="CE260" s="1296"/>
      <c r="CF260" s="1296"/>
      <c r="CG260" s="1296"/>
      <c r="CH260" s="1296"/>
      <c r="CI260" s="1296"/>
      <c r="CJ260" s="1296"/>
      <c r="CK260" s="1296"/>
    </row>
    <row r="261" spans="1:89" x14ac:dyDescent="0.25">
      <c r="A261" s="1296"/>
      <c r="B261" s="1721"/>
      <c r="C261" s="1205">
        <v>4</v>
      </c>
      <c r="D261" s="1196" t="s">
        <v>1856</v>
      </c>
      <c r="E261" s="1196" t="s">
        <v>1444</v>
      </c>
      <c r="F261" s="1204" t="str">
        <f>'Required Info to Submit'!E26</f>
        <v/>
      </c>
      <c r="G261" s="1400" t="str">
        <f>IF(F261="","",'Required Info to Submit'!K26)</f>
        <v/>
      </c>
      <c r="H261" s="1401" t="str">
        <f>IF(F261="","",'Required Info to Submit'!L26)</f>
        <v/>
      </c>
      <c r="I261" s="1204" t="str">
        <f>'Required Info to Submit'!F26</f>
        <v/>
      </c>
      <c r="J261" s="1204" t="str">
        <f>'Required Info to Submit'!G26</f>
        <v/>
      </c>
      <c r="K261" s="1204" t="str">
        <f>'Required Info to Submit'!H26</f>
        <v/>
      </c>
      <c r="L261" s="1204" t="str">
        <f>'Required Info to Submit'!I26</f>
        <v/>
      </c>
      <c r="M261" s="1204" t="str">
        <f>'Required Info to Submit'!J26</f>
        <v/>
      </c>
      <c r="N261" s="1296"/>
      <c r="O261" s="1296"/>
      <c r="P261" s="1296"/>
      <c r="Q261" s="138"/>
      <c r="R261" s="1296"/>
      <c r="S261" s="1296"/>
      <c r="T261" s="1296"/>
      <c r="U261" s="1296"/>
      <c r="V261" s="1296"/>
      <c r="W261" s="1296"/>
      <c r="X261" s="1296"/>
      <c r="Y261" s="1296"/>
      <c r="Z261" s="1296"/>
      <c r="AA261" s="1296"/>
      <c r="AB261" s="1296"/>
      <c r="AC261" s="1296"/>
      <c r="AD261" s="1296"/>
      <c r="AE261" s="1296"/>
      <c r="AF261" s="1296"/>
      <c r="AG261" s="1296"/>
      <c r="AH261" s="1296"/>
      <c r="AI261" s="1296"/>
      <c r="AJ261" s="1296"/>
      <c r="AK261" s="1296"/>
      <c r="AL261" s="1296"/>
      <c r="AM261" s="1296"/>
      <c r="AN261" s="1296"/>
      <c r="AO261" s="1296"/>
      <c r="AP261" s="1296"/>
      <c r="AQ261" s="1296"/>
      <c r="AR261" s="1296"/>
      <c r="AS261" s="1296"/>
      <c r="AT261" s="1296"/>
      <c r="AU261" s="1296"/>
      <c r="AV261" s="1296"/>
      <c r="AW261" s="1296"/>
      <c r="AX261" s="1296"/>
      <c r="AY261" s="1296"/>
      <c r="AZ261" s="1296"/>
      <c r="BA261" s="1296"/>
      <c r="BB261" s="1296"/>
      <c r="BC261" s="1296"/>
      <c r="BD261" s="1296"/>
      <c r="BE261" s="1296"/>
      <c r="BF261" s="1296"/>
      <c r="BG261" s="1296"/>
      <c r="BH261" s="1296"/>
      <c r="BI261" s="1296"/>
      <c r="BJ261" s="1296"/>
      <c r="BK261" s="1296"/>
      <c r="BL261" s="1296"/>
      <c r="BM261" s="1296"/>
      <c r="BN261" s="1296"/>
      <c r="BO261" s="1296"/>
      <c r="BP261" s="1296"/>
      <c r="BQ261" s="1296"/>
      <c r="BR261" s="1296"/>
      <c r="BS261" s="1296"/>
      <c r="BT261" s="1296"/>
      <c r="BU261" s="1296"/>
      <c r="BV261" s="1296"/>
      <c r="BW261" s="1296"/>
      <c r="BX261" s="1296"/>
      <c r="BY261" s="1296"/>
      <c r="BZ261" s="1296"/>
      <c r="CA261" s="1296"/>
      <c r="CB261" s="1296"/>
      <c r="CC261" s="1296"/>
      <c r="CD261" s="1296"/>
      <c r="CE261" s="1296"/>
      <c r="CF261" s="1296"/>
      <c r="CG261" s="1296"/>
      <c r="CH261" s="1296"/>
      <c r="CI261" s="1296"/>
      <c r="CJ261" s="1296"/>
      <c r="CK261" s="1296"/>
    </row>
    <row r="262" spans="1:89" x14ac:dyDescent="0.25">
      <c r="A262" s="1296"/>
      <c r="B262" s="1721"/>
      <c r="C262" s="1205">
        <v>5</v>
      </c>
      <c r="D262" s="1196" t="s">
        <v>1856</v>
      </c>
      <c r="E262" s="1196" t="s">
        <v>1444</v>
      </c>
      <c r="F262" s="1204" t="str">
        <f>'Required Info to Submit'!E27</f>
        <v/>
      </c>
      <c r="G262" s="1400" t="str">
        <f>IF(F262="","",'Required Info to Submit'!K27)</f>
        <v/>
      </c>
      <c r="H262" s="1401" t="str">
        <f>IF(F262="","",'Required Info to Submit'!L27)</f>
        <v/>
      </c>
      <c r="I262" s="1204" t="str">
        <f>'Required Info to Submit'!F27</f>
        <v/>
      </c>
      <c r="J262" s="1204" t="str">
        <f>'Required Info to Submit'!G27</f>
        <v/>
      </c>
      <c r="K262" s="1204" t="str">
        <f>'Required Info to Submit'!H27</f>
        <v/>
      </c>
      <c r="L262" s="1204" t="str">
        <f>'Required Info to Submit'!I27</f>
        <v/>
      </c>
      <c r="M262" s="1204" t="str">
        <f>'Required Info to Submit'!J27</f>
        <v/>
      </c>
      <c r="N262" s="1296"/>
      <c r="O262" s="1296"/>
      <c r="P262" s="1296"/>
      <c r="Q262" s="138"/>
      <c r="R262" s="1296"/>
      <c r="S262" s="1296"/>
      <c r="T262" s="1296"/>
      <c r="U262" s="1296"/>
      <c r="V262" s="1296"/>
      <c r="W262" s="1296"/>
      <c r="X262" s="1296"/>
      <c r="Y262" s="1296"/>
      <c r="Z262" s="1296"/>
      <c r="AA262" s="1296"/>
      <c r="AB262" s="1296"/>
      <c r="AC262" s="1296"/>
      <c r="AD262" s="1296"/>
      <c r="AE262" s="1296"/>
      <c r="AF262" s="1296"/>
      <c r="AG262" s="1296"/>
      <c r="AH262" s="1296"/>
      <c r="AI262" s="1296"/>
      <c r="AJ262" s="1296"/>
      <c r="AK262" s="1296"/>
      <c r="AL262" s="1296"/>
      <c r="AM262" s="1296"/>
      <c r="AN262" s="1296"/>
      <c r="AO262" s="1296"/>
      <c r="AP262" s="1296"/>
      <c r="AQ262" s="1296"/>
      <c r="AR262" s="1296"/>
      <c r="AS262" s="1296"/>
      <c r="AT262" s="1296"/>
      <c r="AU262" s="1296"/>
      <c r="AV262" s="1296"/>
      <c r="AW262" s="1296"/>
      <c r="AX262" s="1296"/>
      <c r="AY262" s="1296"/>
      <c r="AZ262" s="1296"/>
      <c r="BA262" s="1296"/>
      <c r="BB262" s="1296"/>
      <c r="BC262" s="1296"/>
      <c r="BD262" s="1296"/>
      <c r="BE262" s="1296"/>
      <c r="BF262" s="1296"/>
      <c r="BG262" s="1296"/>
      <c r="BH262" s="1296"/>
      <c r="BI262" s="1296"/>
      <c r="BJ262" s="1296"/>
      <c r="BK262" s="1296"/>
      <c r="BL262" s="1296"/>
      <c r="BM262" s="1296"/>
      <c r="BN262" s="1296"/>
      <c r="BO262" s="1296"/>
      <c r="BP262" s="1296"/>
      <c r="BQ262" s="1296"/>
      <c r="BR262" s="1296"/>
      <c r="BS262" s="1296"/>
      <c r="BT262" s="1296"/>
      <c r="BU262" s="1296"/>
      <c r="BV262" s="1296"/>
      <c r="BW262" s="1296"/>
      <c r="BX262" s="1296"/>
      <c r="BY262" s="1296"/>
      <c r="BZ262" s="1296"/>
      <c r="CA262" s="1296"/>
      <c r="CB262" s="1296"/>
      <c r="CC262" s="1296"/>
      <c r="CD262" s="1296"/>
      <c r="CE262" s="1296"/>
      <c r="CF262" s="1296"/>
      <c r="CG262" s="1296"/>
      <c r="CH262" s="1296"/>
      <c r="CI262" s="1296"/>
      <c r="CJ262" s="1296"/>
      <c r="CK262" s="1296"/>
    </row>
    <row r="263" spans="1:89" x14ac:dyDescent="0.25">
      <c r="A263" s="1296"/>
      <c r="B263" s="1721"/>
      <c r="C263" s="1205">
        <v>6</v>
      </c>
      <c r="D263" s="1196" t="s">
        <v>1856</v>
      </c>
      <c r="E263" s="1196" t="s">
        <v>1444</v>
      </c>
      <c r="F263" s="1204" t="str">
        <f>'Required Info to Submit'!E28</f>
        <v/>
      </c>
      <c r="G263" s="1400" t="str">
        <f>IF(F263="","",'Required Info to Submit'!K28)</f>
        <v/>
      </c>
      <c r="H263" s="1401" t="str">
        <f>IF(F263="","",'Required Info to Submit'!L28)</f>
        <v/>
      </c>
      <c r="I263" s="1204" t="str">
        <f>'Required Info to Submit'!F28</f>
        <v/>
      </c>
      <c r="J263" s="1204" t="str">
        <f>'Required Info to Submit'!G28</f>
        <v/>
      </c>
      <c r="K263" s="1204" t="str">
        <f>'Required Info to Submit'!H28</f>
        <v/>
      </c>
      <c r="L263" s="1204" t="str">
        <f>'Required Info to Submit'!I28</f>
        <v/>
      </c>
      <c r="M263" s="1204" t="str">
        <f>'Required Info to Submit'!J28</f>
        <v/>
      </c>
      <c r="N263" s="1296"/>
      <c r="O263" s="1296"/>
      <c r="P263" s="1296"/>
      <c r="Q263" s="138"/>
      <c r="R263" s="1296"/>
      <c r="S263" s="1296"/>
      <c r="T263" s="1296"/>
      <c r="U263" s="1296"/>
      <c r="V263" s="1296"/>
      <c r="W263" s="1296"/>
      <c r="X263" s="1296"/>
      <c r="Y263" s="1296"/>
      <c r="Z263" s="1296"/>
      <c r="AA263" s="1296"/>
      <c r="AB263" s="1296"/>
      <c r="AC263" s="1296"/>
      <c r="AD263" s="1296"/>
      <c r="AE263" s="1296"/>
      <c r="AF263" s="1296"/>
      <c r="AG263" s="1296"/>
      <c r="AH263" s="1296"/>
      <c r="AI263" s="1296"/>
      <c r="AJ263" s="1296"/>
      <c r="AK263" s="1296"/>
      <c r="AL263" s="1296"/>
      <c r="AM263" s="1296"/>
      <c r="AN263" s="1296"/>
      <c r="AO263" s="1296"/>
      <c r="AP263" s="1296"/>
      <c r="AQ263" s="1296"/>
      <c r="AR263" s="1296"/>
      <c r="AS263" s="1296"/>
      <c r="AT263" s="1296"/>
      <c r="AU263" s="1296"/>
      <c r="AV263" s="1296"/>
      <c r="AW263" s="1296"/>
      <c r="AX263" s="1296"/>
      <c r="AY263" s="1296"/>
      <c r="AZ263" s="1296"/>
      <c r="BA263" s="1296"/>
      <c r="BB263" s="1296"/>
      <c r="BC263" s="1296"/>
      <c r="BD263" s="1296"/>
      <c r="BE263" s="1296"/>
      <c r="BF263" s="1296"/>
      <c r="BG263" s="1296"/>
      <c r="BH263" s="1296"/>
      <c r="BI263" s="1296"/>
      <c r="BJ263" s="1296"/>
      <c r="BK263" s="1296"/>
      <c r="BL263" s="1296"/>
      <c r="BM263" s="1296"/>
      <c r="BN263" s="1296"/>
      <c r="BO263" s="1296"/>
      <c r="BP263" s="1296"/>
      <c r="BQ263" s="1296"/>
      <c r="BR263" s="1296"/>
      <c r="BS263" s="1296"/>
      <c r="BT263" s="1296"/>
      <c r="BU263" s="1296"/>
      <c r="BV263" s="1296"/>
      <c r="BW263" s="1296"/>
      <c r="BX263" s="1296"/>
      <c r="BY263" s="1296"/>
      <c r="BZ263" s="1296"/>
      <c r="CA263" s="1296"/>
      <c r="CB263" s="1296"/>
      <c r="CC263" s="1296"/>
      <c r="CD263" s="1296"/>
      <c r="CE263" s="1296"/>
      <c r="CF263" s="1296"/>
      <c r="CG263" s="1296"/>
      <c r="CH263" s="1296"/>
      <c r="CI263" s="1296"/>
      <c r="CJ263" s="1296"/>
      <c r="CK263" s="1296"/>
    </row>
    <row r="264" spans="1:89" x14ac:dyDescent="0.25">
      <c r="A264" s="1296"/>
      <c r="B264" s="1721"/>
      <c r="C264" s="1205">
        <v>7</v>
      </c>
      <c r="D264" s="1196" t="s">
        <v>1856</v>
      </c>
      <c r="E264" s="1196" t="s">
        <v>1444</v>
      </c>
      <c r="F264" s="1204" t="str">
        <f>'Required Info to Submit'!E29</f>
        <v/>
      </c>
      <c r="G264" s="1400" t="str">
        <f>IF(F264="","",'Required Info to Submit'!K29)</f>
        <v/>
      </c>
      <c r="H264" s="1401" t="str">
        <f>IF(F264="","",'Required Info to Submit'!L29)</f>
        <v/>
      </c>
      <c r="I264" s="1204" t="str">
        <f>'Required Info to Submit'!F29</f>
        <v/>
      </c>
      <c r="J264" s="1204" t="str">
        <f>'Required Info to Submit'!G29</f>
        <v/>
      </c>
      <c r="K264" s="1204" t="str">
        <f>'Required Info to Submit'!H29</f>
        <v/>
      </c>
      <c r="L264" s="1204" t="str">
        <f>'Required Info to Submit'!I29</f>
        <v/>
      </c>
      <c r="M264" s="1204" t="str">
        <f>'Required Info to Submit'!J29</f>
        <v/>
      </c>
      <c r="N264" s="1296"/>
      <c r="O264" s="1296"/>
      <c r="P264" s="1296"/>
      <c r="Q264" s="138"/>
      <c r="R264" s="1296"/>
      <c r="S264" s="1296"/>
      <c r="T264" s="1296"/>
      <c r="U264" s="1296"/>
      <c r="V264" s="1296"/>
      <c r="W264" s="1296"/>
      <c r="X264" s="1296"/>
      <c r="Y264" s="1296"/>
      <c r="Z264" s="1296"/>
      <c r="AA264" s="1296"/>
      <c r="AB264" s="1296"/>
      <c r="AC264" s="1296"/>
      <c r="AD264" s="1296"/>
      <c r="AE264" s="1296"/>
      <c r="AF264" s="1296"/>
      <c r="AG264" s="1296"/>
      <c r="AH264" s="1296"/>
      <c r="AI264" s="1296"/>
      <c r="AJ264" s="1296"/>
      <c r="AK264" s="1296"/>
      <c r="AL264" s="1296"/>
      <c r="AM264" s="1296"/>
      <c r="AN264" s="1296"/>
      <c r="AO264" s="1296"/>
      <c r="AP264" s="1296"/>
      <c r="AQ264" s="1296"/>
      <c r="AR264" s="1296"/>
      <c r="AS264" s="1296"/>
      <c r="AT264" s="1296"/>
      <c r="AU264" s="1296"/>
      <c r="AV264" s="1296"/>
      <c r="AW264" s="1296"/>
      <c r="AX264" s="1296"/>
      <c r="AY264" s="1296"/>
      <c r="AZ264" s="1296"/>
      <c r="BA264" s="1296"/>
      <c r="BB264" s="1296"/>
      <c r="BC264" s="1296"/>
      <c r="BD264" s="1296"/>
      <c r="BE264" s="1296"/>
      <c r="BF264" s="1296"/>
      <c r="BG264" s="1296"/>
      <c r="BH264" s="1296"/>
      <c r="BI264" s="1296"/>
      <c r="BJ264" s="1296"/>
      <c r="BK264" s="1296"/>
      <c r="BL264" s="1296"/>
      <c r="BM264" s="1296"/>
      <c r="BN264" s="1296"/>
      <c r="BO264" s="1296"/>
      <c r="BP264" s="1296"/>
      <c r="BQ264" s="1296"/>
      <c r="BR264" s="1296"/>
      <c r="BS264" s="1296"/>
      <c r="BT264" s="1296"/>
      <c r="BU264" s="1296"/>
      <c r="BV264" s="1296"/>
      <c r="BW264" s="1296"/>
      <c r="BX264" s="1296"/>
      <c r="BY264" s="1296"/>
      <c r="BZ264" s="1296"/>
      <c r="CA264" s="1296"/>
      <c r="CB264" s="1296"/>
      <c r="CC264" s="1296"/>
      <c r="CD264" s="1296"/>
      <c r="CE264" s="1296"/>
      <c r="CF264" s="1296"/>
      <c r="CG264" s="1296"/>
      <c r="CH264" s="1296"/>
      <c r="CI264" s="1296"/>
      <c r="CJ264" s="1296"/>
      <c r="CK264" s="1296"/>
    </row>
    <row r="265" spans="1:89" x14ac:dyDescent="0.25">
      <c r="A265" s="1296"/>
      <c r="B265" s="1721"/>
      <c r="C265" s="1205">
        <v>8</v>
      </c>
      <c r="D265" s="1196" t="s">
        <v>1856</v>
      </c>
      <c r="E265" s="1196" t="s">
        <v>1444</v>
      </c>
      <c r="F265" s="1204" t="str">
        <f>'Required Info to Submit'!E30</f>
        <v/>
      </c>
      <c r="G265" s="1400" t="str">
        <f>IF(F265="","",'Required Info to Submit'!K30)</f>
        <v/>
      </c>
      <c r="H265" s="1401" t="str">
        <f>IF(F265="","",'Required Info to Submit'!L30)</f>
        <v/>
      </c>
      <c r="I265" s="1204" t="str">
        <f>'Required Info to Submit'!F30</f>
        <v/>
      </c>
      <c r="J265" s="1204" t="str">
        <f>'Required Info to Submit'!G30</f>
        <v/>
      </c>
      <c r="K265" s="1204" t="str">
        <f>'Required Info to Submit'!H30</f>
        <v/>
      </c>
      <c r="L265" s="1204" t="str">
        <f>'Required Info to Submit'!I30</f>
        <v/>
      </c>
      <c r="M265" s="1204" t="str">
        <f>'Required Info to Submit'!J30</f>
        <v/>
      </c>
      <c r="N265" s="1296"/>
      <c r="O265" s="1296"/>
      <c r="P265" s="1296"/>
      <c r="Q265" s="138"/>
      <c r="R265" s="1296"/>
      <c r="S265" s="1296"/>
      <c r="T265" s="1296"/>
      <c r="U265" s="1296"/>
      <c r="V265" s="1296"/>
      <c r="W265" s="1296"/>
      <c r="X265" s="1296"/>
      <c r="Y265" s="1296"/>
      <c r="Z265" s="1296"/>
      <c r="AA265" s="1296"/>
      <c r="AB265" s="1296"/>
      <c r="AC265" s="1296"/>
      <c r="AD265" s="1296"/>
      <c r="AE265" s="1296"/>
      <c r="AF265" s="1296"/>
      <c r="AG265" s="1296"/>
      <c r="AH265" s="1296"/>
      <c r="AI265" s="1296"/>
      <c r="AJ265" s="1296"/>
      <c r="AK265" s="1296"/>
      <c r="AL265" s="1296"/>
      <c r="AM265" s="1296"/>
      <c r="AN265" s="1296"/>
      <c r="AO265" s="1296"/>
      <c r="AP265" s="1296"/>
      <c r="AQ265" s="1296"/>
      <c r="AR265" s="1296"/>
      <c r="AS265" s="1296"/>
      <c r="AT265" s="1296"/>
      <c r="AU265" s="1296"/>
      <c r="AV265" s="1296"/>
      <c r="AW265" s="1296"/>
      <c r="AX265" s="1296"/>
      <c r="AY265" s="1296"/>
      <c r="AZ265" s="1296"/>
      <c r="BA265" s="1296"/>
      <c r="BB265" s="1296"/>
      <c r="BC265" s="1296"/>
      <c r="BD265" s="1296"/>
      <c r="BE265" s="1296"/>
      <c r="BF265" s="1296"/>
      <c r="BG265" s="1296"/>
      <c r="BH265" s="1296"/>
      <c r="BI265" s="1296"/>
      <c r="BJ265" s="1296"/>
      <c r="BK265" s="1296"/>
      <c r="BL265" s="1296"/>
      <c r="BM265" s="1296"/>
      <c r="BN265" s="1296"/>
      <c r="BO265" s="1296"/>
      <c r="BP265" s="1296"/>
      <c r="BQ265" s="1296"/>
      <c r="BR265" s="1296"/>
      <c r="BS265" s="1296"/>
      <c r="BT265" s="1296"/>
      <c r="BU265" s="1296"/>
      <c r="BV265" s="1296"/>
      <c r="BW265" s="1296"/>
      <c r="BX265" s="1296"/>
      <c r="BY265" s="1296"/>
      <c r="BZ265" s="1296"/>
      <c r="CA265" s="1296"/>
      <c r="CB265" s="1296"/>
      <c r="CC265" s="1296"/>
      <c r="CD265" s="1296"/>
      <c r="CE265" s="1296"/>
      <c r="CF265" s="1296"/>
      <c r="CG265" s="1296"/>
      <c r="CH265" s="1296"/>
      <c r="CI265" s="1296"/>
      <c r="CJ265" s="1296"/>
      <c r="CK265" s="1296"/>
    </row>
    <row r="266" spans="1:89" x14ac:dyDescent="0.25">
      <c r="A266" s="1296"/>
      <c r="B266" s="1721"/>
      <c r="C266" s="1205">
        <v>9</v>
      </c>
      <c r="D266" s="1196" t="s">
        <v>1856</v>
      </c>
      <c r="E266" s="1196" t="s">
        <v>1444</v>
      </c>
      <c r="F266" s="1204" t="str">
        <f>'Required Info to Submit'!E31</f>
        <v/>
      </c>
      <c r="G266" s="1400" t="str">
        <f>IF(F266="","",'Required Info to Submit'!K31)</f>
        <v/>
      </c>
      <c r="H266" s="1401" t="str">
        <f>IF(F266="","",'Required Info to Submit'!L31)</f>
        <v/>
      </c>
      <c r="I266" s="1204" t="str">
        <f>'Required Info to Submit'!F31</f>
        <v/>
      </c>
      <c r="J266" s="1204" t="str">
        <f>'Required Info to Submit'!G31</f>
        <v/>
      </c>
      <c r="K266" s="1204" t="str">
        <f>'Required Info to Submit'!H31</f>
        <v/>
      </c>
      <c r="L266" s="1204" t="str">
        <f>'Required Info to Submit'!I31</f>
        <v/>
      </c>
      <c r="M266" s="1204" t="str">
        <f>'Required Info to Submit'!J31</f>
        <v/>
      </c>
      <c r="N266" s="1296"/>
      <c r="O266" s="1296"/>
      <c r="P266" s="1296"/>
      <c r="Q266" s="138"/>
      <c r="R266" s="1296"/>
      <c r="S266" s="1296"/>
      <c r="T266" s="1296"/>
      <c r="U266" s="1296"/>
      <c r="V266" s="1296"/>
      <c r="W266" s="1296"/>
      <c r="X266" s="1296"/>
      <c r="Y266" s="1296"/>
      <c r="Z266" s="1296"/>
      <c r="AA266" s="1296"/>
      <c r="AB266" s="1296"/>
      <c r="AC266" s="1296"/>
      <c r="AD266" s="1296"/>
      <c r="AE266" s="1296"/>
      <c r="AF266" s="1296"/>
      <c r="AG266" s="1296"/>
      <c r="AH266" s="1296"/>
      <c r="AI266" s="1296"/>
      <c r="AJ266" s="1296"/>
      <c r="AK266" s="1296"/>
      <c r="AL266" s="1296"/>
      <c r="AM266" s="1296"/>
      <c r="AN266" s="1296"/>
      <c r="AO266" s="1296"/>
      <c r="AP266" s="1296"/>
      <c r="AQ266" s="1296"/>
      <c r="AR266" s="1296"/>
      <c r="AS266" s="1296"/>
      <c r="AT266" s="1296"/>
      <c r="AU266" s="1296"/>
      <c r="AV266" s="1296"/>
      <c r="AW266" s="1296"/>
      <c r="AX266" s="1296"/>
      <c r="AY266" s="1296"/>
      <c r="AZ266" s="1296"/>
      <c r="BA266" s="1296"/>
      <c r="BB266" s="1296"/>
      <c r="BC266" s="1296"/>
      <c r="BD266" s="1296"/>
      <c r="BE266" s="1296"/>
      <c r="BF266" s="1296"/>
      <c r="BG266" s="1296"/>
      <c r="BH266" s="1296"/>
      <c r="BI266" s="1296"/>
      <c r="BJ266" s="1296"/>
      <c r="BK266" s="1296"/>
      <c r="BL266" s="1296"/>
      <c r="BM266" s="1296"/>
      <c r="BN266" s="1296"/>
      <c r="BO266" s="1296"/>
      <c r="BP266" s="1296"/>
      <c r="BQ266" s="1296"/>
      <c r="BR266" s="1296"/>
      <c r="BS266" s="1296"/>
      <c r="BT266" s="1296"/>
      <c r="BU266" s="1296"/>
      <c r="BV266" s="1296"/>
      <c r="BW266" s="1296"/>
      <c r="BX266" s="1296"/>
      <c r="BY266" s="1296"/>
      <c r="BZ266" s="1296"/>
      <c r="CA266" s="1296"/>
      <c r="CB266" s="1296"/>
      <c r="CC266" s="1296"/>
      <c r="CD266" s="1296"/>
      <c r="CE266" s="1296"/>
      <c r="CF266" s="1296"/>
      <c r="CG266" s="1296"/>
      <c r="CH266" s="1296"/>
      <c r="CI266" s="1296"/>
      <c r="CJ266" s="1296"/>
      <c r="CK266" s="1296"/>
    </row>
    <row r="267" spans="1:89" ht="15.75" thickBot="1" x14ac:dyDescent="0.3">
      <c r="A267" s="1296"/>
      <c r="B267" s="1722"/>
      <c r="C267" s="1207">
        <v>10</v>
      </c>
      <c r="D267" s="1198" t="s">
        <v>1856</v>
      </c>
      <c r="E267" s="1198" t="s">
        <v>1444</v>
      </c>
      <c r="F267" s="1209" t="str">
        <f>'Required Info to Submit'!E32</f>
        <v/>
      </c>
      <c r="G267" s="1402" t="str">
        <f>IF(F267="","",'Required Info to Submit'!K32)</f>
        <v/>
      </c>
      <c r="H267" s="1402" t="str">
        <f>IF(F267="","",'Required Info to Submit'!L32)</f>
        <v/>
      </c>
      <c r="I267" s="1209" t="str">
        <f>'Required Info to Submit'!F32</f>
        <v/>
      </c>
      <c r="J267" s="1209" t="str">
        <f>'Required Info to Submit'!G32</f>
        <v/>
      </c>
      <c r="K267" s="1209" t="str">
        <f>'Required Info to Submit'!H32</f>
        <v/>
      </c>
      <c r="L267" s="1209" t="str">
        <f>'Required Info to Submit'!I32</f>
        <v/>
      </c>
      <c r="M267" s="1209" t="str">
        <f>'Required Info to Submit'!J32</f>
        <v/>
      </c>
      <c r="N267" s="256"/>
      <c r="O267" s="256"/>
      <c r="P267" s="256"/>
      <c r="Q267" s="257"/>
      <c r="R267" s="1296"/>
      <c r="S267" s="1296"/>
      <c r="T267" s="1296"/>
      <c r="U267" s="1296"/>
      <c r="V267" s="1296"/>
      <c r="W267" s="1296"/>
      <c r="X267" s="1296"/>
      <c r="Y267" s="1296"/>
      <c r="Z267" s="1296"/>
      <c r="AA267" s="1296"/>
      <c r="AB267" s="1296"/>
      <c r="AC267" s="1296"/>
      <c r="AD267" s="1296"/>
      <c r="AE267" s="1296"/>
      <c r="AF267" s="1296"/>
      <c r="AG267" s="1296"/>
      <c r="AH267" s="1296"/>
      <c r="AI267" s="1296"/>
      <c r="AJ267" s="1296"/>
      <c r="AK267" s="1296"/>
      <c r="AL267" s="1296"/>
      <c r="AM267" s="1296"/>
      <c r="AN267" s="1296"/>
      <c r="AO267" s="1296"/>
      <c r="AP267" s="1296"/>
      <c r="AQ267" s="1296"/>
      <c r="AR267" s="1296"/>
      <c r="AS267" s="1296"/>
      <c r="AT267" s="1296"/>
      <c r="AU267" s="1296"/>
      <c r="AV267" s="1296"/>
      <c r="AW267" s="1296"/>
      <c r="AX267" s="1296"/>
      <c r="AY267" s="1296"/>
      <c r="AZ267" s="1296"/>
      <c r="BA267" s="1296"/>
      <c r="BB267" s="1296"/>
      <c r="BC267" s="1296"/>
      <c r="BD267" s="1296"/>
      <c r="BE267" s="1296"/>
      <c r="BF267" s="1296"/>
      <c r="BG267" s="1296"/>
      <c r="BH267" s="1296"/>
      <c r="BI267" s="1296"/>
      <c r="BJ267" s="1296"/>
      <c r="BK267" s="1296"/>
      <c r="BL267" s="1296"/>
      <c r="BM267" s="1296"/>
      <c r="BN267" s="1296"/>
      <c r="BO267" s="1296"/>
      <c r="BP267" s="1296"/>
      <c r="BQ267" s="1296"/>
      <c r="BR267" s="1296"/>
      <c r="BS267" s="1296"/>
      <c r="BT267" s="1296"/>
      <c r="BU267" s="1296"/>
      <c r="BV267" s="1296"/>
      <c r="BW267" s="1296"/>
      <c r="BX267" s="1296"/>
      <c r="BY267" s="1296"/>
      <c r="BZ267" s="1296"/>
      <c r="CA267" s="1296"/>
      <c r="CB267" s="1296"/>
      <c r="CC267" s="1296"/>
      <c r="CD267" s="1296"/>
      <c r="CE267" s="1296"/>
      <c r="CF267" s="1296"/>
      <c r="CG267" s="1296"/>
      <c r="CH267" s="1296"/>
      <c r="CI267" s="1296"/>
      <c r="CJ267" s="1296"/>
      <c r="CK267" s="1296"/>
    </row>
    <row r="268" spans="1:89" x14ac:dyDescent="0.25">
      <c r="A268" s="1296"/>
      <c r="B268" s="1296"/>
      <c r="C268" s="1296"/>
      <c r="D268" s="1296"/>
      <c r="E268" s="1296"/>
      <c r="F268" s="1296"/>
      <c r="G268" s="1296"/>
      <c r="H268" s="1296"/>
      <c r="I268" s="1296"/>
      <c r="J268" s="1296"/>
      <c r="K268" s="1296"/>
      <c r="L268" s="1296"/>
      <c r="M268" s="1296"/>
      <c r="N268" s="1296"/>
      <c r="O268" s="1296"/>
      <c r="P268" s="1296"/>
      <c r="Q268" s="1296"/>
      <c r="R268" s="1296"/>
      <c r="S268" s="1296"/>
      <c r="T268" s="1296"/>
      <c r="U268" s="1296"/>
      <c r="V268" s="1296"/>
      <c r="W268" s="1296"/>
      <c r="X268" s="1296"/>
      <c r="Y268" s="1296"/>
      <c r="Z268" s="1296"/>
      <c r="AA268" s="1296"/>
      <c r="AB268" s="1296"/>
      <c r="AC268" s="1296"/>
      <c r="AD268" s="1296"/>
      <c r="AE268" s="1296"/>
      <c r="AF268" s="1296"/>
      <c r="AG268" s="1296"/>
      <c r="AH268" s="1296"/>
      <c r="AI268" s="1296"/>
      <c r="AJ268" s="1296"/>
      <c r="AK268" s="1296"/>
      <c r="AL268" s="1296"/>
      <c r="AM268" s="1296"/>
      <c r="AN268" s="1296"/>
      <c r="AO268" s="1296"/>
      <c r="AP268" s="1296"/>
      <c r="AQ268" s="1296"/>
      <c r="AR268" s="1296"/>
      <c r="AS268" s="1296"/>
      <c r="AT268" s="1296"/>
      <c r="AU268" s="1296"/>
      <c r="AV268" s="1296"/>
      <c r="AW268" s="1296"/>
      <c r="AX268" s="1296"/>
      <c r="AY268" s="1296"/>
      <c r="AZ268" s="1296"/>
      <c r="BA268" s="1296"/>
      <c r="BB268" s="1296"/>
      <c r="BC268" s="1296"/>
      <c r="BD268" s="1296"/>
      <c r="BE268" s="1296"/>
      <c r="BF268" s="1296"/>
      <c r="BG268" s="1296"/>
      <c r="BH268" s="1296"/>
      <c r="BI268" s="1296"/>
      <c r="BJ268" s="1296"/>
      <c r="BK268" s="1296"/>
      <c r="BL268" s="1296"/>
      <c r="BM268" s="1296"/>
      <c r="BN268" s="1296"/>
      <c r="BO268" s="1296"/>
      <c r="BP268" s="1296"/>
      <c r="BQ268" s="1296"/>
      <c r="BR268" s="1296"/>
      <c r="BS268" s="1296"/>
      <c r="BT268" s="1296"/>
      <c r="BU268" s="1296"/>
      <c r="BV268" s="1296"/>
      <c r="BW268" s="1296"/>
      <c r="BX268" s="1296"/>
      <c r="BY268" s="1296"/>
      <c r="BZ268" s="1296"/>
      <c r="CA268" s="1296"/>
      <c r="CB268" s="1296"/>
      <c r="CC268" s="1296"/>
      <c r="CD268" s="1296"/>
      <c r="CE268" s="1296"/>
      <c r="CF268" s="1296"/>
      <c r="CG268" s="1296"/>
      <c r="CH268" s="1296"/>
      <c r="CI268" s="1296"/>
      <c r="CJ268" s="1296"/>
      <c r="CK268" s="1296"/>
    </row>
    <row r="269" spans="1:89" ht="15.75" thickBot="1" x14ac:dyDescent="0.3">
      <c r="A269" s="1296"/>
      <c r="B269" s="1296"/>
      <c r="C269" s="1296"/>
      <c r="D269" s="1296"/>
      <c r="E269" s="1296"/>
      <c r="F269" s="1296"/>
      <c r="G269" s="1296"/>
      <c r="H269" s="1296"/>
      <c r="I269" s="1296"/>
      <c r="J269" s="1296"/>
      <c r="K269" s="1296"/>
      <c r="L269" s="1296"/>
      <c r="M269" s="1296"/>
      <c r="N269" s="1296"/>
      <c r="O269" s="1296"/>
      <c r="P269" s="1296"/>
      <c r="Q269" s="1296"/>
      <c r="R269" s="1296"/>
      <c r="S269" s="1296"/>
      <c r="T269" s="1296"/>
      <c r="U269" s="1296"/>
      <c r="V269" s="1296"/>
      <c r="W269" s="1296"/>
      <c r="X269" s="1296"/>
      <c r="Y269" s="1296"/>
      <c r="Z269" s="1296"/>
      <c r="AA269" s="1296"/>
      <c r="AB269" s="1296"/>
      <c r="AC269" s="1296"/>
      <c r="AD269" s="1296"/>
      <c r="AE269" s="1296"/>
      <c r="AF269" s="1296"/>
      <c r="AG269" s="1296"/>
      <c r="AH269" s="1296"/>
      <c r="AI269" s="1296"/>
      <c r="AJ269" s="1296"/>
      <c r="AK269" s="1296"/>
      <c r="AL269" s="1296"/>
      <c r="AM269" s="1296"/>
      <c r="AN269" s="1296"/>
      <c r="AO269" s="1296"/>
      <c r="AP269" s="1296"/>
      <c r="AQ269" s="1296"/>
      <c r="AR269" s="1296"/>
      <c r="AS269" s="1296"/>
      <c r="AT269" s="1296"/>
      <c r="AU269" s="1296"/>
      <c r="AV269" s="1296"/>
      <c r="AW269" s="1296"/>
      <c r="AX269" s="1296"/>
      <c r="AY269" s="1296"/>
      <c r="AZ269" s="1296"/>
      <c r="BA269" s="1296"/>
      <c r="BB269" s="1296"/>
      <c r="BC269" s="1296"/>
      <c r="BD269" s="1296"/>
      <c r="BE269" s="1296"/>
      <c r="BF269" s="1296"/>
      <c r="BG269" s="1296"/>
      <c r="BH269" s="1296"/>
      <c r="BI269" s="1296"/>
      <c r="BJ269" s="1296"/>
      <c r="BK269" s="1296"/>
      <c r="BL269" s="1296"/>
      <c r="BM269" s="1296"/>
      <c r="BN269" s="1296"/>
      <c r="BO269" s="1296"/>
      <c r="BP269" s="1296"/>
      <c r="BQ269" s="1296"/>
      <c r="BR269" s="1296"/>
      <c r="BS269" s="1296"/>
      <c r="BT269" s="1296"/>
      <c r="BU269" s="1296"/>
      <c r="BV269" s="1296"/>
      <c r="BW269" s="1296"/>
      <c r="BX269" s="1296"/>
      <c r="BY269" s="1296"/>
      <c r="BZ269" s="1296"/>
      <c r="CA269" s="1296"/>
      <c r="CB269" s="1296"/>
      <c r="CC269" s="1296"/>
      <c r="CD269" s="1296"/>
      <c r="CE269" s="1296"/>
      <c r="CF269" s="1296"/>
      <c r="CG269" s="1296"/>
      <c r="CH269" s="1296"/>
      <c r="CI269" s="1296"/>
      <c r="CJ269" s="1296"/>
      <c r="CK269" s="1296"/>
    </row>
    <row r="270" spans="1:89" ht="30.75" thickBot="1" x14ac:dyDescent="0.3">
      <c r="A270" s="1296"/>
      <c r="B270" s="1182"/>
      <c r="C270" s="1177" t="s">
        <v>1400</v>
      </c>
      <c r="D270" s="1177" t="s">
        <v>1510</v>
      </c>
      <c r="E270" s="1177" t="s">
        <v>767</v>
      </c>
      <c r="F270" s="1177" t="s">
        <v>1515</v>
      </c>
      <c r="G270" s="1178" t="s">
        <v>1834</v>
      </c>
      <c r="H270" s="1178" t="s">
        <v>1835</v>
      </c>
      <c r="I270" s="1177" t="s">
        <v>1836</v>
      </c>
      <c r="J270" s="1178" t="s">
        <v>1414</v>
      </c>
      <c r="K270" s="1178" t="s">
        <v>1398</v>
      </c>
      <c r="L270" s="1177" t="s">
        <v>1399</v>
      </c>
      <c r="M270" s="1177" t="s">
        <v>722</v>
      </c>
      <c r="N270" s="1177" t="s">
        <v>723</v>
      </c>
      <c r="O270" s="1178" t="s">
        <v>1514</v>
      </c>
      <c r="P270" s="1296"/>
      <c r="Q270" s="1296"/>
      <c r="R270" s="1296"/>
      <c r="S270" s="1296"/>
      <c r="T270" s="1182"/>
      <c r="U270" s="1177" t="s">
        <v>1400</v>
      </c>
      <c r="V270" s="1177" t="s">
        <v>1510</v>
      </c>
      <c r="W270" s="1177" t="s">
        <v>767</v>
      </c>
      <c r="X270" s="1177" t="s">
        <v>1515</v>
      </c>
      <c r="Y270" s="1178" t="s">
        <v>1834</v>
      </c>
      <c r="Z270" s="1178" t="s">
        <v>1835</v>
      </c>
      <c r="AA270" s="1177" t="s">
        <v>1836</v>
      </c>
      <c r="AB270" s="1178" t="s">
        <v>1414</v>
      </c>
      <c r="AC270" s="1178" t="s">
        <v>1398</v>
      </c>
      <c r="AD270" s="1177" t="s">
        <v>1399</v>
      </c>
      <c r="AE270" s="1177" t="s">
        <v>722</v>
      </c>
      <c r="AF270" s="1177" t="s">
        <v>723</v>
      </c>
      <c r="AG270" s="1178" t="s">
        <v>1514</v>
      </c>
      <c r="AH270" s="1296"/>
      <c r="AI270" s="1296"/>
      <c r="AJ270" s="1296"/>
      <c r="AK270" s="1296"/>
      <c r="AL270" s="1296"/>
      <c r="AM270" s="1296"/>
      <c r="AN270" s="1296"/>
      <c r="AO270" s="1296"/>
      <c r="AP270" s="1296"/>
      <c r="AQ270" s="1296"/>
      <c r="AR270" s="1296"/>
      <c r="AS270" s="1296"/>
      <c r="AT270" s="1296"/>
      <c r="AU270" s="1296"/>
      <c r="AV270" s="1296"/>
      <c r="AW270" s="1296"/>
      <c r="AX270" s="1296"/>
      <c r="AY270" s="1296"/>
      <c r="AZ270" s="1296"/>
      <c r="BA270" s="1296"/>
      <c r="BB270" s="1296"/>
      <c r="BC270" s="1296"/>
      <c r="BD270" s="1296"/>
      <c r="BE270" s="1296"/>
      <c r="BF270" s="1296"/>
      <c r="BG270" s="1296"/>
      <c r="BH270" s="1296"/>
      <c r="BI270" s="1296"/>
      <c r="BJ270" s="1296"/>
      <c r="BK270" s="1296"/>
      <c r="BL270" s="1296"/>
      <c r="BM270" s="1296"/>
      <c r="BN270" s="1296"/>
      <c r="BO270" s="1296"/>
      <c r="BP270" s="1296"/>
      <c r="BQ270" s="1296"/>
      <c r="BR270" s="1296"/>
      <c r="BS270" s="1296"/>
      <c r="BT270" s="1296"/>
      <c r="BU270" s="1296"/>
      <c r="BV270" s="1296"/>
      <c r="BW270" s="1296"/>
      <c r="BX270" s="1296"/>
      <c r="BY270" s="1296"/>
      <c r="BZ270" s="1296"/>
      <c r="CA270" s="1296"/>
      <c r="CB270" s="1296"/>
      <c r="CC270" s="1296"/>
      <c r="CD270" s="1296"/>
      <c r="CE270" s="1296"/>
      <c r="CF270" s="1296"/>
      <c r="CG270" s="1296"/>
      <c r="CH270" s="1296"/>
      <c r="CI270" s="1296"/>
      <c r="CJ270" s="1296"/>
      <c r="CK270" s="1296"/>
    </row>
    <row r="271" spans="1:89" ht="60.75" thickBot="1" x14ac:dyDescent="0.3">
      <c r="A271" s="1296"/>
      <c r="B271" s="1184" t="s">
        <v>1837</v>
      </c>
      <c r="C271" s="1185" t="s">
        <v>1619</v>
      </c>
      <c r="D271" s="1313">
        <v>4601</v>
      </c>
      <c r="E271" s="1298" t="s">
        <v>1101</v>
      </c>
      <c r="F271" s="1298" t="s">
        <v>1625</v>
      </c>
      <c r="G271" s="1181" t="str" cm="1">
        <f t="array" aca="1" ref="G271" ca="1">IF(ISBLANK(INDIRECT("'Incentives Worksheet'!H"&amp;'Configurable Tab'!H25+3)),"",INDIRECT("'Incentives Worksheet'!H"&amp;'Configurable Tab'!H25+3))</f>
        <v>Program</v>
      </c>
      <c r="H271" s="1181" t="str" cm="1">
        <f t="array" aca="1" ref="H271" ca="1">IF(INDIRECT("'Incentives Worksheet'!R"&amp;'Configurable Tab'!H25+3)="USF Calendar","Fiscal",INDIRECT("'Incentives Worksheet'!R"&amp;'Configurable Tab'!H25+3))</f>
        <v>Calendar</v>
      </c>
      <c r="I271" s="1181" t="str" cm="1">
        <f t="array" aca="1" ref="I271" ca="1">IF(INDIRECT("'Incentives Worksheet'!T"&amp;'Configurable Tab'!H25+3)="Yes","Post to GL","")</f>
        <v>Post to GL</v>
      </c>
      <c r="J271" s="1181" t="str" cm="1">
        <f t="array" aca="1" ref="J271" ca="1">IF(ISBLANK(INDIRECT("'Incentives Worksheet'!L"&amp;'Configurable Tab'!H25+3)),"",INDIRECT("'Incentives Worksheet'!L"&amp;'Configurable Tab'!H25+3))</f>
        <v/>
      </c>
      <c r="K271" s="1181" t="str" cm="1">
        <f t="array" aca="1" ref="K271" ca="1">IF(ISBLANK(INDIRECT("'Incentives Worksheet'!J"&amp;'Configurable Tab'!H25+3)),"",INDIRECT("'Incentives Worksheet'!J"&amp;'Configurable Tab'!H25+3))</f>
        <v/>
      </c>
      <c r="L271" s="1181" t="str" cm="1">
        <f t="array" aca="1" ref="L271" ca="1">IF(ISBLANK(INDIRECT("'Incentives Worksheet'!N"&amp;'Configurable Tab'!H25+3)),"",INDIRECT("'Incentives Worksheet'!N"&amp;'Configurable Tab'!H25+3))</f>
        <v/>
      </c>
      <c r="M271" s="1314" t="str" cm="1">
        <f t="array" aca="1" ref="M271" ca="1">INDIRECT("'Incentives Worksheet'!D"&amp;'Configurable Tab'!H25+6)</f>
        <v/>
      </c>
      <c r="N271" s="1314" t="str" cm="1">
        <f t="array" aca="1" ref="N271" ca="1">INDIRECT("'Incentives Worksheet'!D"&amp;'Configurable Tab'!H25+8)</f>
        <v/>
      </c>
      <c r="O271" s="1181" t="str" cm="1">
        <f t="array" aca="1" ref="O271" ca="1">IF(INDIRECT("'Incentives Worksheet'!D"&amp;'Configurable Tab'!H25+10)="No","Update tracking dates",INDIRECT("'Incentives Worksheet'!D"&amp;'Configurable Tab'!H25+10))</f>
        <v>Yes</v>
      </c>
      <c r="P271" s="273"/>
      <c r="Q271" s="273"/>
      <c r="R271" s="273"/>
      <c r="S271" s="273"/>
      <c r="T271" s="1184" t="s">
        <v>1837</v>
      </c>
      <c r="U271" s="1185" t="s">
        <v>1619</v>
      </c>
      <c r="V271" s="1313">
        <v>4602</v>
      </c>
      <c r="W271" s="1298" t="s">
        <v>1101</v>
      </c>
      <c r="X271" s="1298" t="s">
        <v>1625</v>
      </c>
      <c r="Y271" s="1181" t="str" cm="1">
        <f t="array" aca="1" ref="Y271" ca="1">IF(ISBLANK(INDIRECT("'Incentives Worksheet'!H"&amp;'Configurable Tab'!H26+3)),"",INDIRECT("'Incentives Worksheet'!H"&amp;'Configurable Tab'!H26+3))</f>
        <v>Program</v>
      </c>
      <c r="Z271" s="1181" t="str" cm="1">
        <f t="array" aca="1" ref="Z271" ca="1">IF(INDIRECT("'Incentives Worksheet'!R"&amp;'Configurable Tab'!H26+3)="USF Calendar","Fiscal",INDIRECT("'Incentives Worksheet'!R"&amp;'Configurable Tab'!H26+3))</f>
        <v>Calendar</v>
      </c>
      <c r="AA271" s="1181" t="str" cm="1">
        <f t="array" aca="1" ref="AA271" ca="1">IF(INDIRECT("'Incentives Worksheet'!T"&amp;'Configurable Tab'!H26+3)="Yes","Post to GL","")</f>
        <v>Post to GL</v>
      </c>
      <c r="AB271" s="1181" t="str" cm="1">
        <f t="array" aca="1" ref="AB271" ca="1">IF(ISBLANK(INDIRECT("'Incentives Worksheet'!L"&amp;'Configurable Tab'!H26+3)),"",INDIRECT("'Incentives Worksheet'!L"&amp;'Configurable Tab'!H26+3))</f>
        <v/>
      </c>
      <c r="AC271" s="1181" t="str" cm="1">
        <f t="array" aca="1" ref="AC271" ca="1">IF(ISBLANK(INDIRECT("'Incentives Worksheet'!J"&amp;'Configurable Tab'!H26+3)),"",INDIRECT("'Incentives Worksheet'!J"&amp;'Configurable Tab'!H26+3))</f>
        <v/>
      </c>
      <c r="AD271" s="1181" t="str" cm="1">
        <f t="array" aca="1" ref="AD271" ca="1">IF(ISBLANK(INDIRECT("'Incentives Worksheet'!N"&amp;'Configurable Tab'!H26+3)),"",INDIRECT("'Incentives Worksheet'!N"&amp;'Configurable Tab'!H26+3))</f>
        <v/>
      </c>
      <c r="AE271" s="1314" t="str" cm="1">
        <f t="array" aca="1" ref="AE271" ca="1">INDIRECT("'Incentives Worksheet'!D"&amp;'Configurable Tab'!H26+6)</f>
        <v/>
      </c>
      <c r="AF271" s="1314" t="str" cm="1">
        <f t="array" aca="1" ref="AF271" ca="1">INDIRECT("'Incentives Worksheet'!D"&amp;'Configurable Tab'!H26+8)</f>
        <v/>
      </c>
      <c r="AG271" s="1181" t="str" cm="1">
        <f t="array" aca="1" ref="AG271" ca="1">IF(INDIRECT("'Incentives Worksheet'!D"&amp;'Configurable Tab'!H26+10)="No","Update tracking dates",INDIRECT("'Incentives Worksheet'!D"&amp;'Configurable Tab'!H26+10))</f>
        <v>Yes</v>
      </c>
      <c r="AH271" s="1296"/>
      <c r="AI271" s="1296"/>
      <c r="AJ271" s="1296"/>
      <c r="AK271" s="1296"/>
      <c r="AL271" s="1296"/>
      <c r="AM271" s="1296"/>
      <c r="AN271" s="1296"/>
      <c r="AO271" s="1296"/>
      <c r="AP271" s="1296"/>
      <c r="AQ271" s="1296"/>
      <c r="AR271" s="1296"/>
      <c r="AS271" s="1296"/>
      <c r="AT271" s="1296"/>
      <c r="AU271" s="1296"/>
      <c r="AV271" s="1296"/>
      <c r="AW271" s="1296"/>
      <c r="AX271" s="1296"/>
      <c r="AY271" s="1296"/>
      <c r="AZ271" s="1296"/>
      <c r="BA271" s="1296"/>
      <c r="BB271" s="1296"/>
      <c r="BC271" s="1296"/>
      <c r="BD271" s="1296"/>
      <c r="BE271" s="1296"/>
      <c r="BF271" s="1296"/>
      <c r="BG271" s="1296"/>
      <c r="BH271" s="1296"/>
      <c r="BI271" s="1296"/>
      <c r="BJ271" s="1296"/>
      <c r="BK271" s="1296"/>
      <c r="BL271" s="1296"/>
      <c r="BM271" s="1296"/>
      <c r="BN271" s="1296"/>
      <c r="BO271" s="1296"/>
      <c r="BP271" s="1296"/>
      <c r="BQ271" s="1296"/>
      <c r="BR271" s="1296"/>
      <c r="BS271" s="1296"/>
      <c r="BT271" s="1296"/>
      <c r="BU271" s="1296"/>
      <c r="BV271" s="1296"/>
      <c r="BW271" s="1296"/>
      <c r="BX271" s="1296"/>
      <c r="BY271" s="1296"/>
      <c r="BZ271" s="1296"/>
      <c r="CA271" s="1296"/>
      <c r="CB271" s="1296"/>
      <c r="CC271" s="1296"/>
      <c r="CD271" s="1296"/>
      <c r="CE271" s="1296"/>
      <c r="CF271" s="1296"/>
      <c r="CG271" s="1296"/>
      <c r="CH271" s="1296"/>
      <c r="CI271" s="1296"/>
      <c r="CJ271" s="1296"/>
      <c r="CK271" s="1296"/>
    </row>
    <row r="272" spans="1:89" ht="45.75" thickBot="1" x14ac:dyDescent="0.3">
      <c r="A272" s="1296"/>
      <c r="B272" s="1719" t="s">
        <v>1885</v>
      </c>
      <c r="C272" s="1210" t="s">
        <v>1886</v>
      </c>
      <c r="D272" s="1177" t="s">
        <v>1887</v>
      </c>
      <c r="E272" s="1178" t="s">
        <v>728</v>
      </c>
      <c r="F272" s="1177" t="s">
        <v>1888</v>
      </c>
      <c r="G272" s="1177" t="s">
        <v>1824</v>
      </c>
      <c r="H272" s="1183"/>
      <c r="I272" s="1183"/>
      <c r="J272" s="1315"/>
      <c r="K272" s="1315"/>
      <c r="L272" s="1315"/>
      <c r="M272" s="1315"/>
      <c r="N272" s="1315"/>
      <c r="O272" s="1316"/>
      <c r="P272" s="241"/>
      <c r="Q272" s="241"/>
      <c r="R272" s="241"/>
      <c r="S272" s="241"/>
      <c r="T272" s="1719" t="s">
        <v>1885</v>
      </c>
      <c r="U272" s="1210" t="s">
        <v>1886</v>
      </c>
      <c r="V272" s="1177" t="s">
        <v>1887</v>
      </c>
      <c r="W272" s="1178" t="s">
        <v>728</v>
      </c>
      <c r="X272" s="1177" t="s">
        <v>1888</v>
      </c>
      <c r="Y272" s="1177" t="s">
        <v>1824</v>
      </c>
      <c r="Z272" s="1183"/>
      <c r="AA272" s="1183"/>
      <c r="AB272" s="1315"/>
      <c r="AC272" s="1315"/>
      <c r="AD272" s="1315"/>
      <c r="AE272" s="1315"/>
      <c r="AF272" s="1315"/>
      <c r="AG272" s="1316"/>
      <c r="AH272" s="1296"/>
      <c r="AI272" s="1296"/>
      <c r="AJ272" s="1296"/>
      <c r="AK272" s="1296"/>
      <c r="AL272" s="1296"/>
      <c r="AM272" s="1296"/>
      <c r="AN272" s="1296"/>
      <c r="AO272" s="1296"/>
      <c r="AP272" s="1296"/>
      <c r="AQ272" s="1296"/>
      <c r="AR272" s="1296"/>
      <c r="AS272" s="1296"/>
      <c r="AT272" s="1296"/>
      <c r="AU272" s="1296"/>
      <c r="AV272" s="1296"/>
      <c r="AW272" s="1296"/>
      <c r="AX272" s="1296"/>
      <c r="AY272" s="1296"/>
      <c r="AZ272" s="1296"/>
      <c r="BA272" s="1296"/>
      <c r="BB272" s="1296"/>
      <c r="BC272" s="1296"/>
      <c r="BD272" s="1296"/>
      <c r="BE272" s="1296"/>
      <c r="BF272" s="1296"/>
      <c r="BG272" s="1296"/>
      <c r="BH272" s="1296"/>
      <c r="BI272" s="1296"/>
      <c r="BJ272" s="1296"/>
      <c r="BK272" s="1296"/>
      <c r="BL272" s="1296"/>
      <c r="BM272" s="1296"/>
      <c r="BN272" s="1296"/>
      <c r="BO272" s="1296"/>
      <c r="BP272" s="1296"/>
      <c r="BQ272" s="1296"/>
      <c r="BR272" s="1296"/>
      <c r="BS272" s="1296"/>
      <c r="BT272" s="1296"/>
      <c r="BU272" s="1296"/>
      <c r="BV272" s="1296"/>
      <c r="BW272" s="1296"/>
      <c r="BX272" s="1296"/>
      <c r="BY272" s="1296"/>
      <c r="BZ272" s="1296"/>
      <c r="CA272" s="1296"/>
      <c r="CB272" s="1296"/>
      <c r="CC272" s="1296"/>
      <c r="CD272" s="1296"/>
      <c r="CE272" s="1296"/>
      <c r="CF272" s="1296"/>
      <c r="CG272" s="1296"/>
      <c r="CH272" s="1296"/>
      <c r="CI272" s="1296"/>
      <c r="CJ272" s="1296"/>
      <c r="CK272" s="1296"/>
    </row>
    <row r="273" spans="1:89" ht="15.75" thickBot="1" x14ac:dyDescent="0.3">
      <c r="A273" s="1296"/>
      <c r="B273" s="1726"/>
      <c r="C273" s="1344" t="str" cm="1">
        <f t="array" aca="1" ref="C273" ca="1">INDIRECT("'Incentives Worksheet'!R"&amp;'Configurable Tab'!H25+6)</f>
        <v>Post Pay</v>
      </c>
      <c r="D273" s="1260" cm="1">
        <f t="array" aca="1" ref="D273" ca="1">INDIRECT("'Incentives Worksheet'!T"&amp;'Configurable Tab'!H25+6)</f>
        <v>1</v>
      </c>
      <c r="E273" s="1245" t="str" cm="1">
        <f t="array" aca="1" ref="E273" ca="1">IF(ISBLANK(INDIRECT("'Incentives Worksheet'!H"&amp;'Configurable Tab'!H25+6)),"",INDIRECT("'Incentives Worksheet'!H"&amp;'Configurable Tab'!H25+6))</f>
        <v/>
      </c>
      <c r="F273" s="1245" t="s">
        <v>1101</v>
      </c>
      <c r="G273" s="1245"/>
      <c r="H273" s="1317"/>
      <c r="I273" s="1188"/>
      <c r="J273" s="1188"/>
      <c r="K273" s="1188"/>
      <c r="L273" s="1188"/>
      <c r="M273" s="1188"/>
      <c r="N273" s="1188"/>
      <c r="O273" s="138"/>
      <c r="P273" s="1296"/>
      <c r="Q273" s="1296"/>
      <c r="R273" s="1296"/>
      <c r="S273" s="1296"/>
      <c r="T273" s="1726"/>
      <c r="U273" s="1318" t="str" cm="1">
        <f t="array" aca="1" ref="U273" ca="1">INDIRECT("'Incentives Worksheet'!R"&amp;'Configurable Tab'!H26+6)</f>
        <v>Post Pay</v>
      </c>
      <c r="V273" s="1260" cm="1">
        <f t="array" aca="1" ref="V273" ca="1">INDIRECT("'Incentives Worksheet'!T"&amp;'Configurable Tab'!H26+6)</f>
        <v>1</v>
      </c>
      <c r="W273" s="1245" t="str" cm="1">
        <f t="array" aca="1" ref="W273" ca="1">IF(ISBLANK(INDIRECT("'Incentives Worksheet'!H"&amp;'Configurable Tab'!H26+6)),"",INDIRECT("'Incentives Worksheet'!H"&amp;'Configurable Tab'!H26+6))</f>
        <v/>
      </c>
      <c r="X273" s="1245" t="s">
        <v>1101</v>
      </c>
      <c r="Y273" s="1245"/>
      <c r="Z273" s="1317"/>
      <c r="AA273" s="1188"/>
      <c r="AB273" s="1188"/>
      <c r="AC273" s="1188"/>
      <c r="AD273" s="1188"/>
      <c r="AE273" s="1188"/>
      <c r="AF273" s="1188"/>
      <c r="AG273" s="138"/>
      <c r="AH273" s="1296"/>
      <c r="AI273" s="1296"/>
      <c r="AJ273" s="1296"/>
      <c r="AK273" s="1296"/>
      <c r="AL273" s="1296"/>
      <c r="AM273" s="1296"/>
      <c r="AN273" s="1296"/>
      <c r="AO273" s="1296"/>
      <c r="AP273" s="1296"/>
      <c r="AQ273" s="1296"/>
      <c r="AR273" s="1296"/>
      <c r="AS273" s="1296"/>
      <c r="AT273" s="1296"/>
      <c r="AU273" s="1296"/>
      <c r="AV273" s="1296"/>
      <c r="AW273" s="1296"/>
      <c r="AX273" s="1296"/>
      <c r="AY273" s="1296"/>
      <c r="AZ273" s="1296"/>
      <c r="BA273" s="1296"/>
      <c r="BB273" s="1296"/>
      <c r="BC273" s="1296"/>
      <c r="BD273" s="1296"/>
      <c r="BE273" s="1296"/>
      <c r="BF273" s="1296"/>
      <c r="BG273" s="1296"/>
      <c r="BH273" s="1296"/>
      <c r="BI273" s="1296"/>
      <c r="BJ273" s="1296"/>
      <c r="BK273" s="1296"/>
      <c r="BL273" s="1296"/>
      <c r="BM273" s="1296"/>
      <c r="BN273" s="1296"/>
      <c r="BO273" s="1296"/>
      <c r="BP273" s="1296"/>
      <c r="BQ273" s="1296"/>
      <c r="BR273" s="1296"/>
      <c r="BS273" s="1296"/>
      <c r="BT273" s="1296"/>
      <c r="BU273" s="1296"/>
      <c r="BV273" s="1296"/>
      <c r="BW273" s="1296"/>
      <c r="BX273" s="1296"/>
      <c r="BY273" s="1296"/>
      <c r="BZ273" s="1296"/>
      <c r="CA273" s="1296"/>
      <c r="CB273" s="1296"/>
      <c r="CC273" s="1296"/>
      <c r="CD273" s="1296"/>
      <c r="CE273" s="1296"/>
      <c r="CF273" s="1296"/>
      <c r="CG273" s="1296"/>
      <c r="CH273" s="1296"/>
      <c r="CI273" s="1296"/>
      <c r="CJ273" s="1296"/>
      <c r="CK273" s="1296"/>
    </row>
    <row r="274" spans="1:89" ht="15.75" thickBot="1" x14ac:dyDescent="0.3">
      <c r="A274" s="1296"/>
      <c r="B274" s="1719" t="s">
        <v>1852</v>
      </c>
      <c r="C274" s="1343" t="s">
        <v>1853</v>
      </c>
      <c r="D274" s="1200" t="s">
        <v>1843</v>
      </c>
      <c r="E274" s="1200" t="s">
        <v>131</v>
      </c>
      <c r="F274" s="1200" t="s">
        <v>1844</v>
      </c>
      <c r="G274" s="1200" t="s">
        <v>1854</v>
      </c>
      <c r="H274" s="1201" t="s">
        <v>1855</v>
      </c>
      <c r="I274" s="1202" t="s">
        <v>767</v>
      </c>
      <c r="J274" s="1202" t="s">
        <v>768</v>
      </c>
      <c r="K274" s="1202" t="s">
        <v>769</v>
      </c>
      <c r="L274" s="1202" t="s">
        <v>770</v>
      </c>
      <c r="M274" s="1202" t="s">
        <v>204</v>
      </c>
      <c r="N274" s="1296"/>
      <c r="O274" s="138"/>
      <c r="P274" s="1296"/>
      <c r="Q274" s="1296"/>
      <c r="R274" s="1296"/>
      <c r="S274" s="1296"/>
      <c r="T274" s="1719" t="s">
        <v>1852</v>
      </c>
      <c r="U274" s="1318" t="s">
        <v>1853</v>
      </c>
      <c r="V274" s="1200" t="s">
        <v>1843</v>
      </c>
      <c r="W274" s="1200" t="s">
        <v>131</v>
      </c>
      <c r="X274" s="1200" t="s">
        <v>1844</v>
      </c>
      <c r="Y274" s="1200" t="s">
        <v>1854</v>
      </c>
      <c r="Z274" s="1201" t="s">
        <v>1855</v>
      </c>
      <c r="AA274" s="1202" t="s">
        <v>767</v>
      </c>
      <c r="AB274" s="1202" t="s">
        <v>768</v>
      </c>
      <c r="AC274" s="1202" t="s">
        <v>769</v>
      </c>
      <c r="AD274" s="1202" t="s">
        <v>770</v>
      </c>
      <c r="AE274" s="1202" t="s">
        <v>204</v>
      </c>
      <c r="AF274" s="1296"/>
      <c r="AG274" s="138"/>
      <c r="AH274" s="1296"/>
      <c r="AI274" s="1296"/>
      <c r="AJ274" s="1296"/>
      <c r="AK274" s="1296"/>
      <c r="AL274" s="1296"/>
      <c r="AM274" s="1296"/>
      <c r="AN274" s="1296"/>
      <c r="AO274" s="1296"/>
      <c r="AP274" s="1296"/>
      <c r="AQ274" s="1296"/>
      <c r="AR274" s="1296"/>
      <c r="AS274" s="1296"/>
      <c r="AT274" s="1296"/>
      <c r="AU274" s="1296"/>
      <c r="AV274" s="1296"/>
      <c r="AW274" s="1296"/>
      <c r="AX274" s="1296"/>
      <c r="AY274" s="1296"/>
      <c r="AZ274" s="1296"/>
      <c r="BA274" s="1296"/>
      <c r="BB274" s="1296"/>
      <c r="BC274" s="1296"/>
      <c r="BD274" s="1296"/>
      <c r="BE274" s="1296"/>
      <c r="BF274" s="1296"/>
      <c r="BG274" s="1296"/>
      <c r="BH274" s="1296"/>
      <c r="BI274" s="1296"/>
      <c r="BJ274" s="1296"/>
      <c r="BK274" s="1296"/>
      <c r="BL274" s="1296"/>
      <c r="BM274" s="1296"/>
      <c r="BN274" s="1296"/>
      <c r="BO274" s="1296"/>
      <c r="BP274" s="1296"/>
      <c r="BQ274" s="1296"/>
      <c r="BR274" s="1296"/>
      <c r="BS274" s="1296"/>
      <c r="BT274" s="1296"/>
      <c r="BU274" s="1296"/>
      <c r="BV274" s="1296"/>
      <c r="BW274" s="1296"/>
      <c r="BX274" s="1296"/>
      <c r="BY274" s="1296"/>
      <c r="BZ274" s="1296"/>
      <c r="CA274" s="1296"/>
      <c r="CB274" s="1296"/>
      <c r="CC274" s="1296"/>
      <c r="CD274" s="1296"/>
      <c r="CE274" s="1296"/>
      <c r="CF274" s="1296"/>
      <c r="CG274" s="1296"/>
      <c r="CH274" s="1296"/>
      <c r="CI274" s="1296"/>
      <c r="CJ274" s="1296"/>
      <c r="CK274" s="1296"/>
    </row>
    <row r="275" spans="1:89" x14ac:dyDescent="0.25">
      <c r="A275" s="1296"/>
      <c r="B275" s="1721"/>
      <c r="C275" s="1199">
        <v>1</v>
      </c>
      <c r="D275" s="1196" t="s">
        <v>1856</v>
      </c>
      <c r="E275" s="1196" t="s">
        <v>1444</v>
      </c>
      <c r="F275" s="1196" t="str">
        <f>'Required Info to Submit'!E23</f>
        <v/>
      </c>
      <c r="G275" s="1393" t="str">
        <f>IF(F275="","",'Required Info to Submit'!K23)</f>
        <v/>
      </c>
      <c r="H275" s="1394" t="str">
        <f>IF(F275="","",'Required Info to Submit'!L23)</f>
        <v/>
      </c>
      <c r="I275" s="1196" t="str">
        <f>'Required Info to Submit'!F23</f>
        <v/>
      </c>
      <c r="J275" s="1196" t="str">
        <f>'Required Info to Submit'!G23</f>
        <v/>
      </c>
      <c r="K275" s="1196" t="str">
        <f>'Required Info to Submit'!H23</f>
        <v/>
      </c>
      <c r="L275" s="1196" t="str">
        <f>'Required Info to Submit'!I23</f>
        <v/>
      </c>
      <c r="M275" s="1196" t="str">
        <f>'Required Info to Submit'!J23</f>
        <v/>
      </c>
      <c r="N275" s="1296"/>
      <c r="O275" s="138"/>
      <c r="P275" s="1296"/>
      <c r="Q275" s="1296"/>
      <c r="R275" s="1296"/>
      <c r="S275" s="1296"/>
      <c r="T275" s="1721"/>
      <c r="U275" s="1199">
        <v>1</v>
      </c>
      <c r="V275" s="1196" t="s">
        <v>1856</v>
      </c>
      <c r="W275" s="1196" t="s">
        <v>1444</v>
      </c>
      <c r="X275" s="1196" t="str">
        <f>'Required Info to Submit'!E23</f>
        <v/>
      </c>
      <c r="Y275" s="1393" t="str">
        <f>IF(X275="","",'Required Info to Submit'!K23)</f>
        <v/>
      </c>
      <c r="Z275" s="1394" t="str">
        <f>IF(X275="","",'Required Info to Submit'!L23)</f>
        <v/>
      </c>
      <c r="AA275" s="1196" t="str">
        <f>'Required Info to Submit'!F23</f>
        <v/>
      </c>
      <c r="AB275" s="1196" t="str">
        <f>'Required Info to Submit'!G23</f>
        <v/>
      </c>
      <c r="AC275" s="1196" t="str">
        <f>'Required Info to Submit'!H23</f>
        <v/>
      </c>
      <c r="AD275" s="1196" t="str">
        <f>'Required Info to Submit'!I23</f>
        <v/>
      </c>
      <c r="AE275" s="1196" t="str">
        <f>'Required Info to Submit'!J23</f>
        <v/>
      </c>
      <c r="AF275" s="1296"/>
      <c r="AG275" s="138"/>
      <c r="AH275" s="1296"/>
      <c r="AI275" s="1296"/>
      <c r="AJ275" s="1296"/>
      <c r="AK275" s="1296"/>
      <c r="AL275" s="1296"/>
      <c r="AM275" s="1296"/>
      <c r="AN275" s="1296"/>
      <c r="AO275" s="1296"/>
      <c r="AP275" s="1296"/>
      <c r="AQ275" s="1296"/>
      <c r="AR275" s="1296"/>
      <c r="AS275" s="1296"/>
      <c r="AT275" s="1296"/>
      <c r="AU275" s="1296"/>
      <c r="AV275" s="1296"/>
      <c r="AW275" s="1296"/>
      <c r="AX275" s="1296"/>
      <c r="AY275" s="1296"/>
      <c r="AZ275" s="1296"/>
      <c r="BA275" s="1296"/>
      <c r="BB275" s="1296"/>
      <c r="BC275" s="1296"/>
      <c r="BD275" s="1296"/>
      <c r="BE275" s="1296"/>
      <c r="BF275" s="1296"/>
      <c r="BG275" s="1296"/>
      <c r="BH275" s="1296"/>
      <c r="BI275" s="1296"/>
      <c r="BJ275" s="1296"/>
      <c r="BK275" s="1296"/>
      <c r="BL275" s="1296"/>
      <c r="BM275" s="1296"/>
      <c r="BN275" s="1296"/>
      <c r="BO275" s="1296"/>
      <c r="BP275" s="1296"/>
      <c r="BQ275" s="1296"/>
      <c r="BR275" s="1296"/>
      <c r="BS275" s="1296"/>
      <c r="BT275" s="1296"/>
      <c r="BU275" s="1296"/>
      <c r="BV275" s="1296"/>
      <c r="BW275" s="1296"/>
      <c r="BX275" s="1296"/>
      <c r="BY275" s="1296"/>
      <c r="BZ275" s="1296"/>
      <c r="CA275" s="1296"/>
      <c r="CB275" s="1296"/>
      <c r="CC275" s="1296"/>
      <c r="CD275" s="1296"/>
      <c r="CE275" s="1296"/>
      <c r="CF275" s="1296"/>
      <c r="CG275" s="1296"/>
      <c r="CH275" s="1296"/>
      <c r="CI275" s="1296"/>
      <c r="CJ275" s="1296"/>
      <c r="CK275" s="1296"/>
    </row>
    <row r="276" spans="1:89" x14ac:dyDescent="0.25">
      <c r="A276" s="1296"/>
      <c r="B276" s="1721"/>
      <c r="C276" s="1205">
        <v>2</v>
      </c>
      <c r="D276" s="1196" t="s">
        <v>1856</v>
      </c>
      <c r="E276" s="1196" t="s">
        <v>1444</v>
      </c>
      <c r="F276" s="1196" t="str">
        <f>'Required Info to Submit'!E24</f>
        <v/>
      </c>
      <c r="G276" s="1393" t="str">
        <f>IF(F276="","",'Required Info to Submit'!K24)</f>
        <v/>
      </c>
      <c r="H276" s="1394" t="str">
        <f>IF(F276="","",'Required Info to Submit'!L24)</f>
        <v/>
      </c>
      <c r="I276" s="1196" t="str">
        <f>'Required Info to Submit'!F24</f>
        <v/>
      </c>
      <c r="J276" s="1196" t="str">
        <f>'Required Info to Submit'!G24</f>
        <v/>
      </c>
      <c r="K276" s="1196" t="str">
        <f>'Required Info to Submit'!H24</f>
        <v/>
      </c>
      <c r="L276" s="1196" t="str">
        <f>'Required Info to Submit'!I24</f>
        <v/>
      </c>
      <c r="M276" s="1196" t="str">
        <f>'Required Info to Submit'!J24</f>
        <v/>
      </c>
      <c r="N276" s="1296"/>
      <c r="O276" s="138"/>
      <c r="P276" s="1296"/>
      <c r="Q276" s="1296"/>
      <c r="R276" s="1296"/>
      <c r="S276" s="1296"/>
      <c r="T276" s="1721"/>
      <c r="U276" s="1205">
        <v>2</v>
      </c>
      <c r="V276" s="1196" t="s">
        <v>1856</v>
      </c>
      <c r="W276" s="1196" t="s">
        <v>1444</v>
      </c>
      <c r="X276" s="1196" t="str">
        <f>'Required Info to Submit'!E24</f>
        <v/>
      </c>
      <c r="Y276" s="1393" t="str">
        <f>IF(X276="","",'Required Info to Submit'!K24)</f>
        <v/>
      </c>
      <c r="Z276" s="1394" t="str">
        <f>IF(X276="","",'Required Info to Submit'!L24)</f>
        <v/>
      </c>
      <c r="AA276" s="1196" t="str">
        <f>'Required Info to Submit'!F24</f>
        <v/>
      </c>
      <c r="AB276" s="1196" t="str">
        <f>'Required Info to Submit'!G24</f>
        <v/>
      </c>
      <c r="AC276" s="1196" t="str">
        <f>'Required Info to Submit'!H24</f>
        <v/>
      </c>
      <c r="AD276" s="1196" t="str">
        <f>'Required Info to Submit'!I24</f>
        <v/>
      </c>
      <c r="AE276" s="1196" t="str">
        <f>'Required Info to Submit'!J24</f>
        <v/>
      </c>
      <c r="AF276" s="1296"/>
      <c r="AG276" s="138"/>
      <c r="AH276" s="1296"/>
      <c r="AI276" s="1296"/>
      <c r="AJ276" s="1296"/>
      <c r="AK276" s="1296"/>
      <c r="AL276" s="1296"/>
      <c r="AM276" s="1296"/>
      <c r="AN276" s="1296"/>
      <c r="AO276" s="1296"/>
      <c r="AP276" s="1296"/>
      <c r="AQ276" s="1296"/>
      <c r="AR276" s="1296"/>
      <c r="AS276" s="1296"/>
      <c r="AT276" s="1296"/>
      <c r="AU276" s="1296"/>
      <c r="AV276" s="1296"/>
      <c r="AW276" s="1296"/>
      <c r="AX276" s="1296"/>
      <c r="AY276" s="1296"/>
      <c r="AZ276" s="1296"/>
      <c r="BA276" s="1296"/>
      <c r="BB276" s="1296"/>
      <c r="BC276" s="1296"/>
      <c r="BD276" s="1296"/>
      <c r="BE276" s="1296"/>
      <c r="BF276" s="1296"/>
      <c r="BG276" s="1296"/>
      <c r="BH276" s="1296"/>
      <c r="BI276" s="1296"/>
      <c r="BJ276" s="1296"/>
      <c r="BK276" s="1296"/>
      <c r="BL276" s="1296"/>
      <c r="BM276" s="1296"/>
      <c r="BN276" s="1296"/>
      <c r="BO276" s="1296"/>
      <c r="BP276" s="1296"/>
      <c r="BQ276" s="1296"/>
      <c r="BR276" s="1296"/>
      <c r="BS276" s="1296"/>
      <c r="BT276" s="1296"/>
      <c r="BU276" s="1296"/>
      <c r="BV276" s="1296"/>
      <c r="BW276" s="1296"/>
      <c r="BX276" s="1296"/>
      <c r="BY276" s="1296"/>
      <c r="BZ276" s="1296"/>
      <c r="CA276" s="1296"/>
      <c r="CB276" s="1296"/>
      <c r="CC276" s="1296"/>
      <c r="CD276" s="1296"/>
      <c r="CE276" s="1296"/>
      <c r="CF276" s="1296"/>
      <c r="CG276" s="1296"/>
      <c r="CH276" s="1296"/>
      <c r="CI276" s="1296"/>
      <c r="CJ276" s="1296"/>
      <c r="CK276" s="1296"/>
    </row>
    <row r="277" spans="1:89" x14ac:dyDescent="0.25">
      <c r="A277" s="1296"/>
      <c r="B277" s="1721"/>
      <c r="C277" s="1205">
        <v>3</v>
      </c>
      <c r="D277" s="1196" t="s">
        <v>1856</v>
      </c>
      <c r="E277" s="1196" t="s">
        <v>1444</v>
      </c>
      <c r="F277" s="1196" t="str">
        <f>'Required Info to Submit'!E25</f>
        <v/>
      </c>
      <c r="G277" s="1393" t="str">
        <f>IF(F277="","",'Required Info to Submit'!K25)</f>
        <v/>
      </c>
      <c r="H277" s="1394" t="str">
        <f>IF(F277="","",'Required Info to Submit'!L25)</f>
        <v/>
      </c>
      <c r="I277" s="1196" t="str">
        <f>'Required Info to Submit'!F25</f>
        <v/>
      </c>
      <c r="J277" s="1196" t="str">
        <f>'Required Info to Submit'!G25</f>
        <v/>
      </c>
      <c r="K277" s="1196" t="str">
        <f>'Required Info to Submit'!H25</f>
        <v/>
      </c>
      <c r="L277" s="1196" t="str">
        <f>'Required Info to Submit'!I25</f>
        <v/>
      </c>
      <c r="M277" s="1196" t="str">
        <f>'Required Info to Submit'!J25</f>
        <v/>
      </c>
      <c r="N277" s="1296"/>
      <c r="O277" s="138"/>
      <c r="P277" s="1296"/>
      <c r="Q277" s="1296"/>
      <c r="R277" s="1296"/>
      <c r="S277" s="1296"/>
      <c r="T277" s="1721"/>
      <c r="U277" s="1205">
        <v>3</v>
      </c>
      <c r="V277" s="1196" t="s">
        <v>1856</v>
      </c>
      <c r="W277" s="1196" t="s">
        <v>1444</v>
      </c>
      <c r="X277" s="1196" t="str">
        <f>'Required Info to Submit'!E25</f>
        <v/>
      </c>
      <c r="Y277" s="1393" t="str">
        <f>IF(X277="","",'Required Info to Submit'!K25)</f>
        <v/>
      </c>
      <c r="Z277" s="1394" t="str">
        <f>IF(X277="","",'Required Info to Submit'!L25)</f>
        <v/>
      </c>
      <c r="AA277" s="1196" t="str">
        <f>'Required Info to Submit'!F25</f>
        <v/>
      </c>
      <c r="AB277" s="1196" t="str">
        <f>'Required Info to Submit'!G25</f>
        <v/>
      </c>
      <c r="AC277" s="1196" t="str">
        <f>'Required Info to Submit'!H25</f>
        <v/>
      </c>
      <c r="AD277" s="1196" t="str">
        <f>'Required Info to Submit'!I25</f>
        <v/>
      </c>
      <c r="AE277" s="1196" t="str">
        <f>'Required Info to Submit'!J25</f>
        <v/>
      </c>
      <c r="AF277" s="1296"/>
      <c r="AG277" s="138"/>
      <c r="AH277" s="1296"/>
      <c r="AI277" s="1296"/>
      <c r="AJ277" s="1296"/>
      <c r="AK277" s="1296"/>
      <c r="AL277" s="1296"/>
      <c r="AM277" s="1296"/>
      <c r="AN277" s="1296"/>
      <c r="AO277" s="1296"/>
      <c r="AP277" s="1296"/>
      <c r="AQ277" s="1296"/>
      <c r="AR277" s="1296"/>
      <c r="AS277" s="1296"/>
      <c r="AT277" s="1296"/>
      <c r="AU277" s="1296"/>
      <c r="AV277" s="1296"/>
      <c r="AW277" s="1296"/>
      <c r="AX277" s="1296"/>
      <c r="AY277" s="1296"/>
      <c r="AZ277" s="1296"/>
      <c r="BA277" s="1296"/>
      <c r="BB277" s="1296"/>
      <c r="BC277" s="1296"/>
      <c r="BD277" s="1296"/>
      <c r="BE277" s="1296"/>
      <c r="BF277" s="1296"/>
      <c r="BG277" s="1296"/>
      <c r="BH277" s="1296"/>
      <c r="BI277" s="1296"/>
      <c r="BJ277" s="1296"/>
      <c r="BK277" s="1296"/>
      <c r="BL277" s="1296"/>
      <c r="BM277" s="1296"/>
      <c r="BN277" s="1296"/>
      <c r="BO277" s="1296"/>
      <c r="BP277" s="1296"/>
      <c r="BQ277" s="1296"/>
      <c r="BR277" s="1296"/>
      <c r="BS277" s="1296"/>
      <c r="BT277" s="1296"/>
      <c r="BU277" s="1296"/>
      <c r="BV277" s="1296"/>
      <c r="BW277" s="1296"/>
      <c r="BX277" s="1296"/>
      <c r="BY277" s="1296"/>
      <c r="BZ277" s="1296"/>
      <c r="CA277" s="1296"/>
      <c r="CB277" s="1296"/>
      <c r="CC277" s="1296"/>
      <c r="CD277" s="1296"/>
      <c r="CE277" s="1296"/>
      <c r="CF277" s="1296"/>
      <c r="CG277" s="1296"/>
      <c r="CH277" s="1296"/>
      <c r="CI277" s="1296"/>
      <c r="CJ277" s="1296"/>
      <c r="CK277" s="1296"/>
    </row>
    <row r="278" spans="1:89" x14ac:dyDescent="0.25">
      <c r="A278" s="1296"/>
      <c r="B278" s="1721"/>
      <c r="C278" s="1205">
        <v>4</v>
      </c>
      <c r="D278" s="1196" t="s">
        <v>1856</v>
      </c>
      <c r="E278" s="1196" t="s">
        <v>1444</v>
      </c>
      <c r="F278" s="1196" t="str">
        <f>'Required Info to Submit'!E26</f>
        <v/>
      </c>
      <c r="G278" s="1393" t="str">
        <f>IF(F278="","",'Required Info to Submit'!K26)</f>
        <v/>
      </c>
      <c r="H278" s="1394" t="str">
        <f>IF(F278="","",'Required Info to Submit'!L26)</f>
        <v/>
      </c>
      <c r="I278" s="1196" t="str">
        <f>'Required Info to Submit'!F26</f>
        <v/>
      </c>
      <c r="J278" s="1196" t="str">
        <f>'Required Info to Submit'!G26</f>
        <v/>
      </c>
      <c r="K278" s="1196" t="str">
        <f>'Required Info to Submit'!H26</f>
        <v/>
      </c>
      <c r="L278" s="1196" t="str">
        <f>'Required Info to Submit'!I26</f>
        <v/>
      </c>
      <c r="M278" s="1196" t="str">
        <f>'Required Info to Submit'!J26</f>
        <v/>
      </c>
      <c r="N278" s="1296"/>
      <c r="O278" s="138"/>
      <c r="P278" s="1296"/>
      <c r="Q278" s="1296"/>
      <c r="R278" s="1296"/>
      <c r="S278" s="1296"/>
      <c r="T278" s="1721"/>
      <c r="U278" s="1205">
        <v>4</v>
      </c>
      <c r="V278" s="1196" t="s">
        <v>1856</v>
      </c>
      <c r="W278" s="1196" t="s">
        <v>1444</v>
      </c>
      <c r="X278" s="1196" t="str">
        <f>'Required Info to Submit'!E26</f>
        <v/>
      </c>
      <c r="Y278" s="1393" t="str">
        <f>IF(X278="","",'Required Info to Submit'!K26)</f>
        <v/>
      </c>
      <c r="Z278" s="1394" t="str">
        <f>IF(X278="","",'Required Info to Submit'!L26)</f>
        <v/>
      </c>
      <c r="AA278" s="1196" t="str">
        <f>'Required Info to Submit'!F26</f>
        <v/>
      </c>
      <c r="AB278" s="1196" t="str">
        <f>'Required Info to Submit'!G26</f>
        <v/>
      </c>
      <c r="AC278" s="1196" t="str">
        <f>'Required Info to Submit'!H26</f>
        <v/>
      </c>
      <c r="AD278" s="1196" t="str">
        <f>'Required Info to Submit'!I26</f>
        <v/>
      </c>
      <c r="AE278" s="1196" t="str">
        <f>'Required Info to Submit'!J26</f>
        <v/>
      </c>
      <c r="AF278" s="1296"/>
      <c r="AG278" s="138"/>
      <c r="AH278" s="1296"/>
      <c r="AI278" s="1296"/>
      <c r="AJ278" s="1296"/>
      <c r="AK278" s="1296"/>
      <c r="AL278" s="1296"/>
      <c r="AM278" s="1296"/>
      <c r="AN278" s="1296"/>
      <c r="AO278" s="1296"/>
      <c r="AP278" s="1296"/>
      <c r="AQ278" s="1296"/>
      <c r="AR278" s="1296"/>
      <c r="AS278" s="1296"/>
      <c r="AT278" s="1296"/>
      <c r="AU278" s="1296"/>
      <c r="AV278" s="1296"/>
      <c r="AW278" s="1296"/>
      <c r="AX278" s="1296"/>
      <c r="AY278" s="1296"/>
      <c r="AZ278" s="1296"/>
      <c r="BA278" s="1296"/>
      <c r="BB278" s="1296"/>
      <c r="BC278" s="1296"/>
      <c r="BD278" s="1296"/>
      <c r="BE278" s="1296"/>
      <c r="BF278" s="1296"/>
      <c r="BG278" s="1296"/>
      <c r="BH278" s="1296"/>
      <c r="BI278" s="1296"/>
      <c r="BJ278" s="1296"/>
      <c r="BK278" s="1296"/>
      <c r="BL278" s="1296"/>
      <c r="BM278" s="1296"/>
      <c r="BN278" s="1296"/>
      <c r="BO278" s="1296"/>
      <c r="BP278" s="1296"/>
      <c r="BQ278" s="1296"/>
      <c r="BR278" s="1296"/>
      <c r="BS278" s="1296"/>
      <c r="BT278" s="1296"/>
      <c r="BU278" s="1296"/>
      <c r="BV278" s="1296"/>
      <c r="BW278" s="1296"/>
      <c r="BX278" s="1296"/>
      <c r="BY278" s="1296"/>
      <c r="BZ278" s="1296"/>
      <c r="CA278" s="1296"/>
      <c r="CB278" s="1296"/>
      <c r="CC278" s="1296"/>
      <c r="CD278" s="1296"/>
      <c r="CE278" s="1296"/>
      <c r="CF278" s="1296"/>
      <c r="CG278" s="1296"/>
      <c r="CH278" s="1296"/>
      <c r="CI278" s="1296"/>
      <c r="CJ278" s="1296"/>
      <c r="CK278" s="1296"/>
    </row>
    <row r="279" spans="1:89" x14ac:dyDescent="0.25">
      <c r="A279" s="1296"/>
      <c r="B279" s="1721"/>
      <c r="C279" s="1205">
        <v>5</v>
      </c>
      <c r="D279" s="1196" t="s">
        <v>1856</v>
      </c>
      <c r="E279" s="1196" t="s">
        <v>1444</v>
      </c>
      <c r="F279" s="1196" t="str">
        <f>'Required Info to Submit'!E27</f>
        <v/>
      </c>
      <c r="G279" s="1393" t="str">
        <f>IF(F279="","",'Required Info to Submit'!K27)</f>
        <v/>
      </c>
      <c r="H279" s="1394" t="str">
        <f>IF(F279="","",'Required Info to Submit'!L27)</f>
        <v/>
      </c>
      <c r="I279" s="1196" t="str">
        <f>'Required Info to Submit'!F27</f>
        <v/>
      </c>
      <c r="J279" s="1196" t="str">
        <f>'Required Info to Submit'!G27</f>
        <v/>
      </c>
      <c r="K279" s="1196" t="str">
        <f>'Required Info to Submit'!H27</f>
        <v/>
      </c>
      <c r="L279" s="1196" t="str">
        <f>'Required Info to Submit'!I27</f>
        <v/>
      </c>
      <c r="M279" s="1196" t="str">
        <f>'Required Info to Submit'!J27</f>
        <v/>
      </c>
      <c r="N279" s="1296"/>
      <c r="O279" s="138"/>
      <c r="P279" s="1296"/>
      <c r="Q279" s="1296"/>
      <c r="R279" s="1296"/>
      <c r="S279" s="1296"/>
      <c r="T279" s="1721"/>
      <c r="U279" s="1205">
        <v>5</v>
      </c>
      <c r="V279" s="1196" t="s">
        <v>1856</v>
      </c>
      <c r="W279" s="1196" t="s">
        <v>1444</v>
      </c>
      <c r="X279" s="1196" t="str">
        <f>'Required Info to Submit'!E27</f>
        <v/>
      </c>
      <c r="Y279" s="1393" t="str">
        <f>IF(X279="","",'Required Info to Submit'!K27)</f>
        <v/>
      </c>
      <c r="Z279" s="1394" t="str">
        <f>IF(X279="","",'Required Info to Submit'!L27)</f>
        <v/>
      </c>
      <c r="AA279" s="1196" t="str">
        <f>'Required Info to Submit'!F27</f>
        <v/>
      </c>
      <c r="AB279" s="1196" t="str">
        <f>'Required Info to Submit'!G27</f>
        <v/>
      </c>
      <c r="AC279" s="1196" t="str">
        <f>'Required Info to Submit'!H27</f>
        <v/>
      </c>
      <c r="AD279" s="1196" t="str">
        <f>'Required Info to Submit'!I27</f>
        <v/>
      </c>
      <c r="AE279" s="1196" t="str">
        <f>'Required Info to Submit'!J27</f>
        <v/>
      </c>
      <c r="AF279" s="1296"/>
      <c r="AG279" s="138"/>
      <c r="AH279" s="1296"/>
      <c r="AI279" s="1296"/>
      <c r="AJ279" s="1296"/>
      <c r="AK279" s="1296"/>
      <c r="AL279" s="1296"/>
      <c r="AM279" s="1296"/>
      <c r="AN279" s="1296"/>
      <c r="AO279" s="1296"/>
      <c r="AP279" s="1296"/>
      <c r="AQ279" s="1296"/>
      <c r="AR279" s="1296"/>
      <c r="AS279" s="1296"/>
      <c r="AT279" s="1296"/>
      <c r="AU279" s="1296"/>
      <c r="AV279" s="1296"/>
      <c r="AW279" s="1296"/>
      <c r="AX279" s="1296"/>
      <c r="AY279" s="1296"/>
      <c r="AZ279" s="1296"/>
      <c r="BA279" s="1296"/>
      <c r="BB279" s="1296"/>
      <c r="BC279" s="1296"/>
      <c r="BD279" s="1296"/>
      <c r="BE279" s="1296"/>
      <c r="BF279" s="1296"/>
      <c r="BG279" s="1296"/>
      <c r="BH279" s="1296"/>
      <c r="BI279" s="1296"/>
      <c r="BJ279" s="1296"/>
      <c r="BK279" s="1296"/>
      <c r="BL279" s="1296"/>
      <c r="BM279" s="1296"/>
      <c r="BN279" s="1296"/>
      <c r="BO279" s="1296"/>
      <c r="BP279" s="1296"/>
      <c r="BQ279" s="1296"/>
      <c r="BR279" s="1296"/>
      <c r="BS279" s="1296"/>
      <c r="BT279" s="1296"/>
      <c r="BU279" s="1296"/>
      <c r="BV279" s="1296"/>
      <c r="BW279" s="1296"/>
      <c r="BX279" s="1296"/>
      <c r="BY279" s="1296"/>
      <c r="BZ279" s="1296"/>
      <c r="CA279" s="1296"/>
      <c r="CB279" s="1296"/>
      <c r="CC279" s="1296"/>
      <c r="CD279" s="1296"/>
      <c r="CE279" s="1296"/>
      <c r="CF279" s="1296"/>
      <c r="CG279" s="1296"/>
      <c r="CH279" s="1296"/>
      <c r="CI279" s="1296"/>
      <c r="CJ279" s="1296"/>
      <c r="CK279" s="1296"/>
    </row>
    <row r="280" spans="1:89" x14ac:dyDescent="0.25">
      <c r="A280" s="1296"/>
      <c r="B280" s="1721"/>
      <c r="C280" s="1205">
        <v>6</v>
      </c>
      <c r="D280" s="1196" t="s">
        <v>1856</v>
      </c>
      <c r="E280" s="1196" t="s">
        <v>1444</v>
      </c>
      <c r="F280" s="1196" t="str">
        <f>'Required Info to Submit'!E28</f>
        <v/>
      </c>
      <c r="G280" s="1393" t="str">
        <f>IF(F280="","",'Required Info to Submit'!K28)</f>
        <v/>
      </c>
      <c r="H280" s="1394" t="str">
        <f>IF(F280="","",'Required Info to Submit'!L28)</f>
        <v/>
      </c>
      <c r="I280" s="1196" t="str">
        <f>'Required Info to Submit'!F28</f>
        <v/>
      </c>
      <c r="J280" s="1196" t="str">
        <f>'Required Info to Submit'!G28</f>
        <v/>
      </c>
      <c r="K280" s="1196" t="str">
        <f>'Required Info to Submit'!H28</f>
        <v/>
      </c>
      <c r="L280" s="1196" t="str">
        <f>'Required Info to Submit'!I28</f>
        <v/>
      </c>
      <c r="M280" s="1196" t="str">
        <f>'Required Info to Submit'!J28</f>
        <v/>
      </c>
      <c r="N280" s="1296"/>
      <c r="O280" s="138"/>
      <c r="P280" s="1296"/>
      <c r="Q280" s="1296"/>
      <c r="R280" s="1296"/>
      <c r="S280" s="1296"/>
      <c r="T280" s="1721"/>
      <c r="U280" s="1205">
        <v>6</v>
      </c>
      <c r="V280" s="1196" t="s">
        <v>1856</v>
      </c>
      <c r="W280" s="1196" t="s">
        <v>1444</v>
      </c>
      <c r="X280" s="1196" t="str">
        <f>'Required Info to Submit'!E28</f>
        <v/>
      </c>
      <c r="Y280" s="1393" t="str">
        <f>IF(X280="","",'Required Info to Submit'!K28)</f>
        <v/>
      </c>
      <c r="Z280" s="1394" t="str">
        <f>IF(X280="","",'Required Info to Submit'!L28)</f>
        <v/>
      </c>
      <c r="AA280" s="1196" t="str">
        <f>'Required Info to Submit'!F28</f>
        <v/>
      </c>
      <c r="AB280" s="1196" t="str">
        <f>'Required Info to Submit'!G28</f>
        <v/>
      </c>
      <c r="AC280" s="1196" t="str">
        <f>'Required Info to Submit'!H28</f>
        <v/>
      </c>
      <c r="AD280" s="1196" t="str">
        <f>'Required Info to Submit'!I28</f>
        <v/>
      </c>
      <c r="AE280" s="1196" t="str">
        <f>'Required Info to Submit'!J28</f>
        <v/>
      </c>
      <c r="AF280" s="1296"/>
      <c r="AG280" s="138"/>
      <c r="AH280" s="1296"/>
      <c r="AI280" s="1296"/>
      <c r="AJ280" s="1296"/>
      <c r="AK280" s="1296"/>
      <c r="AL280" s="1296"/>
      <c r="AM280" s="1296"/>
      <c r="AN280" s="1296"/>
      <c r="AO280" s="1296"/>
      <c r="AP280" s="1296"/>
      <c r="AQ280" s="1296"/>
      <c r="AR280" s="1296"/>
      <c r="AS280" s="1296"/>
      <c r="AT280" s="1296"/>
      <c r="AU280" s="1296"/>
      <c r="AV280" s="1296"/>
      <c r="AW280" s="1296"/>
      <c r="AX280" s="1296"/>
      <c r="AY280" s="1296"/>
      <c r="AZ280" s="1296"/>
      <c r="BA280" s="1296"/>
      <c r="BB280" s="1296"/>
      <c r="BC280" s="1296"/>
      <c r="BD280" s="1296"/>
      <c r="BE280" s="1296"/>
      <c r="BF280" s="1296"/>
      <c r="BG280" s="1296"/>
      <c r="BH280" s="1296"/>
      <c r="BI280" s="1296"/>
      <c r="BJ280" s="1296"/>
      <c r="BK280" s="1296"/>
      <c r="BL280" s="1296"/>
      <c r="BM280" s="1296"/>
      <c r="BN280" s="1296"/>
      <c r="BO280" s="1296"/>
      <c r="BP280" s="1296"/>
      <c r="BQ280" s="1296"/>
      <c r="BR280" s="1296"/>
      <c r="BS280" s="1296"/>
      <c r="BT280" s="1296"/>
      <c r="BU280" s="1296"/>
      <c r="BV280" s="1296"/>
      <c r="BW280" s="1296"/>
      <c r="BX280" s="1296"/>
      <c r="BY280" s="1296"/>
      <c r="BZ280" s="1296"/>
      <c r="CA280" s="1296"/>
      <c r="CB280" s="1296"/>
      <c r="CC280" s="1296"/>
      <c r="CD280" s="1296"/>
      <c r="CE280" s="1296"/>
      <c r="CF280" s="1296"/>
      <c r="CG280" s="1296"/>
      <c r="CH280" s="1296"/>
      <c r="CI280" s="1296"/>
      <c r="CJ280" s="1296"/>
      <c r="CK280" s="1296"/>
    </row>
    <row r="281" spans="1:89" x14ac:dyDescent="0.25">
      <c r="A281" s="1296"/>
      <c r="B281" s="1721"/>
      <c r="C281" s="1205">
        <v>7</v>
      </c>
      <c r="D281" s="1196" t="s">
        <v>1856</v>
      </c>
      <c r="E281" s="1196" t="s">
        <v>1444</v>
      </c>
      <c r="F281" s="1196" t="str">
        <f>'Required Info to Submit'!E29</f>
        <v/>
      </c>
      <c r="G281" s="1393" t="str">
        <f>IF(F281="","",'Required Info to Submit'!K29)</f>
        <v/>
      </c>
      <c r="H281" s="1394" t="str">
        <f>IF(F281="","",'Required Info to Submit'!L29)</f>
        <v/>
      </c>
      <c r="I281" s="1196" t="str">
        <f>'Required Info to Submit'!F29</f>
        <v/>
      </c>
      <c r="J281" s="1196" t="str">
        <f>'Required Info to Submit'!G29</f>
        <v/>
      </c>
      <c r="K281" s="1196" t="str">
        <f>'Required Info to Submit'!H29</f>
        <v/>
      </c>
      <c r="L281" s="1196" t="str">
        <f>'Required Info to Submit'!I29</f>
        <v/>
      </c>
      <c r="M281" s="1196" t="str">
        <f>'Required Info to Submit'!J29</f>
        <v/>
      </c>
      <c r="N281" s="1296"/>
      <c r="O281" s="138"/>
      <c r="P281" s="1296"/>
      <c r="Q281" s="1296"/>
      <c r="R281" s="1296"/>
      <c r="S281" s="1296"/>
      <c r="T281" s="1721"/>
      <c r="U281" s="1205">
        <v>7</v>
      </c>
      <c r="V281" s="1196" t="s">
        <v>1856</v>
      </c>
      <c r="W281" s="1196" t="s">
        <v>1444</v>
      </c>
      <c r="X281" s="1196" t="str">
        <f>'Required Info to Submit'!E29</f>
        <v/>
      </c>
      <c r="Y281" s="1393" t="str">
        <f>IF(X281="","",'Required Info to Submit'!K29)</f>
        <v/>
      </c>
      <c r="Z281" s="1394" t="str">
        <f>IF(X281="","",'Required Info to Submit'!L29)</f>
        <v/>
      </c>
      <c r="AA281" s="1196" t="str">
        <f>'Required Info to Submit'!F29</f>
        <v/>
      </c>
      <c r="AB281" s="1196" t="str">
        <f>'Required Info to Submit'!G29</f>
        <v/>
      </c>
      <c r="AC281" s="1196" t="str">
        <f>'Required Info to Submit'!H29</f>
        <v/>
      </c>
      <c r="AD281" s="1196" t="str">
        <f>'Required Info to Submit'!I29</f>
        <v/>
      </c>
      <c r="AE281" s="1196" t="str">
        <f>'Required Info to Submit'!J29</f>
        <v/>
      </c>
      <c r="AF281" s="1296"/>
      <c r="AG281" s="138"/>
      <c r="AH281" s="1296"/>
      <c r="AI281" s="1296"/>
      <c r="AJ281" s="1296"/>
      <c r="AK281" s="1296"/>
      <c r="AL281" s="1296"/>
      <c r="AM281" s="1296"/>
      <c r="AN281" s="1296"/>
      <c r="AO281" s="1296"/>
      <c r="AP281" s="1296"/>
      <c r="AQ281" s="1296"/>
      <c r="AR281" s="1296"/>
      <c r="AS281" s="1296"/>
      <c r="AT281" s="1296"/>
      <c r="AU281" s="1296"/>
      <c r="AV281" s="1296"/>
      <c r="AW281" s="1296"/>
      <c r="AX281" s="1296"/>
      <c r="AY281" s="1296"/>
      <c r="AZ281" s="1296"/>
      <c r="BA281" s="1296"/>
      <c r="BB281" s="1296"/>
      <c r="BC281" s="1296"/>
      <c r="BD281" s="1296"/>
      <c r="BE281" s="1296"/>
      <c r="BF281" s="1296"/>
      <c r="BG281" s="1296"/>
      <c r="BH281" s="1296"/>
      <c r="BI281" s="1296"/>
      <c r="BJ281" s="1296"/>
      <c r="BK281" s="1296"/>
      <c r="BL281" s="1296"/>
      <c r="BM281" s="1296"/>
      <c r="BN281" s="1296"/>
      <c r="BO281" s="1296"/>
      <c r="BP281" s="1296"/>
      <c r="BQ281" s="1296"/>
      <c r="BR281" s="1296"/>
      <c r="BS281" s="1296"/>
      <c r="BT281" s="1296"/>
      <c r="BU281" s="1296"/>
      <c r="BV281" s="1296"/>
      <c r="BW281" s="1296"/>
      <c r="BX281" s="1296"/>
      <c r="BY281" s="1296"/>
      <c r="BZ281" s="1296"/>
      <c r="CA281" s="1296"/>
      <c r="CB281" s="1296"/>
      <c r="CC281" s="1296"/>
      <c r="CD281" s="1296"/>
      <c r="CE281" s="1296"/>
      <c r="CF281" s="1296"/>
      <c r="CG281" s="1296"/>
      <c r="CH281" s="1296"/>
      <c r="CI281" s="1296"/>
      <c r="CJ281" s="1296"/>
      <c r="CK281" s="1296"/>
    </row>
    <row r="282" spans="1:89" x14ac:dyDescent="0.25">
      <c r="A282" s="1296"/>
      <c r="B282" s="1721"/>
      <c r="C282" s="1205">
        <v>8</v>
      </c>
      <c r="D282" s="1196" t="s">
        <v>1856</v>
      </c>
      <c r="E282" s="1196" t="s">
        <v>1444</v>
      </c>
      <c r="F282" s="1196" t="str">
        <f>'Required Info to Submit'!E30</f>
        <v/>
      </c>
      <c r="G282" s="1393" t="str">
        <f>IF(F282="","",'Required Info to Submit'!K30)</f>
        <v/>
      </c>
      <c r="H282" s="1394" t="str">
        <f>IF(F282="","",'Required Info to Submit'!L30)</f>
        <v/>
      </c>
      <c r="I282" s="1196" t="str">
        <f>'Required Info to Submit'!F30</f>
        <v/>
      </c>
      <c r="J282" s="1196" t="str">
        <f>'Required Info to Submit'!G30</f>
        <v/>
      </c>
      <c r="K282" s="1196" t="str">
        <f>'Required Info to Submit'!H30</f>
        <v/>
      </c>
      <c r="L282" s="1196" t="str">
        <f>'Required Info to Submit'!I30</f>
        <v/>
      </c>
      <c r="M282" s="1196" t="str">
        <f>'Required Info to Submit'!J30</f>
        <v/>
      </c>
      <c r="N282" s="1296"/>
      <c r="O282" s="138"/>
      <c r="P282" s="1296"/>
      <c r="Q282" s="1296"/>
      <c r="R282" s="1296"/>
      <c r="S282" s="1296"/>
      <c r="T282" s="1721"/>
      <c r="U282" s="1205">
        <v>8</v>
      </c>
      <c r="V282" s="1196" t="s">
        <v>1856</v>
      </c>
      <c r="W282" s="1196" t="s">
        <v>1444</v>
      </c>
      <c r="X282" s="1196" t="str">
        <f>'Required Info to Submit'!E30</f>
        <v/>
      </c>
      <c r="Y282" s="1393" t="str">
        <f>IF(X282="","",'Required Info to Submit'!K30)</f>
        <v/>
      </c>
      <c r="Z282" s="1394" t="str">
        <f>IF(X282="","",'Required Info to Submit'!L30)</f>
        <v/>
      </c>
      <c r="AA282" s="1196" t="str">
        <f>'Required Info to Submit'!F30</f>
        <v/>
      </c>
      <c r="AB282" s="1196" t="str">
        <f>'Required Info to Submit'!G30</f>
        <v/>
      </c>
      <c r="AC282" s="1196" t="str">
        <f>'Required Info to Submit'!H30</f>
        <v/>
      </c>
      <c r="AD282" s="1196" t="str">
        <f>'Required Info to Submit'!I30</f>
        <v/>
      </c>
      <c r="AE282" s="1196" t="str">
        <f>'Required Info to Submit'!J30</f>
        <v/>
      </c>
      <c r="AF282" s="1296"/>
      <c r="AG282" s="138"/>
      <c r="AH282" s="1296"/>
      <c r="AI282" s="1296"/>
      <c r="AJ282" s="1296"/>
      <c r="AK282" s="1296"/>
      <c r="AL282" s="1296"/>
      <c r="AM282" s="1296"/>
      <c r="AN282" s="1296"/>
      <c r="AO282" s="1296"/>
      <c r="AP282" s="1296"/>
      <c r="AQ282" s="1296"/>
      <c r="AR282" s="1296"/>
      <c r="AS282" s="1296"/>
      <c r="AT282" s="1296"/>
      <c r="AU282" s="1296"/>
      <c r="AV282" s="1296"/>
      <c r="AW282" s="1296"/>
      <c r="AX282" s="1296"/>
      <c r="AY282" s="1296"/>
      <c r="AZ282" s="1296"/>
      <c r="BA282" s="1296"/>
      <c r="BB282" s="1296"/>
      <c r="BC282" s="1296"/>
      <c r="BD282" s="1296"/>
      <c r="BE282" s="1296"/>
      <c r="BF282" s="1296"/>
      <c r="BG282" s="1296"/>
      <c r="BH282" s="1296"/>
      <c r="BI282" s="1296"/>
      <c r="BJ282" s="1296"/>
      <c r="BK282" s="1296"/>
      <c r="BL282" s="1296"/>
      <c r="BM282" s="1296"/>
      <c r="BN282" s="1296"/>
      <c r="BO282" s="1296"/>
      <c r="BP282" s="1296"/>
      <c r="BQ282" s="1296"/>
      <c r="BR282" s="1296"/>
      <c r="BS282" s="1296"/>
      <c r="BT282" s="1296"/>
      <c r="BU282" s="1296"/>
      <c r="BV282" s="1296"/>
      <c r="BW282" s="1296"/>
      <c r="BX282" s="1296"/>
      <c r="BY282" s="1296"/>
      <c r="BZ282" s="1296"/>
      <c r="CA282" s="1296"/>
      <c r="CB282" s="1296"/>
      <c r="CC282" s="1296"/>
      <c r="CD282" s="1296"/>
      <c r="CE282" s="1296"/>
      <c r="CF282" s="1296"/>
      <c r="CG282" s="1296"/>
      <c r="CH282" s="1296"/>
      <c r="CI282" s="1296"/>
      <c r="CJ282" s="1296"/>
      <c r="CK282" s="1296"/>
    </row>
    <row r="283" spans="1:89" x14ac:dyDescent="0.25">
      <c r="A283" s="1296"/>
      <c r="B283" s="1721"/>
      <c r="C283" s="1205">
        <v>9</v>
      </c>
      <c r="D283" s="1196" t="s">
        <v>1856</v>
      </c>
      <c r="E283" s="1196" t="s">
        <v>1444</v>
      </c>
      <c r="F283" s="1196" t="str">
        <f>'Required Info to Submit'!E31</f>
        <v/>
      </c>
      <c r="G283" s="1393" t="str">
        <f>IF(F283="","",'Required Info to Submit'!K31)</f>
        <v/>
      </c>
      <c r="H283" s="1394" t="str">
        <f>IF(F283="","",'Required Info to Submit'!L31)</f>
        <v/>
      </c>
      <c r="I283" s="1196" t="str">
        <f>'Required Info to Submit'!F31</f>
        <v/>
      </c>
      <c r="J283" s="1196" t="str">
        <f>'Required Info to Submit'!G31</f>
        <v/>
      </c>
      <c r="K283" s="1196" t="str">
        <f>'Required Info to Submit'!H31</f>
        <v/>
      </c>
      <c r="L283" s="1196" t="str">
        <f>'Required Info to Submit'!I31</f>
        <v/>
      </c>
      <c r="M283" s="1196" t="str">
        <f>'Required Info to Submit'!J31</f>
        <v/>
      </c>
      <c r="N283" s="1296"/>
      <c r="O283" s="138"/>
      <c r="P283" s="1296"/>
      <c r="Q283" s="1296"/>
      <c r="R283" s="1296"/>
      <c r="S283" s="1296"/>
      <c r="T283" s="1721"/>
      <c r="U283" s="1205">
        <v>9</v>
      </c>
      <c r="V283" s="1196" t="s">
        <v>1856</v>
      </c>
      <c r="W283" s="1196" t="s">
        <v>1444</v>
      </c>
      <c r="X283" s="1196" t="str">
        <f>'Required Info to Submit'!E31</f>
        <v/>
      </c>
      <c r="Y283" s="1393" t="str">
        <f>IF(X283="","",'Required Info to Submit'!K31)</f>
        <v/>
      </c>
      <c r="Z283" s="1394" t="str">
        <f>IF(X283="","",'Required Info to Submit'!L31)</f>
        <v/>
      </c>
      <c r="AA283" s="1196" t="str">
        <f>'Required Info to Submit'!F31</f>
        <v/>
      </c>
      <c r="AB283" s="1196" t="str">
        <f>'Required Info to Submit'!G31</f>
        <v/>
      </c>
      <c r="AC283" s="1196" t="str">
        <f>'Required Info to Submit'!H31</f>
        <v/>
      </c>
      <c r="AD283" s="1196" t="str">
        <f>'Required Info to Submit'!I31</f>
        <v/>
      </c>
      <c r="AE283" s="1196" t="str">
        <f>'Required Info to Submit'!J31</f>
        <v/>
      </c>
      <c r="AF283" s="1296"/>
      <c r="AG283" s="138"/>
      <c r="AH283" s="1296"/>
      <c r="AI283" s="1296"/>
      <c r="AJ283" s="1296"/>
      <c r="AK283" s="1296"/>
      <c r="AL283" s="1296"/>
      <c r="AM283" s="1296"/>
      <c r="AN283" s="1296"/>
      <c r="AO283" s="1296"/>
      <c r="AP283" s="1296"/>
      <c r="AQ283" s="1296"/>
      <c r="AR283" s="1296"/>
      <c r="AS283" s="1296"/>
      <c r="AT283" s="1296"/>
      <c r="AU283" s="1296"/>
      <c r="AV283" s="1296"/>
      <c r="AW283" s="1296"/>
      <c r="AX283" s="1296"/>
      <c r="AY283" s="1296"/>
      <c r="AZ283" s="1296"/>
      <c r="BA283" s="1296"/>
      <c r="BB283" s="1296"/>
      <c r="BC283" s="1296"/>
      <c r="BD283" s="1296"/>
      <c r="BE283" s="1296"/>
      <c r="BF283" s="1296"/>
      <c r="BG283" s="1296"/>
      <c r="BH283" s="1296"/>
      <c r="BI283" s="1296"/>
      <c r="BJ283" s="1296"/>
      <c r="BK283" s="1296"/>
      <c r="BL283" s="1296"/>
      <c r="BM283" s="1296"/>
      <c r="BN283" s="1296"/>
      <c r="BO283" s="1296"/>
      <c r="BP283" s="1296"/>
      <c r="BQ283" s="1296"/>
      <c r="BR283" s="1296"/>
      <c r="BS283" s="1296"/>
      <c r="BT283" s="1296"/>
      <c r="BU283" s="1296"/>
      <c r="BV283" s="1296"/>
      <c r="BW283" s="1296"/>
      <c r="BX283" s="1296"/>
      <c r="BY283" s="1296"/>
      <c r="BZ283" s="1296"/>
      <c r="CA283" s="1296"/>
      <c r="CB283" s="1296"/>
      <c r="CC283" s="1296"/>
      <c r="CD283" s="1296"/>
      <c r="CE283" s="1296"/>
      <c r="CF283" s="1296"/>
      <c r="CG283" s="1296"/>
      <c r="CH283" s="1296"/>
      <c r="CI283" s="1296"/>
      <c r="CJ283" s="1296"/>
      <c r="CK283" s="1296"/>
    </row>
    <row r="284" spans="1:89" ht="15.75" thickBot="1" x14ac:dyDescent="0.3">
      <c r="A284" s="1296"/>
      <c r="B284" s="1722"/>
      <c r="C284" s="1207">
        <v>10</v>
      </c>
      <c r="D284" s="1198" t="s">
        <v>1856</v>
      </c>
      <c r="E284" s="1198" t="s">
        <v>1444</v>
      </c>
      <c r="F284" s="1198" t="str">
        <f>'Required Info to Submit'!E32</f>
        <v/>
      </c>
      <c r="G284" s="1395" t="str">
        <f>IF(F284="","",'Required Info to Submit'!K32)</f>
        <v/>
      </c>
      <c r="H284" s="1395" t="str">
        <f>IF(F284="","",'Required Info to Submit'!L32)</f>
        <v/>
      </c>
      <c r="I284" s="1198" t="str">
        <f>'Required Info to Submit'!F32</f>
        <v/>
      </c>
      <c r="J284" s="1198" t="str">
        <f>'Required Info to Submit'!G32</f>
        <v/>
      </c>
      <c r="K284" s="1198" t="str">
        <f>'Required Info to Submit'!H32</f>
        <v/>
      </c>
      <c r="L284" s="1198" t="str">
        <f>'Required Info to Submit'!I32</f>
        <v/>
      </c>
      <c r="M284" s="1198" t="str">
        <f>'Required Info to Submit'!J32</f>
        <v/>
      </c>
      <c r="N284" s="256"/>
      <c r="O284" s="257"/>
      <c r="P284" s="1296"/>
      <c r="Q284" s="1296"/>
      <c r="R284" s="1296"/>
      <c r="S284" s="1296"/>
      <c r="T284" s="1722"/>
      <c r="U284" s="1207">
        <v>10</v>
      </c>
      <c r="V284" s="1198" t="s">
        <v>1856</v>
      </c>
      <c r="W284" s="1198" t="s">
        <v>1444</v>
      </c>
      <c r="X284" s="1198" t="str">
        <f>'Required Info to Submit'!E32</f>
        <v/>
      </c>
      <c r="Y284" s="1395" t="str">
        <f>IF(X284="","",'Required Info to Submit'!K32)</f>
        <v/>
      </c>
      <c r="Z284" s="1395" t="str">
        <f>IF(X284="","",'Required Info to Submit'!L32)</f>
        <v/>
      </c>
      <c r="AA284" s="1198" t="str">
        <f>'Required Info to Submit'!F32</f>
        <v/>
      </c>
      <c r="AB284" s="1198" t="str">
        <f>'Required Info to Submit'!G32</f>
        <v/>
      </c>
      <c r="AC284" s="1198" t="str">
        <f>'Required Info to Submit'!H32</f>
        <v/>
      </c>
      <c r="AD284" s="1198" t="str">
        <f>'Required Info to Submit'!I32</f>
        <v/>
      </c>
      <c r="AE284" s="1198" t="str">
        <f>'Required Info to Submit'!J32</f>
        <v/>
      </c>
      <c r="AF284" s="256"/>
      <c r="AG284" s="257"/>
      <c r="AH284" s="1296"/>
      <c r="AI284" s="1296"/>
      <c r="AJ284" s="1296"/>
      <c r="AK284" s="1296"/>
      <c r="AL284" s="1296"/>
      <c r="AM284" s="1296"/>
      <c r="AN284" s="1296"/>
      <c r="AO284" s="1296"/>
      <c r="AP284" s="1296"/>
      <c r="AQ284" s="1296"/>
      <c r="AR284" s="1296"/>
      <c r="AS284" s="1296"/>
      <c r="AT284" s="1296"/>
      <c r="AU284" s="1296"/>
      <c r="AV284" s="1296"/>
      <c r="AW284" s="1296"/>
      <c r="AX284" s="1296"/>
      <c r="AY284" s="1296"/>
      <c r="AZ284" s="1296"/>
      <c r="BA284" s="1296"/>
      <c r="BB284" s="1296"/>
      <c r="BC284" s="1296"/>
      <c r="BD284" s="1296"/>
      <c r="BE284" s="1296"/>
      <c r="BF284" s="1296"/>
      <c r="BG284" s="1296"/>
      <c r="BH284" s="1296"/>
      <c r="BI284" s="1296"/>
      <c r="BJ284" s="1296"/>
      <c r="BK284" s="1296"/>
      <c r="BL284" s="1296"/>
      <c r="BM284" s="1296"/>
      <c r="BN284" s="1296"/>
      <c r="BO284" s="1296"/>
      <c r="BP284" s="1296"/>
      <c r="BQ284" s="1296"/>
      <c r="BR284" s="1296"/>
      <c r="BS284" s="1296"/>
      <c r="BT284" s="1296"/>
      <c r="BU284" s="1296"/>
      <c r="BV284" s="1296"/>
      <c r="BW284" s="1296"/>
      <c r="BX284" s="1296"/>
      <c r="BY284" s="1296"/>
      <c r="BZ284" s="1296"/>
      <c r="CA284" s="1296"/>
      <c r="CB284" s="1296"/>
      <c r="CC284" s="1296"/>
      <c r="CD284" s="1296"/>
      <c r="CE284" s="1296"/>
      <c r="CF284" s="1296"/>
      <c r="CG284" s="1296"/>
      <c r="CH284" s="1296"/>
      <c r="CI284" s="1296"/>
      <c r="CJ284" s="1296"/>
      <c r="CK284" s="1296"/>
    </row>
    <row r="285" spans="1:89" x14ac:dyDescent="0.25">
      <c r="A285" s="1296"/>
      <c r="B285" s="1296"/>
      <c r="C285" s="1296"/>
      <c r="D285" s="1296"/>
      <c r="E285" s="1296"/>
      <c r="F285" s="1296"/>
      <c r="G285" s="1296"/>
      <c r="H285" s="1296"/>
      <c r="I285" s="1296"/>
      <c r="J285" s="1296"/>
      <c r="K285" s="1296"/>
      <c r="L285" s="1296"/>
      <c r="M285" s="1296"/>
      <c r="N285" s="1296"/>
      <c r="O285" s="1296"/>
      <c r="P285" s="1296"/>
      <c r="Q285" s="1296"/>
      <c r="R285" s="1296"/>
      <c r="S285" s="1296"/>
      <c r="T285" s="1296"/>
      <c r="U285" s="1296"/>
      <c r="V285" s="1296"/>
      <c r="W285" s="1296"/>
      <c r="X285" s="1296"/>
      <c r="Y285" s="1296"/>
      <c r="Z285" s="1296"/>
      <c r="AA285" s="1296"/>
      <c r="AB285" s="1296"/>
      <c r="AC285" s="1296"/>
      <c r="AD285" s="1296"/>
      <c r="AE285" s="1296"/>
      <c r="AF285" s="1296"/>
      <c r="AG285" s="1296"/>
      <c r="AH285" s="1296"/>
      <c r="AI285" s="1296"/>
      <c r="AJ285" s="1296"/>
      <c r="AK285" s="1296"/>
      <c r="AL285" s="1296"/>
      <c r="AM285" s="1296"/>
      <c r="AN285" s="1296"/>
      <c r="AO285" s="1296"/>
      <c r="AP285" s="1296"/>
      <c r="AQ285" s="1296"/>
      <c r="AR285" s="1296"/>
      <c r="AS285" s="1296"/>
      <c r="AT285" s="1296"/>
      <c r="AU285" s="1296"/>
      <c r="AV285" s="1296"/>
      <c r="AW285" s="1296"/>
      <c r="AX285" s="1296"/>
      <c r="AY285" s="1296"/>
      <c r="AZ285" s="1296"/>
      <c r="BA285" s="1296"/>
      <c r="BB285" s="1296"/>
      <c r="BC285" s="1296"/>
      <c r="BD285" s="1296"/>
      <c r="BE285" s="1296"/>
      <c r="BF285" s="1296"/>
      <c r="BG285" s="1296"/>
      <c r="BH285" s="1296"/>
      <c r="BI285" s="1296"/>
      <c r="BJ285" s="1296"/>
      <c r="BK285" s="1296"/>
      <c r="BL285" s="1296"/>
      <c r="BM285" s="1296"/>
      <c r="BN285" s="1296"/>
      <c r="BO285" s="1296"/>
      <c r="BP285" s="1296"/>
      <c r="BQ285" s="1296"/>
      <c r="BR285" s="1296"/>
      <c r="BS285" s="1296"/>
      <c r="BT285" s="1296"/>
      <c r="BU285" s="1296"/>
      <c r="BV285" s="1296"/>
      <c r="BW285" s="1296"/>
      <c r="BX285" s="1296"/>
      <c r="BY285" s="1296"/>
      <c r="BZ285" s="1296"/>
      <c r="CA285" s="1296"/>
      <c r="CB285" s="1296"/>
      <c r="CC285" s="1296"/>
      <c r="CD285" s="1296"/>
      <c r="CE285" s="1296"/>
      <c r="CF285" s="1296"/>
      <c r="CG285" s="1296"/>
      <c r="CH285" s="1296"/>
      <c r="CI285" s="1296"/>
      <c r="CJ285" s="1296"/>
      <c r="CK285" s="1296"/>
    </row>
    <row r="286" spans="1:89" ht="15.75" thickBot="1" x14ac:dyDescent="0.3">
      <c r="A286" s="1296"/>
      <c r="B286" s="1296"/>
      <c r="C286" s="1296"/>
      <c r="D286" s="1296"/>
      <c r="E286" s="1296"/>
      <c r="F286" s="1296"/>
      <c r="G286" s="1296"/>
      <c r="H286" s="1296"/>
      <c r="I286" s="1296"/>
      <c r="J286" s="1296"/>
      <c r="K286" s="1296"/>
      <c r="L286" s="1296"/>
      <c r="M286" s="1296"/>
      <c r="N286" s="1296"/>
      <c r="O286" s="1296"/>
      <c r="P286" s="1296"/>
      <c r="Q286" s="1296"/>
      <c r="R286" s="1296"/>
      <c r="S286" s="1296"/>
      <c r="T286" s="1296"/>
      <c r="U286" s="1296"/>
      <c r="V286" s="1296"/>
      <c r="W286" s="1296"/>
      <c r="X286" s="1296"/>
      <c r="Y286" s="1296"/>
      <c r="Z286" s="1296"/>
      <c r="AA286" s="1296"/>
      <c r="AB286" s="1296"/>
      <c r="AC286" s="1296"/>
      <c r="AD286" s="1296"/>
      <c r="AE286" s="1296"/>
      <c r="AF286" s="1296"/>
      <c r="AG286" s="1296"/>
      <c r="AH286" s="1296"/>
      <c r="AI286" s="1296"/>
      <c r="AJ286" s="1296"/>
      <c r="AK286" s="1296"/>
      <c r="AL286" s="1296"/>
      <c r="AM286" s="1296"/>
      <c r="AN286" s="1296"/>
      <c r="AO286" s="1296"/>
      <c r="AP286" s="1296"/>
      <c r="AQ286" s="1296"/>
      <c r="AR286" s="1296"/>
      <c r="AS286" s="1296"/>
      <c r="AT286" s="1296"/>
      <c r="AU286" s="1296"/>
      <c r="AV286" s="1296"/>
      <c r="AW286" s="1296"/>
      <c r="AX286" s="1296"/>
      <c r="AY286" s="1296"/>
      <c r="AZ286" s="1296"/>
      <c r="BA286" s="1296"/>
      <c r="BB286" s="1296"/>
      <c r="BC286" s="1296"/>
      <c r="BD286" s="1296"/>
      <c r="BE286" s="1296"/>
      <c r="BF286" s="1296"/>
      <c r="BG286" s="1296"/>
      <c r="BH286" s="1296"/>
      <c r="BI286" s="1296"/>
      <c r="BJ286" s="1296"/>
      <c r="BK286" s="1296"/>
      <c r="BL286" s="1296"/>
      <c r="BM286" s="1296"/>
      <c r="BN286" s="1296"/>
      <c r="BO286" s="1296"/>
      <c r="BP286" s="1296"/>
      <c r="BQ286" s="1296"/>
      <c r="BR286" s="1296"/>
      <c r="BS286" s="1296"/>
      <c r="BT286" s="1296"/>
      <c r="BU286" s="1296"/>
      <c r="BV286" s="1296"/>
      <c r="BW286" s="1296"/>
      <c r="BX286" s="1296"/>
      <c r="BY286" s="1296"/>
      <c r="BZ286" s="1296"/>
      <c r="CA286" s="1296"/>
      <c r="CB286" s="1296"/>
      <c r="CC286" s="1296"/>
      <c r="CD286" s="1296"/>
      <c r="CE286" s="1296"/>
      <c r="CF286" s="1296"/>
      <c r="CG286" s="1296"/>
      <c r="CH286" s="1296"/>
      <c r="CI286" s="1296"/>
      <c r="CJ286" s="1296"/>
      <c r="CK286" s="1296"/>
    </row>
    <row r="287" spans="1:89" ht="30.75" thickBot="1" x14ac:dyDescent="0.3">
      <c r="A287" s="1296"/>
      <c r="B287" s="1182"/>
      <c r="C287" s="1177" t="s">
        <v>1400</v>
      </c>
      <c r="D287" s="1177" t="s">
        <v>1510</v>
      </c>
      <c r="E287" s="1177" t="s">
        <v>767</v>
      </c>
      <c r="F287" s="1177" t="s">
        <v>1515</v>
      </c>
      <c r="G287" s="1178" t="s">
        <v>1834</v>
      </c>
      <c r="H287" s="1178" t="s">
        <v>1835</v>
      </c>
      <c r="I287" s="1177" t="s">
        <v>1836</v>
      </c>
      <c r="J287" s="1178" t="s">
        <v>1414</v>
      </c>
      <c r="K287" s="1178" t="s">
        <v>1398</v>
      </c>
      <c r="L287" s="1177" t="s">
        <v>1399</v>
      </c>
      <c r="M287" s="1177" t="s">
        <v>722</v>
      </c>
      <c r="N287" s="1177" t="s">
        <v>723</v>
      </c>
      <c r="O287" s="1178" t="s">
        <v>1514</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6"/>
      <c r="AJ287" s="1296"/>
      <c r="AK287" s="1296"/>
      <c r="AL287" s="1296"/>
      <c r="AM287" s="1296"/>
      <c r="AN287" s="1296"/>
      <c r="AO287" s="1296"/>
      <c r="AP287" s="1296"/>
      <c r="AQ287" s="1296"/>
      <c r="AR287" s="1296"/>
      <c r="AS287" s="1296"/>
      <c r="AT287" s="1296"/>
      <c r="AU287" s="1296"/>
      <c r="AV287" s="1296"/>
      <c r="AW287" s="1296"/>
      <c r="AX287" s="1296"/>
      <c r="AY287" s="1296"/>
      <c r="AZ287" s="1296"/>
      <c r="BA287" s="1296"/>
      <c r="BB287" s="1296"/>
      <c r="BC287" s="1296"/>
      <c r="BD287" s="1296"/>
      <c r="BE287" s="1296"/>
      <c r="BF287" s="1296"/>
      <c r="BG287" s="1296"/>
      <c r="BH287" s="1296"/>
      <c r="BI287" s="1296"/>
      <c r="BJ287" s="1296"/>
      <c r="BK287" s="1296"/>
      <c r="BL287" s="1296"/>
      <c r="BM287" s="1296"/>
      <c r="BN287" s="1296"/>
      <c r="BO287" s="1296"/>
      <c r="BP287" s="1296"/>
      <c r="BQ287" s="1296"/>
      <c r="BR287" s="1296"/>
      <c r="BS287" s="1296"/>
      <c r="BT287" s="1296"/>
      <c r="BU287" s="1296"/>
      <c r="BV287" s="1296"/>
      <c r="BW287" s="1296"/>
      <c r="BX287" s="1296"/>
      <c r="BY287" s="1296"/>
      <c r="BZ287" s="1296"/>
      <c r="CA287" s="1296"/>
      <c r="CB287" s="1296"/>
      <c r="CC287" s="1296"/>
      <c r="CD287" s="1296"/>
      <c r="CE287" s="1296"/>
      <c r="CF287" s="1296"/>
      <c r="CG287" s="1296"/>
      <c r="CH287" s="1296"/>
      <c r="CI287" s="1296"/>
      <c r="CJ287" s="1296"/>
      <c r="CK287" s="1296"/>
    </row>
    <row r="288" spans="1:89" ht="60.75" thickBot="1" x14ac:dyDescent="0.3">
      <c r="A288" s="1296"/>
      <c r="B288" s="1184" t="s">
        <v>1837</v>
      </c>
      <c r="C288" s="1185" t="s">
        <v>1649</v>
      </c>
      <c r="D288" s="1313">
        <v>4901</v>
      </c>
      <c r="E288" s="1298" t="s">
        <v>1649</v>
      </c>
      <c r="F288" s="1298" t="s">
        <v>1625</v>
      </c>
      <c r="G288" s="1181" t="str" cm="1">
        <f t="array" aca="1" ref="G288" ca="1">IF(ISBLANK(INDIRECT("'Incentives Worksheet'!H"&amp;'Configurable Tab'!H27+3)),"",INDIRECT("'Incentives Worksheet'!H"&amp;'Configurable Tab'!H27+3))</f>
        <v>Program</v>
      </c>
      <c r="H288" s="1181" t="str" cm="1">
        <f t="array" aca="1" ref="H288" ca="1">IF(INDIRECT("'Incentives Worksheet'!R"&amp;'Configurable Tab'!H27+3)="USF Calendar","Fiscal",INDIRECT("'Incentives Worksheet'!R"&amp;'Configurable Tab'!H27+3))</f>
        <v>Calendar</v>
      </c>
      <c r="I288" s="1181" t="str" cm="1">
        <f t="array" aca="1" ref="I288" ca="1">IF(INDIRECT("'Incentives Worksheet'!T"&amp;'Configurable Tab'!H27+3)="Yes","Post to GL","")</f>
        <v>Post to GL</v>
      </c>
      <c r="J288" s="1181" t="str" cm="1">
        <f t="array" aca="1" ref="J288" ca="1">IF(ISBLANK(INDIRECT("'Incentives Worksheet'!L"&amp;'Configurable Tab'!H27+3)),"",INDIRECT("'Incentives Worksheet'!L"&amp;'Configurable Tab'!H27+3))</f>
        <v/>
      </c>
      <c r="K288" s="1181" t="str" cm="1">
        <f t="array" aca="1" ref="K288" ca="1">IF(ISBLANK(INDIRECT("'Incentives Worksheet'!J"&amp;'Configurable Tab'!H27+3)),"",INDIRECT("'Incentives Worksheet'!J"&amp;'Configurable Tab'!H27+3))</f>
        <v/>
      </c>
      <c r="L288" s="1181" t="str" cm="1">
        <f t="array" aca="1" ref="L288" ca="1">IF(ISBLANK(INDIRECT("'Incentives Worksheet'!N"&amp;'Configurable Tab'!H27+3)),"",INDIRECT("'Incentives Worksheet'!N"&amp;'Configurable Tab'!H27+3))</f>
        <v/>
      </c>
      <c r="M288" s="1314" t="str" cm="1">
        <f t="array" aca="1" ref="M288" ca="1">INDIRECT("'Incentives Worksheet'!D"&amp;'Configurable Tab'!H27+6)</f>
        <v/>
      </c>
      <c r="N288" s="1314" t="str" cm="1">
        <f t="array" aca="1" ref="N288" ca="1">INDIRECT("'Incentives Worksheet'!D"&amp;'Configurable Tab'!H27+8)</f>
        <v/>
      </c>
      <c r="O288" s="1181" t="str" cm="1">
        <f t="array" aca="1" ref="O288" ca="1">INDIRECT("'Incentives Worksheet'!D"&amp;'Configurable Tab'!H27+10)</f>
        <v>Yes</v>
      </c>
      <c r="P288" s="1296"/>
      <c r="Q288" s="1296"/>
      <c r="R288" s="1296"/>
      <c r="S288" s="1296"/>
      <c r="T288" s="1296"/>
      <c r="U288" s="1296"/>
      <c r="V288" s="1296"/>
      <c r="W288" s="1296"/>
      <c r="X288" s="1296"/>
      <c r="Y288" s="1296"/>
      <c r="Z288" s="1296"/>
      <c r="AA288" s="1296"/>
      <c r="AB288" s="1296"/>
      <c r="AC288" s="1296"/>
      <c r="AD288" s="1296"/>
      <c r="AE288" s="1296"/>
      <c r="AF288" s="1296"/>
      <c r="AG288" s="1296"/>
      <c r="AH288" s="1296"/>
      <c r="AI288" s="1296"/>
      <c r="AJ288" s="1296"/>
      <c r="AK288" s="1296"/>
      <c r="AL288" s="1296"/>
      <c r="AM288" s="1296"/>
      <c r="AN288" s="1296"/>
      <c r="AO288" s="1296"/>
      <c r="AP288" s="1296"/>
      <c r="AQ288" s="1296"/>
      <c r="AR288" s="1296"/>
      <c r="AS288" s="1296"/>
      <c r="AT288" s="1296"/>
      <c r="AU288" s="1296"/>
      <c r="AV288" s="1296"/>
      <c r="AW288" s="1296"/>
      <c r="AX288" s="1296"/>
      <c r="AY288" s="1296"/>
      <c r="AZ288" s="1296"/>
      <c r="BA288" s="1296"/>
      <c r="BB288" s="1296"/>
      <c r="BC288" s="1296"/>
      <c r="BD288" s="1296"/>
      <c r="BE288" s="1296"/>
      <c r="BF288" s="1296"/>
      <c r="BG288" s="1296"/>
      <c r="BH288" s="1296"/>
      <c r="BI288" s="1296"/>
      <c r="BJ288" s="1296"/>
      <c r="BK288" s="1296"/>
      <c r="BL288" s="1296"/>
      <c r="BM288" s="1296"/>
      <c r="BN288" s="1296"/>
      <c r="BO288" s="1296"/>
      <c r="BP288" s="1296"/>
      <c r="BQ288" s="1296"/>
      <c r="BR288" s="1296"/>
      <c r="BS288" s="1296"/>
      <c r="BT288" s="1296"/>
      <c r="BU288" s="1296"/>
      <c r="BV288" s="1296"/>
      <c r="BW288" s="1296"/>
      <c r="BX288" s="1296"/>
      <c r="BY288" s="1296"/>
      <c r="BZ288" s="1296"/>
      <c r="CA288" s="1296"/>
      <c r="CB288" s="1296"/>
      <c r="CC288" s="1296"/>
      <c r="CD288" s="1296"/>
      <c r="CE288" s="1296"/>
      <c r="CF288" s="1296"/>
      <c r="CG288" s="1296"/>
      <c r="CH288" s="1296"/>
      <c r="CI288" s="1296"/>
      <c r="CJ288" s="1296"/>
      <c r="CK288" s="1296"/>
    </row>
    <row r="289" spans="1:89" ht="45.75" thickBot="1" x14ac:dyDescent="0.3">
      <c r="A289" s="1296"/>
      <c r="B289" s="1719" t="s">
        <v>1885</v>
      </c>
      <c r="C289" s="1210" t="s">
        <v>1886</v>
      </c>
      <c r="D289" s="1177" t="s">
        <v>1887</v>
      </c>
      <c r="E289" s="1178" t="s">
        <v>728</v>
      </c>
      <c r="F289" s="1177" t="s">
        <v>1888</v>
      </c>
      <c r="G289" s="1177" t="s">
        <v>1824</v>
      </c>
      <c r="H289" s="1183"/>
      <c r="I289" s="1183"/>
      <c r="J289" s="1315"/>
      <c r="K289" s="1315"/>
      <c r="L289" s="1315"/>
      <c r="M289" s="1315"/>
      <c r="N289" s="1315"/>
      <c r="O289" s="1316"/>
      <c r="P289" s="1296"/>
      <c r="Q289" s="1296"/>
      <c r="R289" s="1296"/>
      <c r="S289" s="1296"/>
      <c r="T289" s="1296"/>
      <c r="U289" s="1296"/>
      <c r="V289" s="1296"/>
      <c r="W289" s="1296"/>
      <c r="X289" s="1296"/>
      <c r="Y289" s="1296"/>
      <c r="Z289" s="1296"/>
      <c r="AA289" s="1296"/>
      <c r="AB289" s="1296"/>
      <c r="AC289" s="1296"/>
      <c r="AD289" s="1296"/>
      <c r="AE289" s="1296"/>
      <c r="AF289" s="1296"/>
      <c r="AG289" s="1296"/>
      <c r="AH289" s="1296"/>
      <c r="AI289" s="1296"/>
      <c r="AJ289" s="1296"/>
      <c r="AK289" s="1296"/>
      <c r="AL289" s="1296"/>
      <c r="AM289" s="1296"/>
      <c r="AN289" s="1296"/>
      <c r="AO289" s="1296"/>
      <c r="AP289" s="1296"/>
      <c r="AQ289" s="1296"/>
      <c r="AR289" s="1296"/>
      <c r="AS289" s="1296"/>
      <c r="AT289" s="1296"/>
      <c r="AU289" s="1296"/>
      <c r="AV289" s="1296"/>
      <c r="AW289" s="1296"/>
      <c r="AX289" s="1296"/>
      <c r="AY289" s="1296"/>
      <c r="AZ289" s="1296"/>
      <c r="BA289" s="1296"/>
      <c r="BB289" s="1296"/>
      <c r="BC289" s="1296"/>
      <c r="BD289" s="1296"/>
      <c r="BE289" s="1296"/>
      <c r="BF289" s="1296"/>
      <c r="BG289" s="1296"/>
      <c r="BH289" s="1296"/>
      <c r="BI289" s="1296"/>
      <c r="BJ289" s="1296"/>
      <c r="BK289" s="1296"/>
      <c r="BL289" s="1296"/>
      <c r="BM289" s="1296"/>
      <c r="BN289" s="1296"/>
      <c r="BO289" s="1296"/>
      <c r="BP289" s="1296"/>
      <c r="BQ289" s="1296"/>
      <c r="BR289" s="1296"/>
      <c r="BS289" s="1296"/>
      <c r="BT289" s="1296"/>
      <c r="BU289" s="1296"/>
      <c r="BV289" s="1296"/>
      <c r="BW289" s="1296"/>
      <c r="BX289" s="1296"/>
      <c r="BY289" s="1296"/>
      <c r="BZ289" s="1296"/>
      <c r="CA289" s="1296"/>
      <c r="CB289" s="1296"/>
      <c r="CC289" s="1296"/>
      <c r="CD289" s="1296"/>
      <c r="CE289" s="1296"/>
      <c r="CF289" s="1296"/>
      <c r="CG289" s="1296"/>
      <c r="CH289" s="1296"/>
      <c r="CI289" s="1296"/>
      <c r="CJ289" s="1296"/>
      <c r="CK289" s="1296"/>
    </row>
    <row r="290" spans="1:89" ht="15.75" thickBot="1" x14ac:dyDescent="0.3">
      <c r="A290" s="1296"/>
      <c r="B290" s="1726"/>
      <c r="C290" s="1318" t="str" cm="1">
        <f t="array" aca="1" ref="C290" ca="1">INDIRECT("'Incentives Worksheet'!R"&amp;'Configurable Tab'!H27+6)</f>
        <v>Post Pay</v>
      </c>
      <c r="D290" s="1260" cm="1">
        <f t="array" aca="1" ref="D290" ca="1">INDIRECT("'Incentives Worksheet'!T"&amp;'Configurable Tab'!H27+6)</f>
        <v>1</v>
      </c>
      <c r="E290" s="1245" t="str" cm="1">
        <f t="array" aca="1" ref="E290" ca="1">IF(ISBLANK(INDIRECT("'Incentives Worksheet'!H"&amp;'Configurable Tab'!H27+6)),"",INDIRECT("'Incentives Worksheet'!H"&amp;'Configurable Tab'!H27+6))</f>
        <v/>
      </c>
      <c r="F290" s="1245" t="s">
        <v>1101</v>
      </c>
      <c r="G290" s="1245"/>
      <c r="H290" s="1317"/>
      <c r="I290" s="1188"/>
      <c r="J290" s="1188"/>
      <c r="K290" s="1188"/>
      <c r="L290" s="1188"/>
      <c r="M290" s="1188"/>
      <c r="N290" s="1188"/>
      <c r="O290" s="1189"/>
      <c r="P290" s="1296"/>
      <c r="Q290" s="1296"/>
      <c r="R290" s="1296"/>
      <c r="S290" s="1296"/>
      <c r="T290" s="1296"/>
      <c r="U290" s="1296"/>
      <c r="V290" s="1296"/>
      <c r="W290" s="1296"/>
      <c r="X290" s="1296"/>
      <c r="Y290" s="1296"/>
      <c r="Z290" s="1296"/>
      <c r="AA290" s="1296"/>
      <c r="AB290" s="1296"/>
      <c r="AC290" s="1296"/>
      <c r="AD290" s="1296"/>
      <c r="AE290" s="1296"/>
      <c r="AF290" s="1296"/>
      <c r="AG290" s="1296"/>
      <c r="AH290" s="1296"/>
      <c r="AI290" s="1296"/>
      <c r="AJ290" s="1296"/>
      <c r="AK290" s="1296"/>
      <c r="AL290" s="1296"/>
      <c r="AM290" s="1296"/>
      <c r="AN290" s="1296"/>
      <c r="AO290" s="1296"/>
      <c r="AP290" s="1296"/>
      <c r="AQ290" s="1296"/>
      <c r="AR290" s="1296"/>
      <c r="AS290" s="1296"/>
      <c r="AT290" s="1296"/>
      <c r="AU290" s="1296"/>
      <c r="AV290" s="1296"/>
      <c r="AW290" s="1296"/>
      <c r="AX290" s="1296"/>
      <c r="AY290" s="1296"/>
      <c r="AZ290" s="1296"/>
      <c r="BA290" s="1296"/>
      <c r="BB290" s="1296"/>
      <c r="BC290" s="1296"/>
      <c r="BD290" s="1296"/>
      <c r="BE290" s="1296"/>
      <c r="BF290" s="1296"/>
      <c r="BG290" s="1296"/>
      <c r="BH290" s="1296"/>
      <c r="BI290" s="1296"/>
      <c r="BJ290" s="1296"/>
      <c r="BK290" s="1296"/>
      <c r="BL290" s="1296"/>
      <c r="BM290" s="1296"/>
      <c r="BN290" s="1296"/>
      <c r="BO290" s="1296"/>
      <c r="BP290" s="1296"/>
      <c r="BQ290" s="1296"/>
      <c r="BR290" s="1296"/>
      <c r="BS290" s="1296"/>
      <c r="BT290" s="1296"/>
      <c r="BU290" s="1296"/>
      <c r="BV290" s="1296"/>
      <c r="BW290" s="1296"/>
      <c r="BX290" s="1296"/>
      <c r="BY290" s="1296"/>
      <c r="BZ290" s="1296"/>
      <c r="CA290" s="1296"/>
      <c r="CB290" s="1296"/>
      <c r="CC290" s="1296"/>
      <c r="CD290" s="1296"/>
      <c r="CE290" s="1296"/>
      <c r="CF290" s="1296"/>
      <c r="CG290" s="1296"/>
      <c r="CH290" s="1296"/>
      <c r="CI290" s="1296"/>
      <c r="CJ290" s="1296"/>
      <c r="CK290" s="1296"/>
    </row>
    <row r="291" spans="1:89" ht="15.75" thickBot="1" x14ac:dyDescent="0.3">
      <c r="A291" s="1296"/>
      <c r="B291" s="1719" t="s">
        <v>1852</v>
      </c>
      <c r="C291" s="1258" t="s">
        <v>1853</v>
      </c>
      <c r="D291" s="1200" t="s">
        <v>1843</v>
      </c>
      <c r="E291" s="1200" t="s">
        <v>131</v>
      </c>
      <c r="F291" s="1200" t="s">
        <v>1844</v>
      </c>
      <c r="G291" s="1200" t="s">
        <v>1854</v>
      </c>
      <c r="H291" s="1201" t="s">
        <v>1855</v>
      </c>
      <c r="I291" s="1202" t="s">
        <v>767</v>
      </c>
      <c r="J291" s="1202" t="s">
        <v>768</v>
      </c>
      <c r="K291" s="1202" t="s">
        <v>769</v>
      </c>
      <c r="L291" s="1202" t="s">
        <v>770</v>
      </c>
      <c r="M291" s="1202" t="s">
        <v>204</v>
      </c>
      <c r="N291" s="1296"/>
      <c r="O291" s="138"/>
      <c r="P291" s="1296"/>
      <c r="Q291" s="1296"/>
      <c r="R291" s="1296"/>
      <c r="S291" s="1296"/>
      <c r="T291" s="1296"/>
      <c r="U291" s="1296"/>
      <c r="V291" s="1296"/>
      <c r="W291" s="1296"/>
      <c r="X291" s="1296"/>
      <c r="Y291" s="1296"/>
      <c r="Z291" s="1296"/>
      <c r="AA291" s="1296"/>
      <c r="AB291" s="1296"/>
      <c r="AC291" s="1296"/>
      <c r="AD291" s="1296"/>
      <c r="AE291" s="1296"/>
      <c r="AF291" s="1296"/>
      <c r="AG291" s="1296"/>
      <c r="AH291" s="1296"/>
      <c r="AI291" s="1296"/>
      <c r="AJ291" s="1296"/>
      <c r="AK291" s="1296"/>
      <c r="AL291" s="1296"/>
      <c r="AM291" s="1296"/>
      <c r="AN291" s="1296"/>
      <c r="AO291" s="1296"/>
      <c r="AP291" s="1296"/>
      <c r="AQ291" s="1296"/>
      <c r="AR291" s="1296"/>
      <c r="AS291" s="1296"/>
      <c r="AT291" s="1296"/>
      <c r="AU291" s="1296"/>
      <c r="AV291" s="1296"/>
      <c r="AW291" s="1296"/>
      <c r="AX291" s="1296"/>
      <c r="AY291" s="1296"/>
      <c r="AZ291" s="1296"/>
      <c r="BA291" s="1296"/>
      <c r="BB291" s="1296"/>
      <c r="BC291" s="1296"/>
      <c r="BD291" s="1296"/>
      <c r="BE291" s="1296"/>
      <c r="BF291" s="1296"/>
      <c r="BG291" s="1296"/>
      <c r="BH291" s="1296"/>
      <c r="BI291" s="1296"/>
      <c r="BJ291" s="1296"/>
      <c r="BK291" s="1296"/>
      <c r="BL291" s="1296"/>
      <c r="BM291" s="1296"/>
      <c r="BN291" s="1296"/>
      <c r="BO291" s="1296"/>
      <c r="BP291" s="1296"/>
      <c r="BQ291" s="1296"/>
      <c r="BR291" s="1296"/>
      <c r="BS291" s="1296"/>
      <c r="BT291" s="1296"/>
      <c r="BU291" s="1296"/>
      <c r="BV291" s="1296"/>
      <c r="BW291" s="1296"/>
      <c r="BX291" s="1296"/>
      <c r="BY291" s="1296"/>
      <c r="BZ291" s="1296"/>
      <c r="CA291" s="1296"/>
      <c r="CB291" s="1296"/>
      <c r="CC291" s="1296"/>
      <c r="CD291" s="1296"/>
      <c r="CE291" s="1296"/>
      <c r="CF291" s="1296"/>
      <c r="CG291" s="1296"/>
      <c r="CH291" s="1296"/>
      <c r="CI291" s="1296"/>
      <c r="CJ291" s="1296"/>
      <c r="CK291" s="1296"/>
    </row>
    <row r="292" spans="1:89" x14ac:dyDescent="0.25">
      <c r="A292" s="1296"/>
      <c r="B292" s="1721"/>
      <c r="C292" s="1199">
        <v>1</v>
      </c>
      <c r="D292" s="1196" t="s">
        <v>1856</v>
      </c>
      <c r="E292" s="1196" t="s">
        <v>1444</v>
      </c>
      <c r="F292" s="1196" t="str">
        <f>'Required Info to Submit'!E23</f>
        <v/>
      </c>
      <c r="G292" s="1393" t="str">
        <f>IF(F292="","",'Required Info to Submit'!K23)</f>
        <v/>
      </c>
      <c r="H292" s="1394" t="str">
        <f>IF(F292="","",'Required Info to Submit'!L23)</f>
        <v/>
      </c>
      <c r="I292" s="1196" t="str">
        <f>'Required Info to Submit'!F23</f>
        <v/>
      </c>
      <c r="J292" s="1196" t="str">
        <f>'Required Info to Submit'!G23</f>
        <v/>
      </c>
      <c r="K292" s="1196" t="str">
        <f>'Required Info to Submit'!H23</f>
        <v/>
      </c>
      <c r="L292" s="1196" t="str">
        <f>'Required Info to Submit'!I23</f>
        <v/>
      </c>
      <c r="M292" s="1196" t="str">
        <f>'Required Info to Submit'!J23</f>
        <v/>
      </c>
      <c r="N292" s="1296"/>
      <c r="O292" s="138"/>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6"/>
      <c r="AJ292" s="1296"/>
      <c r="AK292" s="1296"/>
      <c r="AL292" s="1296"/>
      <c r="AM292" s="1296"/>
      <c r="AN292" s="1296"/>
      <c r="AO292" s="1296"/>
      <c r="AP292" s="1296"/>
      <c r="AQ292" s="1296"/>
      <c r="AR292" s="1296"/>
      <c r="AS292" s="1296"/>
      <c r="AT292" s="1296"/>
      <c r="AU292" s="1296"/>
      <c r="AV292" s="1296"/>
      <c r="AW292" s="1296"/>
      <c r="AX292" s="1296"/>
      <c r="AY292" s="1296"/>
      <c r="AZ292" s="1296"/>
      <c r="BA292" s="1296"/>
      <c r="BB292" s="1296"/>
      <c r="BC292" s="1296"/>
      <c r="BD292" s="1296"/>
      <c r="BE292" s="1296"/>
      <c r="BF292" s="1296"/>
      <c r="BG292" s="1296"/>
      <c r="BH292" s="1296"/>
      <c r="BI292" s="1296"/>
      <c r="BJ292" s="1296"/>
      <c r="BK292" s="1296"/>
      <c r="BL292" s="1296"/>
      <c r="BM292" s="1296"/>
      <c r="BN292" s="1296"/>
      <c r="BO292" s="1296"/>
      <c r="BP292" s="1296"/>
      <c r="BQ292" s="1296"/>
      <c r="BR292" s="1296"/>
      <c r="BS292" s="1296"/>
      <c r="BT292" s="1296"/>
      <c r="BU292" s="1296"/>
      <c r="BV292" s="1296"/>
      <c r="BW292" s="1296"/>
      <c r="BX292" s="1296"/>
      <c r="BY292" s="1296"/>
      <c r="BZ292" s="1296"/>
      <c r="CA292" s="1296"/>
      <c r="CB292" s="1296"/>
      <c r="CC292" s="1296"/>
      <c r="CD292" s="1296"/>
      <c r="CE292" s="1296"/>
      <c r="CF292" s="1296"/>
      <c r="CG292" s="1296"/>
      <c r="CH292" s="1296"/>
      <c r="CI292" s="1296"/>
      <c r="CJ292" s="1296"/>
      <c r="CK292" s="1296"/>
    </row>
    <row r="293" spans="1:89" x14ac:dyDescent="0.25">
      <c r="A293" s="1296"/>
      <c r="B293" s="1721"/>
      <c r="C293" s="1205">
        <v>2</v>
      </c>
      <c r="D293" s="1196" t="s">
        <v>1856</v>
      </c>
      <c r="E293" s="1196" t="s">
        <v>1444</v>
      </c>
      <c r="F293" s="1196" t="str">
        <f>'Required Info to Submit'!E24</f>
        <v/>
      </c>
      <c r="G293" s="1393" t="str">
        <f>IF(F293="","",'Required Info to Submit'!K24)</f>
        <v/>
      </c>
      <c r="H293" s="1394" t="str">
        <f>IF(F293="","",'Required Info to Submit'!L24)</f>
        <v/>
      </c>
      <c r="I293" s="1196" t="str">
        <f>'Required Info to Submit'!F24</f>
        <v/>
      </c>
      <c r="J293" s="1196" t="str">
        <f>'Required Info to Submit'!G24</f>
        <v/>
      </c>
      <c r="K293" s="1196" t="str">
        <f>'Required Info to Submit'!H24</f>
        <v/>
      </c>
      <c r="L293" s="1196" t="str">
        <f>'Required Info to Submit'!I24</f>
        <v/>
      </c>
      <c r="M293" s="1196" t="str">
        <f>'Required Info to Submit'!J24</f>
        <v/>
      </c>
      <c r="N293" s="1296"/>
      <c r="O293" s="138"/>
      <c r="P293" s="1296"/>
      <c r="Q293" s="1296"/>
      <c r="R293" s="1296"/>
      <c r="S293" s="1296"/>
      <c r="T293" s="1296"/>
      <c r="U293" s="1296"/>
      <c r="V293" s="1296"/>
      <c r="W293" s="1296"/>
      <c r="X293" s="1296"/>
      <c r="Y293" s="1296"/>
      <c r="Z293" s="1296"/>
      <c r="AA293" s="1296"/>
      <c r="AB293" s="1296"/>
      <c r="AC293" s="1296"/>
      <c r="AD293" s="1296"/>
      <c r="AE293" s="1296"/>
      <c r="AF293" s="1296"/>
      <c r="AG293" s="1296"/>
      <c r="AH293" s="1296"/>
      <c r="AI293" s="1296"/>
      <c r="AJ293" s="1296"/>
      <c r="AK293" s="1296"/>
      <c r="AL293" s="1296"/>
      <c r="AM293" s="1296"/>
      <c r="AN293" s="1296"/>
      <c r="AO293" s="1296"/>
      <c r="AP293" s="1296"/>
      <c r="AQ293" s="1296"/>
      <c r="AR293" s="1296"/>
      <c r="AS293" s="1296"/>
      <c r="AT293" s="1296"/>
      <c r="AU293" s="1296"/>
      <c r="AV293" s="1296"/>
      <c r="AW293" s="1296"/>
      <c r="AX293" s="1296"/>
      <c r="AY293" s="1296"/>
      <c r="AZ293" s="1296"/>
      <c r="BA293" s="1296"/>
      <c r="BB293" s="1296"/>
      <c r="BC293" s="1296"/>
      <c r="BD293" s="1296"/>
      <c r="BE293" s="1296"/>
      <c r="BF293" s="1296"/>
      <c r="BG293" s="1296"/>
      <c r="BH293" s="1296"/>
      <c r="BI293" s="1296"/>
      <c r="BJ293" s="1296"/>
      <c r="BK293" s="1296"/>
      <c r="BL293" s="1296"/>
      <c r="BM293" s="1296"/>
      <c r="BN293" s="1296"/>
      <c r="BO293" s="1296"/>
      <c r="BP293" s="1296"/>
      <c r="BQ293" s="1296"/>
      <c r="BR293" s="1296"/>
      <c r="BS293" s="1296"/>
      <c r="BT293" s="1296"/>
      <c r="BU293" s="1296"/>
      <c r="BV293" s="1296"/>
      <c r="BW293" s="1296"/>
      <c r="BX293" s="1296"/>
      <c r="BY293" s="1296"/>
      <c r="BZ293" s="1296"/>
      <c r="CA293" s="1296"/>
      <c r="CB293" s="1296"/>
      <c r="CC293" s="1296"/>
      <c r="CD293" s="1296"/>
      <c r="CE293" s="1296"/>
      <c r="CF293" s="1296"/>
      <c r="CG293" s="1296"/>
      <c r="CH293" s="1296"/>
      <c r="CI293" s="1296"/>
      <c r="CJ293" s="1296"/>
      <c r="CK293" s="1296"/>
    </row>
    <row r="294" spans="1:89" x14ac:dyDescent="0.25">
      <c r="A294" s="1296"/>
      <c r="B294" s="1721"/>
      <c r="C294" s="1205">
        <v>3</v>
      </c>
      <c r="D294" s="1196" t="s">
        <v>1856</v>
      </c>
      <c r="E294" s="1196" t="s">
        <v>1444</v>
      </c>
      <c r="F294" s="1196" t="str">
        <f>'Required Info to Submit'!E25</f>
        <v/>
      </c>
      <c r="G294" s="1393" t="str">
        <f>IF(F294="","",'Required Info to Submit'!K25)</f>
        <v/>
      </c>
      <c r="H294" s="1394" t="str">
        <f>IF(F294="","",'Required Info to Submit'!L25)</f>
        <v/>
      </c>
      <c r="I294" s="1196" t="str">
        <f>'Required Info to Submit'!F25</f>
        <v/>
      </c>
      <c r="J294" s="1196" t="str">
        <f>'Required Info to Submit'!G25</f>
        <v/>
      </c>
      <c r="K294" s="1196" t="str">
        <f>'Required Info to Submit'!H25</f>
        <v/>
      </c>
      <c r="L294" s="1196" t="str">
        <f>'Required Info to Submit'!I25</f>
        <v/>
      </c>
      <c r="M294" s="1196" t="str">
        <f>'Required Info to Submit'!J25</f>
        <v/>
      </c>
      <c r="N294" s="1296"/>
      <c r="O294" s="138"/>
      <c r="P294" s="1296"/>
      <c r="Q294" s="1296"/>
      <c r="R294" s="1296"/>
      <c r="S294" s="1296"/>
      <c r="T294" s="1296"/>
      <c r="U294" s="1296"/>
      <c r="V294" s="1296"/>
      <c r="W294" s="1296"/>
      <c r="X294" s="1296"/>
      <c r="Y294" s="1296"/>
      <c r="Z294" s="1296"/>
      <c r="AA294" s="1296"/>
      <c r="AB294" s="1296"/>
      <c r="AC294" s="1296"/>
      <c r="AD294" s="1296"/>
      <c r="AE294" s="1296"/>
      <c r="AF294" s="1296"/>
      <c r="AG294" s="1296"/>
      <c r="AH294" s="1296"/>
      <c r="AI294" s="1296"/>
      <c r="AJ294" s="1296"/>
      <c r="AK294" s="1296"/>
      <c r="AL294" s="1296"/>
      <c r="AM294" s="1296"/>
      <c r="AN294" s="1296"/>
      <c r="AO294" s="1296"/>
      <c r="AP294" s="1296"/>
      <c r="AQ294" s="1296"/>
      <c r="AR294" s="1296"/>
      <c r="AS294" s="1296"/>
      <c r="AT294" s="1296"/>
      <c r="AU294" s="1296"/>
      <c r="AV294" s="1296"/>
      <c r="AW294" s="1296"/>
      <c r="AX294" s="1296"/>
      <c r="AY294" s="1296"/>
      <c r="AZ294" s="1296"/>
      <c r="BA294" s="1296"/>
      <c r="BB294" s="1296"/>
      <c r="BC294" s="1296"/>
      <c r="BD294" s="1296"/>
      <c r="BE294" s="1296"/>
      <c r="BF294" s="1296"/>
      <c r="BG294" s="1296"/>
      <c r="BH294" s="1296"/>
      <c r="BI294" s="1296"/>
      <c r="BJ294" s="1296"/>
      <c r="BK294" s="1296"/>
      <c r="BL294" s="1296"/>
      <c r="BM294" s="1296"/>
      <c r="BN294" s="1296"/>
      <c r="BO294" s="1296"/>
      <c r="BP294" s="1296"/>
      <c r="BQ294" s="1296"/>
      <c r="BR294" s="1296"/>
      <c r="BS294" s="1296"/>
      <c r="BT294" s="1296"/>
      <c r="BU294" s="1296"/>
      <c r="BV294" s="1296"/>
      <c r="BW294" s="1296"/>
      <c r="BX294" s="1296"/>
      <c r="BY294" s="1296"/>
      <c r="BZ294" s="1296"/>
      <c r="CA294" s="1296"/>
      <c r="CB294" s="1296"/>
      <c r="CC294" s="1296"/>
      <c r="CD294" s="1296"/>
      <c r="CE294" s="1296"/>
      <c r="CF294" s="1296"/>
      <c r="CG294" s="1296"/>
      <c r="CH294" s="1296"/>
      <c r="CI294" s="1296"/>
      <c r="CJ294" s="1296"/>
      <c r="CK294" s="1296"/>
    </row>
    <row r="295" spans="1:89" x14ac:dyDescent="0.25">
      <c r="A295" s="1296"/>
      <c r="B295" s="1721"/>
      <c r="C295" s="1205">
        <v>4</v>
      </c>
      <c r="D295" s="1196" t="s">
        <v>1856</v>
      </c>
      <c r="E295" s="1196" t="s">
        <v>1444</v>
      </c>
      <c r="F295" s="1196" t="str">
        <f>'Required Info to Submit'!E26</f>
        <v/>
      </c>
      <c r="G295" s="1393" t="str">
        <f>IF(F295="","",'Required Info to Submit'!K26)</f>
        <v/>
      </c>
      <c r="H295" s="1394" t="str">
        <f>IF(F295="","",'Required Info to Submit'!L26)</f>
        <v/>
      </c>
      <c r="I295" s="1196" t="str">
        <f>'Required Info to Submit'!F26</f>
        <v/>
      </c>
      <c r="J295" s="1196" t="str">
        <f>'Required Info to Submit'!G26</f>
        <v/>
      </c>
      <c r="K295" s="1196" t="str">
        <f>'Required Info to Submit'!H26</f>
        <v/>
      </c>
      <c r="L295" s="1196" t="str">
        <f>'Required Info to Submit'!I26</f>
        <v/>
      </c>
      <c r="M295" s="1196" t="str">
        <f>'Required Info to Submit'!J26</f>
        <v/>
      </c>
      <c r="N295" s="1296"/>
      <c r="O295" s="138"/>
      <c r="P295" s="1296"/>
      <c r="Q295" s="1296"/>
      <c r="R295" s="1296"/>
      <c r="S295" s="1296"/>
      <c r="T295" s="1296"/>
      <c r="U295" s="1296"/>
      <c r="V295" s="1296"/>
      <c r="W295" s="1296"/>
      <c r="X295" s="1296"/>
      <c r="Y295" s="1296"/>
      <c r="Z295" s="1296"/>
      <c r="AA295" s="1296"/>
      <c r="AB295" s="1296"/>
      <c r="AC295" s="1296"/>
      <c r="AD295" s="1296"/>
      <c r="AE295" s="1296"/>
      <c r="AF295" s="1296"/>
      <c r="AG295" s="1296"/>
      <c r="AH295" s="1296"/>
      <c r="AI295" s="1296"/>
      <c r="AJ295" s="1296"/>
      <c r="AK295" s="1296"/>
      <c r="AL295" s="1296"/>
      <c r="AM295" s="1296"/>
      <c r="AN295" s="1296"/>
      <c r="AO295" s="1296"/>
      <c r="AP295" s="1296"/>
      <c r="AQ295" s="1296"/>
      <c r="AR295" s="1296"/>
      <c r="AS295" s="1296"/>
      <c r="AT295" s="1296"/>
      <c r="AU295" s="1296"/>
      <c r="AV295" s="1296"/>
      <c r="AW295" s="1296"/>
      <c r="AX295" s="1296"/>
      <c r="AY295" s="1296"/>
      <c r="AZ295" s="1296"/>
      <c r="BA295" s="1296"/>
      <c r="BB295" s="1296"/>
      <c r="BC295" s="1296"/>
      <c r="BD295" s="1296"/>
      <c r="BE295" s="1296"/>
      <c r="BF295" s="1296"/>
      <c r="BG295" s="1296"/>
      <c r="BH295" s="1296"/>
      <c r="BI295" s="1296"/>
      <c r="BJ295" s="1296"/>
      <c r="BK295" s="1296"/>
      <c r="BL295" s="1296"/>
      <c r="BM295" s="1296"/>
      <c r="BN295" s="1296"/>
      <c r="BO295" s="1296"/>
      <c r="BP295" s="1296"/>
      <c r="BQ295" s="1296"/>
      <c r="BR295" s="1296"/>
      <c r="BS295" s="1296"/>
      <c r="BT295" s="1296"/>
      <c r="BU295" s="1296"/>
      <c r="BV295" s="1296"/>
      <c r="BW295" s="1296"/>
      <c r="BX295" s="1296"/>
      <c r="BY295" s="1296"/>
      <c r="BZ295" s="1296"/>
      <c r="CA295" s="1296"/>
      <c r="CB295" s="1296"/>
      <c r="CC295" s="1296"/>
      <c r="CD295" s="1296"/>
      <c r="CE295" s="1296"/>
      <c r="CF295" s="1296"/>
      <c r="CG295" s="1296"/>
      <c r="CH295" s="1296"/>
      <c r="CI295" s="1296"/>
      <c r="CJ295" s="1296"/>
      <c r="CK295" s="1296"/>
    </row>
    <row r="296" spans="1:89" x14ac:dyDescent="0.25">
      <c r="A296" s="1296"/>
      <c r="B296" s="1721"/>
      <c r="C296" s="1205">
        <v>5</v>
      </c>
      <c r="D296" s="1196" t="s">
        <v>1856</v>
      </c>
      <c r="E296" s="1196" t="s">
        <v>1444</v>
      </c>
      <c r="F296" s="1196" t="str">
        <f>'Required Info to Submit'!E27</f>
        <v/>
      </c>
      <c r="G296" s="1393" t="str">
        <f>IF(F296="","",'Required Info to Submit'!K27)</f>
        <v/>
      </c>
      <c r="H296" s="1394" t="str">
        <f>IF(F296="","",'Required Info to Submit'!L27)</f>
        <v/>
      </c>
      <c r="I296" s="1196" t="str">
        <f>'Required Info to Submit'!F27</f>
        <v/>
      </c>
      <c r="J296" s="1196" t="str">
        <f>'Required Info to Submit'!G27</f>
        <v/>
      </c>
      <c r="K296" s="1196" t="str">
        <f>'Required Info to Submit'!H27</f>
        <v/>
      </c>
      <c r="L296" s="1196" t="str">
        <f>'Required Info to Submit'!I27</f>
        <v/>
      </c>
      <c r="M296" s="1196" t="str">
        <f>'Required Info to Submit'!J27</f>
        <v/>
      </c>
      <c r="N296" s="1296"/>
      <c r="O296" s="138"/>
      <c r="P296" s="1296"/>
      <c r="Q296" s="1296"/>
      <c r="R296" s="1296"/>
      <c r="S296" s="1296"/>
      <c r="T296" s="1296"/>
      <c r="U296" s="1296"/>
      <c r="V296" s="1296"/>
      <c r="W296" s="1296"/>
      <c r="X296" s="1296"/>
      <c r="Y296" s="1296"/>
      <c r="Z296" s="1296"/>
      <c r="AA296" s="1296"/>
      <c r="AB296" s="1296"/>
      <c r="AC296" s="1296"/>
      <c r="AD296" s="1296"/>
      <c r="AE296" s="1296"/>
      <c r="AF296" s="1296"/>
      <c r="AG296" s="1296"/>
      <c r="AH296" s="1296"/>
      <c r="AI296" s="1296"/>
      <c r="AJ296" s="1296"/>
      <c r="AK296" s="1296"/>
      <c r="AL296" s="1296"/>
      <c r="AM296" s="1296"/>
      <c r="AN296" s="1296"/>
      <c r="AO296" s="1296"/>
      <c r="AP296" s="1296"/>
      <c r="AQ296" s="1296"/>
      <c r="AR296" s="1296"/>
      <c r="AS296" s="1296"/>
      <c r="AT296" s="1296"/>
      <c r="AU296" s="1296"/>
      <c r="AV296" s="1296"/>
      <c r="AW296" s="1296"/>
      <c r="AX296" s="1296"/>
      <c r="AY296" s="1296"/>
      <c r="AZ296" s="1296"/>
      <c r="BA296" s="1296"/>
      <c r="BB296" s="1296"/>
      <c r="BC296" s="1296"/>
      <c r="BD296" s="1296"/>
      <c r="BE296" s="1296"/>
      <c r="BF296" s="1296"/>
      <c r="BG296" s="1296"/>
      <c r="BH296" s="1296"/>
      <c r="BI296" s="1296"/>
      <c r="BJ296" s="1296"/>
      <c r="BK296" s="1296"/>
      <c r="BL296" s="1296"/>
      <c r="BM296" s="1296"/>
      <c r="BN296" s="1296"/>
      <c r="BO296" s="1296"/>
      <c r="BP296" s="1296"/>
      <c r="BQ296" s="1296"/>
      <c r="BR296" s="1296"/>
      <c r="BS296" s="1296"/>
      <c r="BT296" s="1296"/>
      <c r="BU296" s="1296"/>
      <c r="BV296" s="1296"/>
      <c r="BW296" s="1296"/>
      <c r="BX296" s="1296"/>
      <c r="BY296" s="1296"/>
      <c r="BZ296" s="1296"/>
      <c r="CA296" s="1296"/>
      <c r="CB296" s="1296"/>
      <c r="CC296" s="1296"/>
      <c r="CD296" s="1296"/>
      <c r="CE296" s="1296"/>
      <c r="CF296" s="1296"/>
      <c r="CG296" s="1296"/>
      <c r="CH296" s="1296"/>
      <c r="CI296" s="1296"/>
      <c r="CJ296" s="1296"/>
      <c r="CK296" s="1296"/>
    </row>
    <row r="297" spans="1:89" x14ac:dyDescent="0.25">
      <c r="A297" s="1296"/>
      <c r="B297" s="1721"/>
      <c r="C297" s="1205">
        <v>6</v>
      </c>
      <c r="D297" s="1196" t="s">
        <v>1856</v>
      </c>
      <c r="E297" s="1196" t="s">
        <v>1444</v>
      </c>
      <c r="F297" s="1196" t="str">
        <f>'Required Info to Submit'!E28</f>
        <v/>
      </c>
      <c r="G297" s="1393" t="str">
        <f>IF(F297="","",'Required Info to Submit'!K28)</f>
        <v/>
      </c>
      <c r="H297" s="1394" t="str">
        <f>IF(F297="","",'Required Info to Submit'!L28)</f>
        <v/>
      </c>
      <c r="I297" s="1196" t="str">
        <f>'Required Info to Submit'!F28</f>
        <v/>
      </c>
      <c r="J297" s="1196" t="str">
        <f>'Required Info to Submit'!G28</f>
        <v/>
      </c>
      <c r="K297" s="1196" t="str">
        <f>'Required Info to Submit'!H28</f>
        <v/>
      </c>
      <c r="L297" s="1196" t="str">
        <f>'Required Info to Submit'!I28</f>
        <v/>
      </c>
      <c r="M297" s="1196" t="str">
        <f>'Required Info to Submit'!J28</f>
        <v/>
      </c>
      <c r="N297" s="1296"/>
      <c r="O297" s="138"/>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6"/>
      <c r="AJ297" s="1296"/>
      <c r="AK297" s="1296"/>
      <c r="AL297" s="1296"/>
      <c r="AM297" s="1296"/>
      <c r="AN297" s="1296"/>
      <c r="AO297" s="1296"/>
      <c r="AP297" s="1296"/>
      <c r="AQ297" s="1296"/>
      <c r="AR297" s="1296"/>
      <c r="AS297" s="1296"/>
      <c r="AT297" s="1296"/>
      <c r="AU297" s="1296"/>
      <c r="AV297" s="1296"/>
      <c r="AW297" s="1296"/>
      <c r="AX297" s="1296"/>
      <c r="AY297" s="1296"/>
      <c r="AZ297" s="1296"/>
      <c r="BA297" s="1296"/>
      <c r="BB297" s="1296"/>
      <c r="BC297" s="1296"/>
      <c r="BD297" s="1296"/>
      <c r="BE297" s="1296"/>
      <c r="BF297" s="1296"/>
      <c r="BG297" s="1296"/>
      <c r="BH297" s="1296"/>
      <c r="BI297" s="1296"/>
      <c r="BJ297" s="1296"/>
      <c r="BK297" s="1296"/>
      <c r="BL297" s="1296"/>
      <c r="BM297" s="1296"/>
      <c r="BN297" s="1296"/>
      <c r="BO297" s="1296"/>
      <c r="BP297" s="1296"/>
      <c r="BQ297" s="1296"/>
      <c r="BR297" s="1296"/>
      <c r="BS297" s="1296"/>
      <c r="BT297" s="1296"/>
      <c r="BU297" s="1296"/>
      <c r="BV297" s="1296"/>
      <c r="BW297" s="1296"/>
      <c r="BX297" s="1296"/>
      <c r="BY297" s="1296"/>
      <c r="BZ297" s="1296"/>
      <c r="CA297" s="1296"/>
      <c r="CB297" s="1296"/>
      <c r="CC297" s="1296"/>
      <c r="CD297" s="1296"/>
      <c r="CE297" s="1296"/>
      <c r="CF297" s="1296"/>
      <c r="CG297" s="1296"/>
      <c r="CH297" s="1296"/>
      <c r="CI297" s="1296"/>
      <c r="CJ297" s="1296"/>
      <c r="CK297" s="1296"/>
    </row>
    <row r="298" spans="1:89" x14ac:dyDescent="0.25">
      <c r="A298" s="1296"/>
      <c r="B298" s="1721"/>
      <c r="C298" s="1205">
        <v>7</v>
      </c>
      <c r="D298" s="1196" t="s">
        <v>1856</v>
      </c>
      <c r="E298" s="1196" t="s">
        <v>1444</v>
      </c>
      <c r="F298" s="1196" t="str">
        <f>'Required Info to Submit'!E29</f>
        <v/>
      </c>
      <c r="G298" s="1393" t="str">
        <f>IF(F298="","",'Required Info to Submit'!K29)</f>
        <v/>
      </c>
      <c r="H298" s="1394" t="str">
        <f>IF(F298="","",'Required Info to Submit'!L29)</f>
        <v/>
      </c>
      <c r="I298" s="1196" t="str">
        <f>'Required Info to Submit'!F29</f>
        <v/>
      </c>
      <c r="J298" s="1196" t="str">
        <f>'Required Info to Submit'!G29</f>
        <v/>
      </c>
      <c r="K298" s="1196" t="str">
        <f>'Required Info to Submit'!H29</f>
        <v/>
      </c>
      <c r="L298" s="1196" t="str">
        <f>'Required Info to Submit'!I29</f>
        <v/>
      </c>
      <c r="M298" s="1196" t="str">
        <f>'Required Info to Submit'!J29</f>
        <v/>
      </c>
      <c r="N298" s="1296"/>
      <c r="O298" s="138"/>
      <c r="P298" s="1296"/>
      <c r="Q298" s="1296"/>
      <c r="R298" s="1296"/>
      <c r="S298" s="1296"/>
      <c r="T298" s="1296"/>
      <c r="U298" s="1296"/>
      <c r="V298" s="1296"/>
      <c r="W298" s="1296"/>
      <c r="X298" s="1296"/>
      <c r="Y298" s="1296"/>
      <c r="Z298" s="1296"/>
      <c r="AA298" s="1296"/>
      <c r="AB298" s="1296"/>
      <c r="AC298" s="1296"/>
      <c r="AD298" s="1296"/>
      <c r="AE298" s="1296"/>
      <c r="AF298" s="1296"/>
      <c r="AG298" s="1296"/>
      <c r="AH298" s="1296"/>
      <c r="AI298" s="1296"/>
      <c r="AJ298" s="1296"/>
      <c r="AK298" s="1296"/>
      <c r="AL298" s="1296"/>
      <c r="AM298" s="1296"/>
      <c r="AN298" s="1296"/>
      <c r="AO298" s="1296"/>
      <c r="AP298" s="1296"/>
      <c r="AQ298" s="1296"/>
      <c r="AR298" s="1296"/>
      <c r="AS298" s="1296"/>
      <c r="AT298" s="1296"/>
      <c r="AU298" s="1296"/>
      <c r="AV298" s="1296"/>
      <c r="AW298" s="1296"/>
      <c r="AX298" s="1296"/>
      <c r="AY298" s="1296"/>
      <c r="AZ298" s="1296"/>
      <c r="BA298" s="1296"/>
      <c r="BB298" s="1296"/>
      <c r="BC298" s="1296"/>
      <c r="BD298" s="1296"/>
      <c r="BE298" s="1296"/>
      <c r="BF298" s="1296"/>
      <c r="BG298" s="1296"/>
      <c r="BH298" s="1296"/>
      <c r="BI298" s="1296"/>
      <c r="BJ298" s="1296"/>
      <c r="BK298" s="1296"/>
      <c r="BL298" s="1296"/>
      <c r="BM298" s="1296"/>
      <c r="BN298" s="1296"/>
      <c r="BO298" s="1296"/>
      <c r="BP298" s="1296"/>
      <c r="BQ298" s="1296"/>
      <c r="BR298" s="1296"/>
      <c r="BS298" s="1296"/>
      <c r="BT298" s="1296"/>
      <c r="BU298" s="1296"/>
      <c r="BV298" s="1296"/>
      <c r="BW298" s="1296"/>
      <c r="BX298" s="1296"/>
      <c r="BY298" s="1296"/>
      <c r="BZ298" s="1296"/>
      <c r="CA298" s="1296"/>
      <c r="CB298" s="1296"/>
      <c r="CC298" s="1296"/>
      <c r="CD298" s="1296"/>
      <c r="CE298" s="1296"/>
      <c r="CF298" s="1296"/>
      <c r="CG298" s="1296"/>
      <c r="CH298" s="1296"/>
      <c r="CI298" s="1296"/>
      <c r="CJ298" s="1296"/>
      <c r="CK298" s="1296"/>
    </row>
    <row r="299" spans="1:89" x14ac:dyDescent="0.25">
      <c r="A299" s="1296"/>
      <c r="B299" s="1721"/>
      <c r="C299" s="1205">
        <v>8</v>
      </c>
      <c r="D299" s="1196" t="s">
        <v>1856</v>
      </c>
      <c r="E299" s="1196" t="s">
        <v>1444</v>
      </c>
      <c r="F299" s="1196" t="str">
        <f>'Required Info to Submit'!E30</f>
        <v/>
      </c>
      <c r="G299" s="1393" t="str">
        <f>IF(F299="","",'Required Info to Submit'!K30)</f>
        <v/>
      </c>
      <c r="H299" s="1394" t="str">
        <f>IF(F299="","",'Required Info to Submit'!L30)</f>
        <v/>
      </c>
      <c r="I299" s="1196" t="str">
        <f>'Required Info to Submit'!F30</f>
        <v/>
      </c>
      <c r="J299" s="1196" t="str">
        <f>'Required Info to Submit'!G30</f>
        <v/>
      </c>
      <c r="K299" s="1196" t="str">
        <f>'Required Info to Submit'!H30</f>
        <v/>
      </c>
      <c r="L299" s="1196" t="str">
        <f>'Required Info to Submit'!I30</f>
        <v/>
      </c>
      <c r="M299" s="1196" t="str">
        <f>'Required Info to Submit'!J30</f>
        <v/>
      </c>
      <c r="N299" s="1296"/>
      <c r="O299" s="138"/>
      <c r="P299" s="1296"/>
      <c r="Q299" s="1296"/>
      <c r="R299" s="1296"/>
      <c r="S299" s="1296"/>
      <c r="T299" s="1296"/>
      <c r="U299" s="1296"/>
      <c r="V299" s="1296"/>
      <c r="W299" s="1296"/>
      <c r="X299" s="1296"/>
      <c r="Y299" s="1296"/>
      <c r="Z299" s="1296"/>
      <c r="AA299" s="1296"/>
      <c r="AB299" s="1296"/>
      <c r="AC299" s="1296"/>
      <c r="AD299" s="1296"/>
      <c r="AE299" s="1296"/>
      <c r="AF299" s="1296"/>
      <c r="AG299" s="1296"/>
      <c r="AH299" s="1296"/>
      <c r="AI299" s="1296"/>
      <c r="AJ299" s="1296"/>
      <c r="AK299" s="1296"/>
      <c r="AL299" s="1296"/>
      <c r="AM299" s="1296"/>
      <c r="AN299" s="1296"/>
      <c r="AO299" s="1296"/>
      <c r="AP299" s="1296"/>
      <c r="AQ299" s="1296"/>
      <c r="AR299" s="1296"/>
      <c r="AS299" s="1296"/>
      <c r="AT299" s="1296"/>
      <c r="AU299" s="1296"/>
      <c r="AV299" s="1296"/>
      <c r="AW299" s="1296"/>
      <c r="AX299" s="1296"/>
      <c r="AY299" s="1296"/>
      <c r="AZ299" s="1296"/>
      <c r="BA299" s="1296"/>
      <c r="BB299" s="1296"/>
      <c r="BC299" s="1296"/>
      <c r="BD299" s="1296"/>
      <c r="BE299" s="1296"/>
      <c r="BF299" s="1296"/>
      <c r="BG299" s="1296"/>
      <c r="BH299" s="1296"/>
      <c r="BI299" s="1296"/>
      <c r="BJ299" s="1296"/>
      <c r="BK299" s="1296"/>
      <c r="BL299" s="1296"/>
      <c r="BM299" s="1296"/>
      <c r="BN299" s="1296"/>
      <c r="BO299" s="1296"/>
      <c r="BP299" s="1296"/>
      <c r="BQ299" s="1296"/>
      <c r="BR299" s="1296"/>
      <c r="BS299" s="1296"/>
      <c r="BT299" s="1296"/>
      <c r="BU299" s="1296"/>
      <c r="BV299" s="1296"/>
      <c r="BW299" s="1296"/>
      <c r="BX299" s="1296"/>
      <c r="BY299" s="1296"/>
      <c r="BZ299" s="1296"/>
      <c r="CA299" s="1296"/>
      <c r="CB299" s="1296"/>
      <c r="CC299" s="1296"/>
      <c r="CD299" s="1296"/>
      <c r="CE299" s="1296"/>
      <c r="CF299" s="1296"/>
      <c r="CG299" s="1296"/>
      <c r="CH299" s="1296"/>
      <c r="CI299" s="1296"/>
      <c r="CJ299" s="1296"/>
      <c r="CK299" s="1296"/>
    </row>
    <row r="300" spans="1:89" x14ac:dyDescent="0.25">
      <c r="A300" s="1296"/>
      <c r="B300" s="1721"/>
      <c r="C300" s="1205">
        <v>9</v>
      </c>
      <c r="D300" s="1196" t="s">
        <v>1856</v>
      </c>
      <c r="E300" s="1196" t="s">
        <v>1444</v>
      </c>
      <c r="F300" s="1196" t="str">
        <f>'Required Info to Submit'!E31</f>
        <v/>
      </c>
      <c r="G300" s="1393" t="str">
        <f>IF(F300="","",'Required Info to Submit'!K31)</f>
        <v/>
      </c>
      <c r="H300" s="1394" t="str">
        <f>IF(F300="","",'Required Info to Submit'!L31)</f>
        <v/>
      </c>
      <c r="I300" s="1196" t="str">
        <f>'Required Info to Submit'!F31</f>
        <v/>
      </c>
      <c r="J300" s="1196" t="str">
        <f>'Required Info to Submit'!G31</f>
        <v/>
      </c>
      <c r="K300" s="1196" t="str">
        <f>'Required Info to Submit'!H31</f>
        <v/>
      </c>
      <c r="L300" s="1196" t="str">
        <f>'Required Info to Submit'!I31</f>
        <v/>
      </c>
      <c r="M300" s="1196" t="str">
        <f>'Required Info to Submit'!J31</f>
        <v/>
      </c>
      <c r="N300" s="1296"/>
      <c r="O300" s="138"/>
      <c r="P300" s="1296"/>
      <c r="Q300" s="1296"/>
      <c r="R300" s="1296"/>
      <c r="S300" s="1296"/>
      <c r="T300" s="1296"/>
      <c r="U300" s="1296"/>
      <c r="V300" s="1296"/>
      <c r="W300" s="1296"/>
      <c r="X300" s="1296"/>
      <c r="Y300" s="1296"/>
      <c r="Z300" s="1296"/>
      <c r="AA300" s="1296"/>
      <c r="AB300" s="1296"/>
      <c r="AC300" s="1296"/>
      <c r="AD300" s="1296"/>
      <c r="AE300" s="1296"/>
      <c r="AF300" s="1296"/>
      <c r="AG300" s="1296"/>
      <c r="AH300" s="1296"/>
      <c r="AI300" s="1296"/>
      <c r="AJ300" s="1296"/>
      <c r="AK300" s="1296"/>
      <c r="AL300" s="1296"/>
      <c r="AM300" s="1296"/>
      <c r="AN300" s="1296"/>
      <c r="AO300" s="1296"/>
      <c r="AP300" s="1296"/>
      <c r="AQ300" s="1296"/>
      <c r="AR300" s="1296"/>
      <c r="AS300" s="1296"/>
      <c r="AT300" s="1296"/>
      <c r="AU300" s="1296"/>
      <c r="AV300" s="1296"/>
      <c r="AW300" s="1296"/>
      <c r="AX300" s="1296"/>
      <c r="AY300" s="1296"/>
      <c r="AZ300" s="1296"/>
      <c r="BA300" s="1296"/>
      <c r="BB300" s="1296"/>
      <c r="BC300" s="1296"/>
      <c r="BD300" s="1296"/>
      <c r="BE300" s="1296"/>
      <c r="BF300" s="1296"/>
      <c r="BG300" s="1296"/>
      <c r="BH300" s="1296"/>
      <c r="BI300" s="1296"/>
      <c r="BJ300" s="1296"/>
      <c r="BK300" s="1296"/>
      <c r="BL300" s="1296"/>
      <c r="BM300" s="1296"/>
      <c r="BN300" s="1296"/>
      <c r="BO300" s="1296"/>
      <c r="BP300" s="1296"/>
      <c r="BQ300" s="1296"/>
      <c r="BR300" s="1296"/>
      <c r="BS300" s="1296"/>
      <c r="BT300" s="1296"/>
      <c r="BU300" s="1296"/>
      <c r="BV300" s="1296"/>
      <c r="BW300" s="1296"/>
      <c r="BX300" s="1296"/>
      <c r="BY300" s="1296"/>
      <c r="BZ300" s="1296"/>
      <c r="CA300" s="1296"/>
      <c r="CB300" s="1296"/>
      <c r="CC300" s="1296"/>
      <c r="CD300" s="1296"/>
      <c r="CE300" s="1296"/>
      <c r="CF300" s="1296"/>
      <c r="CG300" s="1296"/>
      <c r="CH300" s="1296"/>
      <c r="CI300" s="1296"/>
      <c r="CJ300" s="1296"/>
      <c r="CK300" s="1296"/>
    </row>
    <row r="301" spans="1:89" ht="15.75" thickBot="1" x14ac:dyDescent="0.3">
      <c r="A301" s="1296"/>
      <c r="B301" s="1722"/>
      <c r="C301" s="1207">
        <v>10</v>
      </c>
      <c r="D301" s="1198" t="s">
        <v>1856</v>
      </c>
      <c r="E301" s="1198" t="s">
        <v>1444</v>
      </c>
      <c r="F301" s="1198" t="str">
        <f>'Required Info to Submit'!E32</f>
        <v/>
      </c>
      <c r="G301" s="1395" t="str">
        <f>IF(F301="","",'Required Info to Submit'!K32)</f>
        <v/>
      </c>
      <c r="H301" s="1395" t="str">
        <f>IF(F301="","",'Required Info to Submit'!L32)</f>
        <v/>
      </c>
      <c r="I301" s="1198" t="str">
        <f>'Required Info to Submit'!F32</f>
        <v/>
      </c>
      <c r="J301" s="1198" t="str">
        <f>'Required Info to Submit'!G32</f>
        <v/>
      </c>
      <c r="K301" s="1198" t="str">
        <f>'Required Info to Submit'!H32</f>
        <v/>
      </c>
      <c r="L301" s="1198" t="str">
        <f>'Required Info to Submit'!I32</f>
        <v/>
      </c>
      <c r="M301" s="1198" t="str">
        <f>'Required Info to Submit'!J32</f>
        <v/>
      </c>
      <c r="N301" s="256"/>
      <c r="O301" s="257"/>
      <c r="P301" s="1296"/>
      <c r="Q301" s="1296"/>
      <c r="R301" s="1296"/>
      <c r="S301" s="1296"/>
      <c r="T301" s="1296"/>
      <c r="U301" s="1296"/>
      <c r="V301" s="1296"/>
      <c r="W301" s="1296"/>
      <c r="X301" s="1296"/>
      <c r="Y301" s="1296"/>
      <c r="Z301" s="1296"/>
      <c r="AA301" s="1296"/>
      <c r="AB301" s="1296"/>
      <c r="AC301" s="1296"/>
      <c r="AD301" s="1296"/>
      <c r="AE301" s="1296"/>
      <c r="AF301" s="1296"/>
      <c r="AG301" s="1296"/>
      <c r="AH301" s="1296"/>
      <c r="AI301" s="1296"/>
      <c r="AJ301" s="1296"/>
      <c r="AK301" s="1296"/>
      <c r="AL301" s="1296"/>
      <c r="AM301" s="1296"/>
      <c r="AN301" s="1296"/>
      <c r="AO301" s="1296"/>
      <c r="AP301" s="1296"/>
      <c r="AQ301" s="1296"/>
      <c r="AR301" s="1296"/>
      <c r="AS301" s="1296"/>
      <c r="AT301" s="1296"/>
      <c r="AU301" s="1296"/>
      <c r="AV301" s="1296"/>
      <c r="AW301" s="1296"/>
      <c r="AX301" s="1296"/>
      <c r="AY301" s="1296"/>
      <c r="AZ301" s="1296"/>
      <c r="BA301" s="1296"/>
      <c r="BB301" s="1296"/>
      <c r="BC301" s="1296"/>
      <c r="BD301" s="1296"/>
      <c r="BE301" s="1296"/>
      <c r="BF301" s="1296"/>
      <c r="BG301" s="1296"/>
      <c r="BH301" s="1296"/>
      <c r="BI301" s="1296"/>
      <c r="BJ301" s="1296"/>
      <c r="BK301" s="1296"/>
      <c r="BL301" s="1296"/>
      <c r="BM301" s="1296"/>
      <c r="BN301" s="1296"/>
      <c r="BO301" s="1296"/>
      <c r="BP301" s="1296"/>
      <c r="BQ301" s="1296"/>
      <c r="BR301" s="1296"/>
      <c r="BS301" s="1296"/>
      <c r="BT301" s="1296"/>
      <c r="BU301" s="1296"/>
      <c r="BV301" s="1296"/>
      <c r="BW301" s="1296"/>
      <c r="BX301" s="1296"/>
      <c r="BY301" s="1296"/>
      <c r="BZ301" s="1296"/>
      <c r="CA301" s="1296"/>
      <c r="CB301" s="1296"/>
      <c r="CC301" s="1296"/>
      <c r="CD301" s="1296"/>
      <c r="CE301" s="1296"/>
      <c r="CF301" s="1296"/>
      <c r="CG301" s="1296"/>
      <c r="CH301" s="1296"/>
      <c r="CI301" s="1296"/>
      <c r="CJ301" s="1296"/>
      <c r="CK301" s="1296"/>
    </row>
    <row r="302" spans="1:89" x14ac:dyDescent="0.25">
      <c r="A302" s="1296"/>
      <c r="B302" s="1296"/>
      <c r="C302" s="1296"/>
      <c r="D302" s="1296"/>
      <c r="E302" s="1296"/>
      <c r="F302" s="1296"/>
      <c r="G302" s="1296"/>
      <c r="H302" s="1296"/>
      <c r="I302" s="1296"/>
      <c r="J302" s="1296"/>
      <c r="K302" s="1296"/>
      <c r="L302" s="1296"/>
      <c r="M302" s="1296"/>
      <c r="N302" s="1296"/>
      <c r="O302" s="1296"/>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6"/>
      <c r="AJ302" s="1296"/>
      <c r="AK302" s="1296"/>
      <c r="AL302" s="1296"/>
      <c r="AM302" s="1296"/>
      <c r="AN302" s="1296"/>
      <c r="AO302" s="1296"/>
      <c r="AP302" s="1296"/>
      <c r="AQ302" s="1296"/>
      <c r="AR302" s="1296"/>
      <c r="AS302" s="1296"/>
      <c r="AT302" s="1296"/>
      <c r="AU302" s="1296"/>
      <c r="AV302" s="1296"/>
      <c r="AW302" s="1296"/>
      <c r="AX302" s="1296"/>
      <c r="AY302" s="1296"/>
      <c r="AZ302" s="1296"/>
      <c r="BA302" s="1296"/>
      <c r="BB302" s="1296"/>
      <c r="BC302" s="1296"/>
      <c r="BD302" s="1296"/>
      <c r="BE302" s="1296"/>
      <c r="BF302" s="1296"/>
      <c r="BG302" s="1296"/>
      <c r="BH302" s="1296"/>
      <c r="BI302" s="1296"/>
      <c r="BJ302" s="1296"/>
      <c r="BK302" s="1296"/>
      <c r="BL302" s="1296"/>
      <c r="BM302" s="1296"/>
      <c r="BN302" s="1296"/>
      <c r="BO302" s="1296"/>
      <c r="BP302" s="1296"/>
      <c r="BQ302" s="1296"/>
      <c r="BR302" s="1296"/>
      <c r="BS302" s="1296"/>
      <c r="BT302" s="1296"/>
      <c r="BU302" s="1296"/>
      <c r="BV302" s="1296"/>
      <c r="BW302" s="1296"/>
      <c r="BX302" s="1296"/>
      <c r="BY302" s="1296"/>
      <c r="BZ302" s="1296"/>
      <c r="CA302" s="1296"/>
      <c r="CB302" s="1296"/>
      <c r="CC302" s="1296"/>
      <c r="CD302" s="1296"/>
      <c r="CE302" s="1296"/>
      <c r="CF302" s="1296"/>
      <c r="CG302" s="1296"/>
      <c r="CH302" s="1296"/>
      <c r="CI302" s="1296"/>
      <c r="CJ302" s="1296"/>
      <c r="CK302" s="1296"/>
    </row>
    <row r="303" spans="1:89" ht="15.75" thickBot="1" x14ac:dyDescent="0.3">
      <c r="A303" s="1296"/>
      <c r="B303" s="1296"/>
      <c r="C303" s="1296"/>
      <c r="D303" s="1296"/>
      <c r="E303" s="1296"/>
      <c r="F303" s="1296"/>
      <c r="G303" s="1296"/>
      <c r="H303" s="1296"/>
      <c r="I303" s="1296"/>
      <c r="J303" s="1296"/>
      <c r="K303" s="1296"/>
      <c r="L303" s="1296"/>
      <c r="M303" s="1296"/>
      <c r="N303" s="1296"/>
      <c r="O303" s="1296"/>
      <c r="P303" s="1296"/>
      <c r="Q303" s="1296"/>
      <c r="R303" s="1296"/>
      <c r="S303" s="1296"/>
      <c r="T303" s="1296"/>
      <c r="U303" s="1296"/>
      <c r="V303" s="1296"/>
      <c r="W303" s="1296"/>
      <c r="X303" s="1296"/>
      <c r="Y303" s="1296"/>
      <c r="Z303" s="1296"/>
      <c r="AA303" s="1296"/>
      <c r="AB303" s="1296"/>
      <c r="AC303" s="1296"/>
      <c r="AD303" s="1296"/>
      <c r="AE303" s="1296"/>
      <c r="AF303" s="1296"/>
      <c r="AG303" s="1296"/>
      <c r="AH303" s="1296"/>
      <c r="AI303" s="1296"/>
      <c r="AJ303" s="1296"/>
      <c r="AK303" s="1296"/>
      <c r="AL303" s="1296"/>
      <c r="AM303" s="1296"/>
      <c r="AN303" s="1296"/>
      <c r="AO303" s="1296"/>
      <c r="AP303" s="1296"/>
      <c r="AQ303" s="1296"/>
      <c r="AR303" s="1296"/>
      <c r="AS303" s="1296"/>
      <c r="AT303" s="1296"/>
      <c r="AU303" s="1296"/>
      <c r="AV303" s="1296"/>
      <c r="AW303" s="1296"/>
      <c r="AX303" s="1296"/>
      <c r="AY303" s="1296"/>
      <c r="AZ303" s="1296"/>
      <c r="BA303" s="1296"/>
      <c r="BB303" s="1296"/>
      <c r="BC303" s="1296"/>
      <c r="BD303" s="1296"/>
      <c r="BE303" s="1296"/>
      <c r="BF303" s="1296"/>
      <c r="BG303" s="1296"/>
      <c r="BH303" s="1296"/>
      <c r="BI303" s="1296"/>
      <c r="BJ303" s="1296"/>
      <c r="BK303" s="1296"/>
      <c r="BL303" s="1296"/>
      <c r="BM303" s="1296"/>
      <c r="BN303" s="1296"/>
      <c r="BO303" s="1296"/>
      <c r="BP303" s="1296"/>
      <c r="BQ303" s="1296"/>
      <c r="BR303" s="1296"/>
      <c r="BS303" s="1296"/>
      <c r="BT303" s="1296"/>
      <c r="BU303" s="1296"/>
      <c r="BV303" s="1296"/>
      <c r="BW303" s="1296"/>
      <c r="BX303" s="1296"/>
      <c r="BY303" s="1296"/>
      <c r="BZ303" s="1296"/>
      <c r="CA303" s="1296"/>
      <c r="CB303" s="1296"/>
      <c r="CC303" s="1296"/>
      <c r="CD303" s="1296"/>
      <c r="CE303" s="1296"/>
      <c r="CF303" s="1296"/>
      <c r="CG303" s="1296"/>
      <c r="CH303" s="1296"/>
      <c r="CI303" s="1296"/>
      <c r="CJ303" s="1296"/>
      <c r="CK303" s="1296"/>
    </row>
    <row r="304" spans="1:89" ht="30.75" thickBot="1" x14ac:dyDescent="0.3">
      <c r="A304" s="1296"/>
      <c r="B304" s="1182"/>
      <c r="C304" s="1177" t="s">
        <v>1400</v>
      </c>
      <c r="D304" s="1177" t="s">
        <v>1510</v>
      </c>
      <c r="E304" s="1177" t="s">
        <v>767</v>
      </c>
      <c r="F304" s="1177" t="s">
        <v>1515</v>
      </c>
      <c r="G304" s="1177" t="s">
        <v>1833</v>
      </c>
      <c r="H304" s="1178" t="s">
        <v>1834</v>
      </c>
      <c r="I304" s="1178" t="s">
        <v>1835</v>
      </c>
      <c r="J304" s="1177" t="s">
        <v>1836</v>
      </c>
      <c r="K304" s="1178" t="s">
        <v>1414</v>
      </c>
      <c r="L304" s="1178" t="s">
        <v>1398</v>
      </c>
      <c r="M304" s="1177" t="s">
        <v>1399</v>
      </c>
      <c r="N304" s="1177" t="s">
        <v>722</v>
      </c>
      <c r="O304" s="1177" t="s">
        <v>723</v>
      </c>
      <c r="P304" s="1178" t="s">
        <v>1514</v>
      </c>
      <c r="Q304" s="1296"/>
      <c r="R304" s="1296"/>
      <c r="S304" s="1296"/>
      <c r="T304" s="1296"/>
      <c r="U304" s="1296"/>
      <c r="V304" s="1296"/>
      <c r="W304" s="1296"/>
      <c r="X304" s="1296"/>
      <c r="Y304" s="1296"/>
      <c r="Z304" s="1296"/>
      <c r="AA304" s="1296"/>
      <c r="AB304" s="1296"/>
      <c r="AC304" s="1296"/>
      <c r="AD304" s="1296"/>
      <c r="AE304" s="1296"/>
      <c r="AF304" s="1296"/>
      <c r="AG304" s="1296"/>
      <c r="AH304" s="1296"/>
      <c r="AI304" s="1296"/>
      <c r="AJ304" s="1296"/>
      <c r="AK304" s="1296"/>
      <c r="AL304" s="1296"/>
      <c r="AM304" s="1296"/>
      <c r="AN304" s="1296"/>
      <c r="AO304" s="1296"/>
      <c r="AP304" s="1296"/>
      <c r="AQ304" s="1296"/>
      <c r="AR304" s="1296"/>
      <c r="AS304" s="1296"/>
      <c r="AT304" s="1296"/>
      <c r="AU304" s="1296"/>
      <c r="AV304" s="1296"/>
      <c r="AW304" s="1296"/>
      <c r="AX304" s="1296"/>
      <c r="AY304" s="1296"/>
      <c r="AZ304" s="1296"/>
      <c r="BA304" s="1296"/>
      <c r="BB304" s="1296"/>
      <c r="BC304" s="1296"/>
      <c r="BD304" s="1296"/>
      <c r="BE304" s="1296"/>
      <c r="BF304" s="1296"/>
      <c r="BG304" s="1296"/>
      <c r="BH304" s="1296"/>
      <c r="BI304" s="1296"/>
      <c r="BJ304" s="1296"/>
      <c r="BK304" s="1296"/>
      <c r="BL304" s="1296"/>
      <c r="BM304" s="1296"/>
      <c r="BN304" s="1296"/>
      <c r="BO304" s="1296"/>
      <c r="BP304" s="1296"/>
      <c r="BQ304" s="1296"/>
      <c r="BR304" s="1296"/>
      <c r="BS304" s="1296"/>
      <c r="BT304" s="1296"/>
      <c r="BU304" s="1296"/>
      <c r="BV304" s="1296"/>
      <c r="BW304" s="1296"/>
      <c r="BX304" s="1296"/>
      <c r="BY304" s="1296"/>
      <c r="BZ304" s="1296"/>
      <c r="CA304" s="1296"/>
      <c r="CB304" s="1296"/>
      <c r="CC304" s="1296"/>
      <c r="CD304" s="1296"/>
      <c r="CE304" s="1296"/>
      <c r="CF304" s="1296"/>
      <c r="CG304" s="1296"/>
      <c r="CH304" s="1296"/>
      <c r="CI304" s="1296"/>
      <c r="CJ304" s="1296"/>
      <c r="CK304" s="1296"/>
    </row>
    <row r="305" spans="1:89" ht="60.75" thickBot="1" x14ac:dyDescent="0.3">
      <c r="A305" s="1296"/>
      <c r="B305" s="1184" t="s">
        <v>1837</v>
      </c>
      <c r="C305" s="1185" t="s">
        <v>1627</v>
      </c>
      <c r="D305" s="1313">
        <v>5001</v>
      </c>
      <c r="E305" s="1298" t="s">
        <v>1889</v>
      </c>
      <c r="F305" s="1298" t="s">
        <v>1516</v>
      </c>
      <c r="G305" s="1179" t="str" cm="1">
        <f t="array" aca="1" ref="G305" ca="1">INDIRECT("'Incentives Worksheet'!P"&amp;'Configurable Tab'!H28+3)</f>
        <v>Same as Payout Cycle</v>
      </c>
      <c r="H305" s="1179" t="str" cm="1">
        <f t="array" aca="1" ref="H305" ca="1">IF(ISBLANK(INDIRECT("'Incentives Worksheet'!H"&amp;'Configurable Tab'!H28+3)),"",INDIRECT("'Incentives Worksheet'!H"&amp;'Configurable Tab'!H28+3))</f>
        <v/>
      </c>
      <c r="I305" s="1179" t="str" cm="1">
        <f t="array" aca="1" ref="I305" ca="1">IF(INDIRECT("'Incentives Worksheet'!R"&amp;'Configurable Tab'!H28+3)="USF Calendar","Fiscal",INDIRECT("'Incentives Worksheet'!R"&amp;'Configurable Tab'!H28+3))</f>
        <v>Fiscal</v>
      </c>
      <c r="J305" s="1179" t="str" cm="1">
        <f t="array" aca="1" ref="J305" ca="1">IF(INDIRECT("'Incentives Worksheet'!T"&amp;'Configurable Tab'!H28+3)="Yes","Post to GL","")</f>
        <v/>
      </c>
      <c r="K305" s="1179" t="str" cm="1">
        <f t="array" aca="1" ref="K305" ca="1">IF(ISBLANK(INDIRECT("'Incentives Worksheet'!L"&amp;'Configurable Tab'!H28+3)),"",INDIRECT("'Incentives Worksheet'!L"&amp;'Configurable Tab'!H28+3))</f>
        <v/>
      </c>
      <c r="L305" s="1179" t="str" cm="1">
        <f t="array" aca="1" ref="L305" ca="1">IF(ISBLANK(INDIRECT("'Incentives Worksheet'!J"&amp;'Configurable Tab'!H28+3)),"",INDIRECT("'Incentives Worksheet'!J"&amp;'Configurable Tab'!H28+3))</f>
        <v/>
      </c>
      <c r="M305" s="1179" t="str" cm="1">
        <f t="array" aca="1" ref="M305" ca="1">IF(ISBLANK(INDIRECT("'Incentives Worksheet'!N"&amp;'Configurable Tab'!H28+3)),"",INDIRECT("'Incentives Worksheet'!N"&amp;'Configurable Tab'!H28+3))</f>
        <v/>
      </c>
      <c r="N305" s="1180" t="str" cm="1">
        <f t="array" aca="1" ref="N305" ca="1">INDIRECT("'Incentives Worksheet'!D"&amp;'Configurable Tab'!H28+6)</f>
        <v/>
      </c>
      <c r="O305" s="1180" t="str" cm="1">
        <f t="array" aca="1" ref="O305" ca="1">INDIRECT("'Incentives Worksheet'!D"&amp;'Configurable Tab'!H28+8)</f>
        <v/>
      </c>
      <c r="P305" s="1179" t="str" cm="1">
        <f t="array" aca="1" ref="P305" ca="1">INDIRECT("'Incentives Worksheet'!D"&amp;'Configurable Tab'!H28+10)</f>
        <v>Yes</v>
      </c>
      <c r="Q305" s="1296"/>
      <c r="R305" s="1296"/>
      <c r="S305" s="1296"/>
      <c r="T305" s="1296"/>
      <c r="U305" s="1296"/>
      <c r="V305" s="1296"/>
      <c r="W305" s="1296"/>
      <c r="X305" s="1296"/>
      <c r="Y305" s="1296"/>
      <c r="Z305" s="1296"/>
      <c r="AA305" s="1296"/>
      <c r="AB305" s="1296"/>
      <c r="AC305" s="1296"/>
      <c r="AD305" s="1296"/>
      <c r="AE305" s="1296"/>
      <c r="AF305" s="1296"/>
      <c r="AG305" s="1296"/>
      <c r="AH305" s="1296"/>
      <c r="AI305" s="1296"/>
      <c r="AJ305" s="1296"/>
      <c r="AK305" s="1296"/>
      <c r="AL305" s="1296"/>
      <c r="AM305" s="1296"/>
      <c r="AN305" s="1296"/>
      <c r="AO305" s="1296"/>
      <c r="AP305" s="1296"/>
      <c r="AQ305" s="1296"/>
      <c r="AR305" s="1296"/>
      <c r="AS305" s="1296"/>
      <c r="AT305" s="1296"/>
      <c r="AU305" s="1296"/>
      <c r="AV305" s="1296"/>
      <c r="AW305" s="1296"/>
      <c r="AX305" s="1296"/>
      <c r="AY305" s="1296"/>
      <c r="AZ305" s="1296"/>
      <c r="BA305" s="1296"/>
      <c r="BB305" s="1296"/>
      <c r="BC305" s="1296"/>
      <c r="BD305" s="1296"/>
      <c r="BE305" s="1296"/>
      <c r="BF305" s="1296"/>
      <c r="BG305" s="1296"/>
      <c r="BH305" s="1296"/>
      <c r="BI305" s="1296"/>
      <c r="BJ305" s="1296"/>
      <c r="BK305" s="1296"/>
      <c r="BL305" s="1296"/>
      <c r="BM305" s="1296"/>
      <c r="BN305" s="1296"/>
      <c r="BO305" s="1296"/>
      <c r="BP305" s="1296"/>
      <c r="BQ305" s="1296"/>
      <c r="BR305" s="1296"/>
      <c r="BS305" s="1296"/>
      <c r="BT305" s="1296"/>
      <c r="BU305" s="1296"/>
      <c r="BV305" s="1296"/>
      <c r="BW305" s="1296"/>
      <c r="BX305" s="1296"/>
      <c r="BY305" s="1296"/>
      <c r="BZ305" s="1296"/>
      <c r="CA305" s="1296"/>
      <c r="CB305" s="1296"/>
      <c r="CC305" s="1296"/>
      <c r="CD305" s="1296"/>
      <c r="CE305" s="1296"/>
      <c r="CF305" s="1296"/>
      <c r="CG305" s="1296"/>
      <c r="CH305" s="1296"/>
      <c r="CI305" s="1296"/>
      <c r="CJ305" s="1296"/>
      <c r="CK305" s="1296"/>
    </row>
    <row r="306" spans="1:89" ht="15.75" thickBot="1" x14ac:dyDescent="0.3">
      <c r="A306" s="1296"/>
      <c r="B306" s="1727" t="s">
        <v>1838</v>
      </c>
      <c r="C306" s="1177" t="s">
        <v>1839</v>
      </c>
      <c r="D306" s="1178" t="s">
        <v>1840</v>
      </c>
      <c r="E306" s="1188"/>
      <c r="F306" s="1188"/>
      <c r="G306" s="1188"/>
      <c r="H306" s="1188"/>
      <c r="I306" s="1188"/>
      <c r="J306" s="1188"/>
      <c r="K306" s="1188"/>
      <c r="L306" s="1188"/>
      <c r="M306" s="1188"/>
      <c r="N306" s="1188"/>
      <c r="O306" s="1188"/>
      <c r="P306" s="1189"/>
      <c r="Q306" s="1296"/>
      <c r="R306" s="1296"/>
      <c r="S306" s="1296"/>
      <c r="T306" s="1296"/>
      <c r="U306" s="1296"/>
      <c r="V306" s="1296"/>
      <c r="W306" s="1296"/>
      <c r="X306" s="1296"/>
      <c r="Y306" s="1296"/>
      <c r="Z306" s="1296"/>
      <c r="AA306" s="1296"/>
      <c r="AB306" s="1296"/>
      <c r="AC306" s="1296"/>
      <c r="AD306" s="1296"/>
      <c r="AE306" s="1296"/>
      <c r="AF306" s="1296"/>
      <c r="AG306" s="1296"/>
      <c r="AH306" s="1296"/>
      <c r="AI306" s="1296"/>
      <c r="AJ306" s="1296"/>
      <c r="AK306" s="1296"/>
      <c r="AL306" s="1296"/>
      <c r="AM306" s="1296"/>
      <c r="AN306" s="1296"/>
      <c r="AO306" s="1296"/>
      <c r="AP306" s="1296"/>
      <c r="AQ306" s="1296"/>
      <c r="AR306" s="1296"/>
      <c r="AS306" s="1296"/>
      <c r="AT306" s="1296"/>
      <c r="AU306" s="1296"/>
      <c r="AV306" s="1296"/>
      <c r="AW306" s="1296"/>
      <c r="AX306" s="1296"/>
      <c r="AY306" s="1296"/>
      <c r="AZ306" s="1296"/>
      <c r="BA306" s="1296"/>
      <c r="BB306" s="1296"/>
      <c r="BC306" s="1296"/>
      <c r="BD306" s="1296"/>
      <c r="BE306" s="1296"/>
      <c r="BF306" s="1296"/>
      <c r="BG306" s="1296"/>
      <c r="BH306" s="1296"/>
      <c r="BI306" s="1296"/>
      <c r="BJ306" s="1296"/>
      <c r="BK306" s="1296"/>
      <c r="BL306" s="1296"/>
      <c r="BM306" s="1296"/>
      <c r="BN306" s="1296"/>
      <c r="BO306" s="1296"/>
      <c r="BP306" s="1296"/>
      <c r="BQ306" s="1296"/>
      <c r="BR306" s="1296"/>
      <c r="BS306" s="1296"/>
      <c r="BT306" s="1296"/>
      <c r="BU306" s="1296"/>
      <c r="BV306" s="1296"/>
      <c r="BW306" s="1296"/>
      <c r="BX306" s="1296"/>
      <c r="BY306" s="1296"/>
      <c r="BZ306" s="1296"/>
      <c r="CA306" s="1296"/>
      <c r="CB306" s="1296"/>
      <c r="CC306" s="1296"/>
      <c r="CD306" s="1296"/>
      <c r="CE306" s="1296"/>
      <c r="CF306" s="1296"/>
      <c r="CG306" s="1296"/>
      <c r="CH306" s="1296"/>
      <c r="CI306" s="1296"/>
      <c r="CJ306" s="1296"/>
      <c r="CK306" s="1296"/>
    </row>
    <row r="307" spans="1:89" ht="15.75" thickBot="1" x14ac:dyDescent="0.3">
      <c r="A307" s="1296"/>
      <c r="B307" s="1728"/>
      <c r="C307" s="1190" t="s">
        <v>1841</v>
      </c>
      <c r="D307" s="1319" t="str" cm="1">
        <f t="array" aca="1" ref="D307" ca="1">IF(ISBLANK(INDIRECT("'Incentives Worksheet'!L"&amp;'Configurable Tab'!H28+6)),"",INDIRECT("'Incentives Worksheet'!L"&amp;'Configurable Tab'!H28+6))</f>
        <v/>
      </c>
      <c r="E307" s="1188"/>
      <c r="F307" s="1188"/>
      <c r="G307" s="1188"/>
      <c r="H307" s="1188"/>
      <c r="I307" s="1188"/>
      <c r="J307" s="1188"/>
      <c r="K307" s="1188"/>
      <c r="L307" s="1188"/>
      <c r="M307" s="1188"/>
      <c r="N307" s="1188"/>
      <c r="O307" s="1188"/>
      <c r="P307" s="1189"/>
      <c r="Q307" s="1296"/>
      <c r="R307" s="1296"/>
      <c r="S307" s="1296"/>
      <c r="T307" s="1296"/>
      <c r="U307" s="1296"/>
      <c r="V307" s="1296"/>
      <c r="W307" s="1296"/>
      <c r="X307" s="1296"/>
      <c r="Y307" s="1296"/>
      <c r="Z307" s="1296"/>
      <c r="AA307" s="1296"/>
      <c r="AB307" s="1296"/>
      <c r="AC307" s="1296"/>
      <c r="AD307" s="1296"/>
      <c r="AE307" s="1296"/>
      <c r="AF307" s="1296"/>
      <c r="AG307" s="1296"/>
      <c r="AH307" s="1296"/>
      <c r="AI307" s="1296"/>
      <c r="AJ307" s="1296"/>
      <c r="AK307" s="1296"/>
      <c r="AL307" s="1296"/>
      <c r="AM307" s="1296"/>
      <c r="AN307" s="1296"/>
      <c r="AO307" s="1296"/>
      <c r="AP307" s="1296"/>
      <c r="AQ307" s="1296"/>
      <c r="AR307" s="1296"/>
      <c r="AS307" s="1296"/>
      <c r="AT307" s="1296"/>
      <c r="AU307" s="1296"/>
      <c r="AV307" s="1296"/>
      <c r="AW307" s="1296"/>
      <c r="AX307" s="1296"/>
      <c r="AY307" s="1296"/>
      <c r="AZ307" s="1296"/>
      <c r="BA307" s="1296"/>
      <c r="BB307" s="1296"/>
      <c r="BC307" s="1296"/>
      <c r="BD307" s="1296"/>
      <c r="BE307" s="1296"/>
      <c r="BF307" s="1296"/>
      <c r="BG307" s="1296"/>
      <c r="BH307" s="1296"/>
      <c r="BI307" s="1296"/>
      <c r="BJ307" s="1296"/>
      <c r="BK307" s="1296"/>
      <c r="BL307" s="1296"/>
      <c r="BM307" s="1296"/>
      <c r="BN307" s="1296"/>
      <c r="BO307" s="1296"/>
      <c r="BP307" s="1296"/>
      <c r="BQ307" s="1296"/>
      <c r="BR307" s="1296"/>
      <c r="BS307" s="1296"/>
      <c r="BT307" s="1296"/>
      <c r="BU307" s="1296"/>
      <c r="BV307" s="1296"/>
      <c r="BW307" s="1296"/>
      <c r="BX307" s="1296"/>
      <c r="BY307" s="1296"/>
      <c r="BZ307" s="1296"/>
      <c r="CA307" s="1296"/>
      <c r="CB307" s="1296"/>
      <c r="CC307" s="1296"/>
      <c r="CD307" s="1296"/>
      <c r="CE307" s="1296"/>
      <c r="CF307" s="1296"/>
      <c r="CG307" s="1296"/>
      <c r="CH307" s="1296"/>
      <c r="CI307" s="1296"/>
      <c r="CJ307" s="1296"/>
      <c r="CK307" s="1296"/>
    </row>
    <row r="308" spans="1:89" ht="15.75" thickBot="1" x14ac:dyDescent="0.3">
      <c r="A308" s="1296"/>
      <c r="B308" s="1719" t="s">
        <v>1852</v>
      </c>
      <c r="C308" s="1258" t="s">
        <v>1853</v>
      </c>
      <c r="D308" s="1200" t="s">
        <v>1843</v>
      </c>
      <c r="E308" s="1200" t="s">
        <v>131</v>
      </c>
      <c r="F308" s="1200" t="s">
        <v>1844</v>
      </c>
      <c r="G308" s="1200" t="s">
        <v>1854</v>
      </c>
      <c r="H308" s="1201" t="s">
        <v>1855</v>
      </c>
      <c r="I308" s="1202" t="s">
        <v>767</v>
      </c>
      <c r="J308" s="1202" t="s">
        <v>768</v>
      </c>
      <c r="K308" s="1202" t="s">
        <v>769</v>
      </c>
      <c r="L308" s="1202" t="s">
        <v>770</v>
      </c>
      <c r="M308" s="1202" t="s">
        <v>204</v>
      </c>
      <c r="N308" s="1296"/>
      <c r="O308" s="1296"/>
      <c r="P308" s="138"/>
      <c r="Q308" s="1296"/>
      <c r="R308" s="1296"/>
      <c r="S308" s="1296"/>
      <c r="T308" s="1296"/>
      <c r="U308" s="1296"/>
      <c r="V308" s="1296"/>
      <c r="W308" s="1296"/>
      <c r="X308" s="1296"/>
      <c r="Y308" s="1296"/>
      <c r="Z308" s="1296"/>
      <c r="AA308" s="1296"/>
      <c r="AB308" s="1296"/>
      <c r="AC308" s="1296"/>
      <c r="AD308" s="1296"/>
      <c r="AE308" s="1296"/>
      <c r="AF308" s="1296"/>
      <c r="AG308" s="1296"/>
      <c r="AH308" s="1296"/>
      <c r="AI308" s="1296"/>
      <c r="AJ308" s="1296"/>
      <c r="AK308" s="1296"/>
      <c r="AL308" s="1296"/>
      <c r="AM308" s="1296"/>
      <c r="AN308" s="1296"/>
      <c r="AO308" s="1296"/>
      <c r="AP308" s="1296"/>
      <c r="AQ308" s="1296"/>
      <c r="AR308" s="1296"/>
      <c r="AS308" s="1296"/>
      <c r="AT308" s="1296"/>
      <c r="AU308" s="1296"/>
      <c r="AV308" s="1296"/>
      <c r="AW308" s="1296"/>
      <c r="AX308" s="1296"/>
      <c r="AY308" s="1296"/>
      <c r="AZ308" s="1296"/>
      <c r="BA308" s="1296"/>
      <c r="BB308" s="1296"/>
      <c r="BC308" s="1296"/>
      <c r="BD308" s="1296"/>
      <c r="BE308" s="1296"/>
      <c r="BF308" s="1296"/>
      <c r="BG308" s="1296"/>
      <c r="BH308" s="1296"/>
      <c r="BI308" s="1296"/>
      <c r="BJ308" s="1296"/>
      <c r="BK308" s="1296"/>
      <c r="BL308" s="1296"/>
      <c r="BM308" s="1296"/>
      <c r="BN308" s="1296"/>
      <c r="BO308" s="1296"/>
      <c r="BP308" s="1296"/>
      <c r="BQ308" s="1296"/>
      <c r="BR308" s="1296"/>
      <c r="BS308" s="1296"/>
      <c r="BT308" s="1296"/>
      <c r="BU308" s="1296"/>
      <c r="BV308" s="1296"/>
      <c r="BW308" s="1296"/>
      <c r="BX308" s="1296"/>
      <c r="BY308" s="1296"/>
      <c r="BZ308" s="1296"/>
      <c r="CA308" s="1296"/>
      <c r="CB308" s="1296"/>
      <c r="CC308" s="1296"/>
      <c r="CD308" s="1296"/>
      <c r="CE308" s="1296"/>
      <c r="CF308" s="1296"/>
      <c r="CG308" s="1296"/>
      <c r="CH308" s="1296"/>
      <c r="CI308" s="1296"/>
      <c r="CJ308" s="1296"/>
      <c r="CK308" s="1296"/>
    </row>
    <row r="309" spans="1:89" x14ac:dyDescent="0.25">
      <c r="A309" s="1296"/>
      <c r="B309" s="1721"/>
      <c r="C309" s="1199">
        <v>1</v>
      </c>
      <c r="D309" s="1196" t="s">
        <v>1856</v>
      </c>
      <c r="E309" s="1196" t="s">
        <v>1444</v>
      </c>
      <c r="F309" s="1196" t="str">
        <f>'Required Info to Submit'!E23</f>
        <v/>
      </c>
      <c r="G309" s="1393" t="str">
        <f>IF(F309="","",'Required Info to Submit'!K23)</f>
        <v/>
      </c>
      <c r="H309" s="1394" t="str">
        <f>IF(F309="","",'Required Info to Submit'!L23)</f>
        <v/>
      </c>
      <c r="I309" s="1196" t="str">
        <f>'Required Info to Submit'!F23</f>
        <v/>
      </c>
      <c r="J309" s="1196" t="str">
        <f>'Required Info to Submit'!G23</f>
        <v/>
      </c>
      <c r="K309" s="1196" t="str">
        <f>'Required Info to Submit'!H23</f>
        <v/>
      </c>
      <c r="L309" s="1196" t="str">
        <f>'Required Info to Submit'!I23</f>
        <v/>
      </c>
      <c r="M309" s="1196" t="str">
        <f>'Required Info to Submit'!J23</f>
        <v/>
      </c>
      <c r="N309" s="1296"/>
      <c r="O309" s="1296"/>
      <c r="P309" s="138"/>
      <c r="Q309" s="1296"/>
      <c r="R309" s="1296"/>
      <c r="S309" s="1296"/>
      <c r="T309" s="1296"/>
      <c r="U309" s="1296"/>
      <c r="V309" s="1296"/>
      <c r="W309" s="1296"/>
      <c r="X309" s="1296"/>
      <c r="Y309" s="1296"/>
      <c r="Z309" s="1296"/>
      <c r="AA309" s="1296"/>
      <c r="AB309" s="1296"/>
      <c r="AC309" s="1296"/>
      <c r="AD309" s="1296"/>
      <c r="AE309" s="1296"/>
      <c r="AF309" s="1296"/>
      <c r="AG309" s="1296"/>
      <c r="AH309" s="1296"/>
      <c r="AI309" s="1296"/>
      <c r="AJ309" s="1296"/>
      <c r="AK309" s="1296"/>
      <c r="AL309" s="1296"/>
      <c r="AM309" s="1296"/>
      <c r="AN309" s="1296"/>
      <c r="AO309" s="1296"/>
      <c r="AP309" s="1296"/>
      <c r="AQ309" s="1296"/>
      <c r="AR309" s="1296"/>
      <c r="AS309" s="1296"/>
      <c r="AT309" s="1296"/>
      <c r="AU309" s="1296"/>
      <c r="AV309" s="1296"/>
      <c r="AW309" s="1296"/>
      <c r="AX309" s="1296"/>
      <c r="AY309" s="1296"/>
      <c r="AZ309" s="1296"/>
      <c r="BA309" s="1296"/>
      <c r="BB309" s="1296"/>
      <c r="BC309" s="1296"/>
      <c r="BD309" s="1296"/>
      <c r="BE309" s="1296"/>
      <c r="BF309" s="1296"/>
      <c r="BG309" s="1296"/>
      <c r="BH309" s="1296"/>
      <c r="BI309" s="1296"/>
      <c r="BJ309" s="1296"/>
      <c r="BK309" s="1296"/>
      <c r="BL309" s="1296"/>
      <c r="BM309" s="1296"/>
      <c r="BN309" s="1296"/>
      <c r="BO309" s="1296"/>
      <c r="BP309" s="1296"/>
      <c r="BQ309" s="1296"/>
      <c r="BR309" s="1296"/>
      <c r="BS309" s="1296"/>
      <c r="BT309" s="1296"/>
      <c r="BU309" s="1296"/>
      <c r="BV309" s="1296"/>
      <c r="BW309" s="1296"/>
      <c r="BX309" s="1296"/>
      <c r="BY309" s="1296"/>
      <c r="BZ309" s="1296"/>
      <c r="CA309" s="1296"/>
      <c r="CB309" s="1296"/>
      <c r="CC309" s="1296"/>
      <c r="CD309" s="1296"/>
      <c r="CE309" s="1296"/>
      <c r="CF309" s="1296"/>
      <c r="CG309" s="1296"/>
      <c r="CH309" s="1296"/>
      <c r="CI309" s="1296"/>
      <c r="CJ309" s="1296"/>
      <c r="CK309" s="1296"/>
    </row>
    <row r="310" spans="1:89" x14ac:dyDescent="0.25">
      <c r="A310" s="1296"/>
      <c r="B310" s="1721"/>
      <c r="C310" s="1205">
        <v>2</v>
      </c>
      <c r="D310" s="1196" t="s">
        <v>1856</v>
      </c>
      <c r="E310" s="1196" t="s">
        <v>1444</v>
      </c>
      <c r="F310" s="1196" t="str">
        <f>'Required Info to Submit'!E24</f>
        <v/>
      </c>
      <c r="G310" s="1393" t="str">
        <f>IF(F310="","",'Required Info to Submit'!K24)</f>
        <v/>
      </c>
      <c r="H310" s="1394" t="str">
        <f>IF(F310="","",'Required Info to Submit'!L24)</f>
        <v/>
      </c>
      <c r="I310" s="1196" t="str">
        <f>'Required Info to Submit'!F24</f>
        <v/>
      </c>
      <c r="J310" s="1196" t="str">
        <f>'Required Info to Submit'!G24</f>
        <v/>
      </c>
      <c r="K310" s="1196" t="str">
        <f>'Required Info to Submit'!H24</f>
        <v/>
      </c>
      <c r="L310" s="1196" t="str">
        <f>'Required Info to Submit'!I24</f>
        <v/>
      </c>
      <c r="M310" s="1196" t="str">
        <f>'Required Info to Submit'!J24</f>
        <v/>
      </c>
      <c r="N310" s="1296"/>
      <c r="O310" s="1296"/>
      <c r="P310" s="138"/>
      <c r="Q310" s="1296"/>
      <c r="R310" s="1296"/>
      <c r="S310" s="1296"/>
      <c r="T310" s="1296"/>
      <c r="U310" s="1296"/>
      <c r="V310" s="1296"/>
      <c r="W310" s="1296"/>
      <c r="X310" s="1296"/>
      <c r="Y310" s="1296"/>
      <c r="Z310" s="1296"/>
      <c r="AA310" s="1296"/>
      <c r="AB310" s="1296"/>
      <c r="AC310" s="1296"/>
      <c r="AD310" s="1296"/>
      <c r="AE310" s="1296"/>
      <c r="AF310" s="1296"/>
      <c r="AG310" s="1296"/>
      <c r="AH310" s="1296"/>
      <c r="AI310" s="1296"/>
      <c r="AJ310" s="1296"/>
      <c r="AK310" s="1296"/>
      <c r="AL310" s="1296"/>
      <c r="AM310" s="1296"/>
      <c r="AN310" s="1296"/>
      <c r="AO310" s="1296"/>
      <c r="AP310" s="1296"/>
      <c r="AQ310" s="1296"/>
      <c r="AR310" s="1296"/>
      <c r="AS310" s="1296"/>
      <c r="AT310" s="1296"/>
      <c r="AU310" s="1296"/>
      <c r="AV310" s="1296"/>
      <c r="AW310" s="1296"/>
      <c r="AX310" s="1296"/>
      <c r="AY310" s="1296"/>
      <c r="AZ310" s="1296"/>
      <c r="BA310" s="1296"/>
      <c r="BB310" s="1296"/>
      <c r="BC310" s="1296"/>
      <c r="BD310" s="1296"/>
      <c r="BE310" s="1296"/>
      <c r="BF310" s="1296"/>
      <c r="BG310" s="1296"/>
      <c r="BH310" s="1296"/>
      <c r="BI310" s="1296"/>
      <c r="BJ310" s="1296"/>
      <c r="BK310" s="1296"/>
      <c r="BL310" s="1296"/>
      <c r="BM310" s="1296"/>
      <c r="BN310" s="1296"/>
      <c r="BO310" s="1296"/>
      <c r="BP310" s="1296"/>
      <c r="BQ310" s="1296"/>
      <c r="BR310" s="1296"/>
      <c r="BS310" s="1296"/>
      <c r="BT310" s="1296"/>
      <c r="BU310" s="1296"/>
      <c r="BV310" s="1296"/>
      <c r="BW310" s="1296"/>
      <c r="BX310" s="1296"/>
      <c r="BY310" s="1296"/>
      <c r="BZ310" s="1296"/>
      <c r="CA310" s="1296"/>
      <c r="CB310" s="1296"/>
      <c r="CC310" s="1296"/>
      <c r="CD310" s="1296"/>
      <c r="CE310" s="1296"/>
      <c r="CF310" s="1296"/>
      <c r="CG310" s="1296"/>
      <c r="CH310" s="1296"/>
      <c r="CI310" s="1296"/>
      <c r="CJ310" s="1296"/>
      <c r="CK310" s="1296"/>
    </row>
    <row r="311" spans="1:89" x14ac:dyDescent="0.25">
      <c r="A311" s="1296"/>
      <c r="B311" s="1721"/>
      <c r="C311" s="1205">
        <v>3</v>
      </c>
      <c r="D311" s="1196" t="s">
        <v>1856</v>
      </c>
      <c r="E311" s="1196" t="s">
        <v>1444</v>
      </c>
      <c r="F311" s="1196" t="str">
        <f>'Required Info to Submit'!E25</f>
        <v/>
      </c>
      <c r="G311" s="1393" t="str">
        <f>IF(F311="","",'Required Info to Submit'!K25)</f>
        <v/>
      </c>
      <c r="H311" s="1394" t="str">
        <f>IF(F311="","",'Required Info to Submit'!L25)</f>
        <v/>
      </c>
      <c r="I311" s="1196" t="str">
        <f>'Required Info to Submit'!F25</f>
        <v/>
      </c>
      <c r="J311" s="1196" t="str">
        <f>'Required Info to Submit'!G25</f>
        <v/>
      </c>
      <c r="K311" s="1196" t="str">
        <f>'Required Info to Submit'!H25</f>
        <v/>
      </c>
      <c r="L311" s="1196" t="str">
        <f>'Required Info to Submit'!I25</f>
        <v/>
      </c>
      <c r="M311" s="1196" t="str">
        <f>'Required Info to Submit'!J25</f>
        <v/>
      </c>
      <c r="N311" s="1296"/>
      <c r="O311" s="1296"/>
      <c r="P311" s="138"/>
      <c r="Q311" s="1296"/>
      <c r="R311" s="1296"/>
      <c r="S311" s="1296"/>
      <c r="T311" s="1296"/>
      <c r="U311" s="1296"/>
      <c r="V311" s="1296"/>
      <c r="W311" s="1296"/>
      <c r="X311" s="1296"/>
      <c r="Y311" s="1296"/>
      <c r="Z311" s="1296"/>
      <c r="AA311" s="1296"/>
      <c r="AB311" s="1296"/>
      <c r="AC311" s="1296"/>
      <c r="AD311" s="1296"/>
      <c r="AE311" s="1296"/>
      <c r="AF311" s="1296"/>
      <c r="AG311" s="1296"/>
      <c r="AH311" s="1296"/>
      <c r="AI311" s="1296"/>
      <c r="AJ311" s="1296"/>
      <c r="AK311" s="1296"/>
      <c r="AL311" s="1296"/>
      <c r="AM311" s="1296"/>
      <c r="AN311" s="1296"/>
      <c r="AO311" s="1296"/>
      <c r="AP311" s="1296"/>
      <c r="AQ311" s="1296"/>
      <c r="AR311" s="1296"/>
      <c r="AS311" s="1296"/>
      <c r="AT311" s="1296"/>
      <c r="AU311" s="1296"/>
      <c r="AV311" s="1296"/>
      <c r="AW311" s="1296"/>
      <c r="AX311" s="1296"/>
      <c r="AY311" s="1296"/>
      <c r="AZ311" s="1296"/>
      <c r="BA311" s="1296"/>
      <c r="BB311" s="1296"/>
      <c r="BC311" s="1296"/>
      <c r="BD311" s="1296"/>
      <c r="BE311" s="1296"/>
      <c r="BF311" s="1296"/>
      <c r="BG311" s="1296"/>
      <c r="BH311" s="1296"/>
      <c r="BI311" s="1296"/>
      <c r="BJ311" s="1296"/>
      <c r="BK311" s="1296"/>
      <c r="BL311" s="1296"/>
      <c r="BM311" s="1296"/>
      <c r="BN311" s="1296"/>
      <c r="BO311" s="1296"/>
      <c r="BP311" s="1296"/>
      <c r="BQ311" s="1296"/>
      <c r="BR311" s="1296"/>
      <c r="BS311" s="1296"/>
      <c r="BT311" s="1296"/>
      <c r="BU311" s="1296"/>
      <c r="BV311" s="1296"/>
      <c r="BW311" s="1296"/>
      <c r="BX311" s="1296"/>
      <c r="BY311" s="1296"/>
      <c r="BZ311" s="1296"/>
      <c r="CA311" s="1296"/>
      <c r="CB311" s="1296"/>
      <c r="CC311" s="1296"/>
      <c r="CD311" s="1296"/>
      <c r="CE311" s="1296"/>
      <c r="CF311" s="1296"/>
      <c r="CG311" s="1296"/>
      <c r="CH311" s="1296"/>
      <c r="CI311" s="1296"/>
      <c r="CJ311" s="1296"/>
      <c r="CK311" s="1296"/>
    </row>
    <row r="312" spans="1:89" x14ac:dyDescent="0.25">
      <c r="A312" s="1296"/>
      <c r="B312" s="1721"/>
      <c r="C312" s="1205">
        <v>4</v>
      </c>
      <c r="D312" s="1196" t="s">
        <v>1856</v>
      </c>
      <c r="E312" s="1196" t="s">
        <v>1444</v>
      </c>
      <c r="F312" s="1196" t="str">
        <f>'Required Info to Submit'!E26</f>
        <v/>
      </c>
      <c r="G312" s="1393" t="str">
        <f>IF(F312="","",'Required Info to Submit'!K26)</f>
        <v/>
      </c>
      <c r="H312" s="1394" t="str">
        <f>IF(F312="","",'Required Info to Submit'!L26)</f>
        <v/>
      </c>
      <c r="I312" s="1196" t="str">
        <f>'Required Info to Submit'!F26</f>
        <v/>
      </c>
      <c r="J312" s="1196" t="str">
        <f>'Required Info to Submit'!G26</f>
        <v/>
      </c>
      <c r="K312" s="1196" t="str">
        <f>'Required Info to Submit'!H26</f>
        <v/>
      </c>
      <c r="L312" s="1196" t="str">
        <f>'Required Info to Submit'!I26</f>
        <v/>
      </c>
      <c r="M312" s="1196" t="str">
        <f>'Required Info to Submit'!J26</f>
        <v/>
      </c>
      <c r="N312" s="1296"/>
      <c r="O312" s="1296"/>
      <c r="P312" s="138"/>
      <c r="Q312" s="1296"/>
      <c r="R312" s="1296"/>
      <c r="S312" s="1296"/>
      <c r="T312" s="1296"/>
      <c r="U312" s="1296"/>
      <c r="V312" s="1296"/>
      <c r="W312" s="1296"/>
      <c r="X312" s="1296"/>
      <c r="Y312" s="1296"/>
      <c r="Z312" s="1296"/>
      <c r="AA312" s="1296"/>
      <c r="AB312" s="1296"/>
      <c r="AC312" s="1296"/>
      <c r="AD312" s="1296"/>
      <c r="AE312" s="1296"/>
      <c r="AF312" s="1296"/>
      <c r="AG312" s="1296"/>
      <c r="AH312" s="1296"/>
      <c r="AI312" s="1296"/>
      <c r="AJ312" s="1296"/>
      <c r="AK312" s="1296"/>
      <c r="AL312" s="1296"/>
      <c r="AM312" s="1296"/>
      <c r="AN312" s="1296"/>
      <c r="AO312" s="1296"/>
      <c r="AP312" s="1296"/>
      <c r="AQ312" s="1296"/>
      <c r="AR312" s="1296"/>
      <c r="AS312" s="1296"/>
      <c r="AT312" s="1296"/>
      <c r="AU312" s="1296"/>
      <c r="AV312" s="1296"/>
      <c r="AW312" s="1296"/>
      <c r="AX312" s="1296"/>
      <c r="AY312" s="1296"/>
      <c r="AZ312" s="1296"/>
      <c r="BA312" s="1296"/>
      <c r="BB312" s="1296"/>
      <c r="BC312" s="1296"/>
      <c r="BD312" s="1296"/>
      <c r="BE312" s="1296"/>
      <c r="BF312" s="1296"/>
      <c r="BG312" s="1296"/>
      <c r="BH312" s="1296"/>
      <c r="BI312" s="1296"/>
      <c r="BJ312" s="1296"/>
      <c r="BK312" s="1296"/>
      <c r="BL312" s="1296"/>
      <c r="BM312" s="1296"/>
      <c r="BN312" s="1296"/>
      <c r="BO312" s="1296"/>
      <c r="BP312" s="1296"/>
      <c r="BQ312" s="1296"/>
      <c r="BR312" s="1296"/>
      <c r="BS312" s="1296"/>
      <c r="BT312" s="1296"/>
      <c r="BU312" s="1296"/>
      <c r="BV312" s="1296"/>
      <c r="BW312" s="1296"/>
      <c r="BX312" s="1296"/>
      <c r="BY312" s="1296"/>
      <c r="BZ312" s="1296"/>
      <c r="CA312" s="1296"/>
      <c r="CB312" s="1296"/>
      <c r="CC312" s="1296"/>
      <c r="CD312" s="1296"/>
      <c r="CE312" s="1296"/>
      <c r="CF312" s="1296"/>
      <c r="CG312" s="1296"/>
      <c r="CH312" s="1296"/>
      <c r="CI312" s="1296"/>
      <c r="CJ312" s="1296"/>
      <c r="CK312" s="1296"/>
    </row>
    <row r="313" spans="1:89" x14ac:dyDescent="0.25">
      <c r="A313" s="1296"/>
      <c r="B313" s="1721"/>
      <c r="C313" s="1205">
        <v>5</v>
      </c>
      <c r="D313" s="1196" t="s">
        <v>1856</v>
      </c>
      <c r="E313" s="1196" t="s">
        <v>1444</v>
      </c>
      <c r="F313" s="1196" t="str">
        <f>'Required Info to Submit'!E27</f>
        <v/>
      </c>
      <c r="G313" s="1393" t="str">
        <f>IF(F313="","",'Required Info to Submit'!K27)</f>
        <v/>
      </c>
      <c r="H313" s="1394" t="str">
        <f>IF(F313="","",'Required Info to Submit'!L27)</f>
        <v/>
      </c>
      <c r="I313" s="1196" t="str">
        <f>'Required Info to Submit'!F27</f>
        <v/>
      </c>
      <c r="J313" s="1196" t="str">
        <f>'Required Info to Submit'!G27</f>
        <v/>
      </c>
      <c r="K313" s="1196" t="str">
        <f>'Required Info to Submit'!H27</f>
        <v/>
      </c>
      <c r="L313" s="1196" t="str">
        <f>'Required Info to Submit'!I27</f>
        <v/>
      </c>
      <c r="M313" s="1196" t="str">
        <f>'Required Info to Submit'!J27</f>
        <v/>
      </c>
      <c r="N313" s="1296"/>
      <c r="O313" s="1296"/>
      <c r="P313" s="138"/>
      <c r="Q313" s="1296"/>
      <c r="R313" s="1296"/>
      <c r="S313" s="1296"/>
      <c r="T313" s="1296"/>
      <c r="U313" s="1296"/>
      <c r="V313" s="1296"/>
      <c r="W313" s="1296"/>
      <c r="X313" s="1296"/>
      <c r="Y313" s="1296"/>
      <c r="Z313" s="1296"/>
      <c r="AA313" s="1296"/>
      <c r="AB313" s="1296"/>
      <c r="AC313" s="1296"/>
      <c r="AD313" s="1296"/>
      <c r="AE313" s="1296"/>
      <c r="AF313" s="1296"/>
      <c r="AG313" s="1296"/>
      <c r="AH313" s="1296"/>
      <c r="AI313" s="1296"/>
      <c r="AJ313" s="1296"/>
      <c r="AK313" s="1296"/>
      <c r="AL313" s="1296"/>
      <c r="AM313" s="1296"/>
      <c r="AN313" s="1296"/>
      <c r="AO313" s="1296"/>
      <c r="AP313" s="1296"/>
      <c r="AQ313" s="1296"/>
      <c r="AR313" s="1296"/>
      <c r="AS313" s="1296"/>
      <c r="AT313" s="1296"/>
      <c r="AU313" s="1296"/>
      <c r="AV313" s="1296"/>
      <c r="AW313" s="1296"/>
      <c r="AX313" s="1296"/>
      <c r="AY313" s="1296"/>
      <c r="AZ313" s="1296"/>
      <c r="BA313" s="1296"/>
      <c r="BB313" s="1296"/>
      <c r="BC313" s="1296"/>
      <c r="BD313" s="1296"/>
      <c r="BE313" s="1296"/>
      <c r="BF313" s="1296"/>
      <c r="BG313" s="1296"/>
      <c r="BH313" s="1296"/>
      <c r="BI313" s="1296"/>
      <c r="BJ313" s="1296"/>
      <c r="BK313" s="1296"/>
      <c r="BL313" s="1296"/>
      <c r="BM313" s="1296"/>
      <c r="BN313" s="1296"/>
      <c r="BO313" s="1296"/>
      <c r="BP313" s="1296"/>
      <c r="BQ313" s="1296"/>
      <c r="BR313" s="1296"/>
      <c r="BS313" s="1296"/>
      <c r="BT313" s="1296"/>
      <c r="BU313" s="1296"/>
      <c r="BV313" s="1296"/>
      <c r="BW313" s="1296"/>
      <c r="BX313" s="1296"/>
      <c r="BY313" s="1296"/>
      <c r="BZ313" s="1296"/>
      <c r="CA313" s="1296"/>
      <c r="CB313" s="1296"/>
      <c r="CC313" s="1296"/>
      <c r="CD313" s="1296"/>
      <c r="CE313" s="1296"/>
      <c r="CF313" s="1296"/>
      <c r="CG313" s="1296"/>
      <c r="CH313" s="1296"/>
      <c r="CI313" s="1296"/>
      <c r="CJ313" s="1296"/>
      <c r="CK313" s="1296"/>
    </row>
    <row r="314" spans="1:89" x14ac:dyDescent="0.25">
      <c r="A314" s="1296"/>
      <c r="B314" s="1721"/>
      <c r="C314" s="1205">
        <v>6</v>
      </c>
      <c r="D314" s="1196" t="s">
        <v>1856</v>
      </c>
      <c r="E314" s="1196" t="s">
        <v>1444</v>
      </c>
      <c r="F314" s="1196" t="str">
        <f>'Required Info to Submit'!E28</f>
        <v/>
      </c>
      <c r="G314" s="1393" t="str">
        <f>IF(F314="","",'Required Info to Submit'!K28)</f>
        <v/>
      </c>
      <c r="H314" s="1394" t="str">
        <f>IF(F314="","",'Required Info to Submit'!L28)</f>
        <v/>
      </c>
      <c r="I314" s="1196" t="str">
        <f>'Required Info to Submit'!F28</f>
        <v/>
      </c>
      <c r="J314" s="1196" t="str">
        <f>'Required Info to Submit'!G28</f>
        <v/>
      </c>
      <c r="K314" s="1196" t="str">
        <f>'Required Info to Submit'!H28</f>
        <v/>
      </c>
      <c r="L314" s="1196" t="str">
        <f>'Required Info to Submit'!I28</f>
        <v/>
      </c>
      <c r="M314" s="1196" t="str">
        <f>'Required Info to Submit'!J28</f>
        <v/>
      </c>
      <c r="N314" s="1296"/>
      <c r="O314" s="1296"/>
      <c r="P314" s="138"/>
      <c r="Q314" s="1296"/>
      <c r="R314" s="1296"/>
      <c r="S314" s="1296"/>
      <c r="T314" s="1296"/>
      <c r="U314" s="1296"/>
      <c r="V314" s="1296"/>
      <c r="W314" s="1296"/>
      <c r="X314" s="1296"/>
      <c r="Y314" s="1296"/>
      <c r="Z314" s="1296"/>
      <c r="AA314" s="1296"/>
      <c r="AB314" s="1296"/>
      <c r="AC314" s="1296"/>
      <c r="AD314" s="1296"/>
      <c r="AE314" s="1296"/>
      <c r="AF314" s="1296"/>
      <c r="AG314" s="1296"/>
      <c r="AH314" s="1296"/>
      <c r="AI314" s="1296"/>
      <c r="AJ314" s="1296"/>
      <c r="AK314" s="1296"/>
      <c r="AL314" s="1296"/>
      <c r="AM314" s="1296"/>
      <c r="AN314" s="1296"/>
      <c r="AO314" s="1296"/>
      <c r="AP314" s="1296"/>
      <c r="AQ314" s="1296"/>
      <c r="AR314" s="1296"/>
      <c r="AS314" s="1296"/>
      <c r="AT314" s="1296"/>
      <c r="AU314" s="1296"/>
      <c r="AV314" s="1296"/>
      <c r="AW314" s="1296"/>
      <c r="AX314" s="1296"/>
      <c r="AY314" s="1296"/>
      <c r="AZ314" s="1296"/>
      <c r="BA314" s="1296"/>
      <c r="BB314" s="1296"/>
      <c r="BC314" s="1296"/>
      <c r="BD314" s="1296"/>
      <c r="BE314" s="1296"/>
      <c r="BF314" s="1296"/>
      <c r="BG314" s="1296"/>
      <c r="BH314" s="1296"/>
      <c r="BI314" s="1296"/>
      <c r="BJ314" s="1296"/>
      <c r="BK314" s="1296"/>
      <c r="BL314" s="1296"/>
      <c r="BM314" s="1296"/>
      <c r="BN314" s="1296"/>
      <c r="BO314" s="1296"/>
      <c r="BP314" s="1296"/>
      <c r="BQ314" s="1296"/>
      <c r="BR314" s="1296"/>
      <c r="BS314" s="1296"/>
      <c r="BT314" s="1296"/>
      <c r="BU314" s="1296"/>
      <c r="BV314" s="1296"/>
      <c r="BW314" s="1296"/>
      <c r="BX314" s="1296"/>
      <c r="BY314" s="1296"/>
      <c r="BZ314" s="1296"/>
      <c r="CA314" s="1296"/>
      <c r="CB314" s="1296"/>
      <c r="CC314" s="1296"/>
      <c r="CD314" s="1296"/>
      <c r="CE314" s="1296"/>
      <c r="CF314" s="1296"/>
      <c r="CG314" s="1296"/>
      <c r="CH314" s="1296"/>
      <c r="CI314" s="1296"/>
      <c r="CJ314" s="1296"/>
      <c r="CK314" s="1296"/>
    </row>
    <row r="315" spans="1:89" x14ac:dyDescent="0.25">
      <c r="A315" s="1296"/>
      <c r="B315" s="1721"/>
      <c r="C315" s="1205">
        <v>7</v>
      </c>
      <c r="D315" s="1196" t="s">
        <v>1856</v>
      </c>
      <c r="E315" s="1196" t="s">
        <v>1444</v>
      </c>
      <c r="F315" s="1196" t="str">
        <f>'Required Info to Submit'!E29</f>
        <v/>
      </c>
      <c r="G315" s="1393" t="str">
        <f>IF(F315="","",'Required Info to Submit'!K29)</f>
        <v/>
      </c>
      <c r="H315" s="1394" t="str">
        <f>IF(F315="","",'Required Info to Submit'!L29)</f>
        <v/>
      </c>
      <c r="I315" s="1196" t="str">
        <f>'Required Info to Submit'!F29</f>
        <v/>
      </c>
      <c r="J315" s="1196" t="str">
        <f>'Required Info to Submit'!G29</f>
        <v/>
      </c>
      <c r="K315" s="1196" t="str">
        <f>'Required Info to Submit'!H29</f>
        <v/>
      </c>
      <c r="L315" s="1196" t="str">
        <f>'Required Info to Submit'!I29</f>
        <v/>
      </c>
      <c r="M315" s="1196" t="str">
        <f>'Required Info to Submit'!J29</f>
        <v/>
      </c>
      <c r="N315" s="1296"/>
      <c r="O315" s="1296"/>
      <c r="P315" s="138"/>
      <c r="Q315" s="1296"/>
      <c r="R315" s="1296"/>
      <c r="S315" s="1296"/>
      <c r="T315" s="1296"/>
      <c r="U315" s="1296"/>
      <c r="V315" s="1296"/>
      <c r="W315" s="1296"/>
      <c r="X315" s="1296"/>
      <c r="Y315" s="1296"/>
      <c r="Z315" s="1296"/>
      <c r="AA315" s="1296"/>
      <c r="AB315" s="1296"/>
      <c r="AC315" s="1296"/>
      <c r="AD315" s="1296"/>
      <c r="AE315" s="1296"/>
      <c r="AF315" s="1296"/>
      <c r="AG315" s="1296"/>
      <c r="AH315" s="1296"/>
      <c r="AI315" s="1296"/>
      <c r="AJ315" s="1296"/>
      <c r="AK315" s="1296"/>
      <c r="AL315" s="1296"/>
      <c r="AM315" s="1296"/>
      <c r="AN315" s="1296"/>
      <c r="AO315" s="1296"/>
      <c r="AP315" s="1296"/>
      <c r="AQ315" s="1296"/>
      <c r="AR315" s="1296"/>
      <c r="AS315" s="1296"/>
      <c r="AT315" s="1296"/>
      <c r="AU315" s="1296"/>
      <c r="AV315" s="1296"/>
      <c r="AW315" s="1296"/>
      <c r="AX315" s="1296"/>
      <c r="AY315" s="1296"/>
      <c r="AZ315" s="1296"/>
      <c r="BA315" s="1296"/>
      <c r="BB315" s="1296"/>
      <c r="BC315" s="1296"/>
      <c r="BD315" s="1296"/>
      <c r="BE315" s="1296"/>
      <c r="BF315" s="1296"/>
      <c r="BG315" s="1296"/>
      <c r="BH315" s="1296"/>
      <c r="BI315" s="1296"/>
      <c r="BJ315" s="1296"/>
      <c r="BK315" s="1296"/>
      <c r="BL315" s="1296"/>
      <c r="BM315" s="1296"/>
      <c r="BN315" s="1296"/>
      <c r="BO315" s="1296"/>
      <c r="BP315" s="1296"/>
      <c r="BQ315" s="1296"/>
      <c r="BR315" s="1296"/>
      <c r="BS315" s="1296"/>
      <c r="BT315" s="1296"/>
      <c r="BU315" s="1296"/>
      <c r="BV315" s="1296"/>
      <c r="BW315" s="1296"/>
      <c r="BX315" s="1296"/>
      <c r="BY315" s="1296"/>
      <c r="BZ315" s="1296"/>
      <c r="CA315" s="1296"/>
      <c r="CB315" s="1296"/>
      <c r="CC315" s="1296"/>
      <c r="CD315" s="1296"/>
      <c r="CE315" s="1296"/>
      <c r="CF315" s="1296"/>
      <c r="CG315" s="1296"/>
      <c r="CH315" s="1296"/>
      <c r="CI315" s="1296"/>
      <c r="CJ315" s="1296"/>
      <c r="CK315" s="1296"/>
    </row>
    <row r="316" spans="1:89" x14ac:dyDescent="0.25">
      <c r="A316" s="1296"/>
      <c r="B316" s="1721"/>
      <c r="C316" s="1205">
        <v>8</v>
      </c>
      <c r="D316" s="1196" t="s">
        <v>1856</v>
      </c>
      <c r="E316" s="1196" t="s">
        <v>1444</v>
      </c>
      <c r="F316" s="1196" t="str">
        <f>'Required Info to Submit'!E30</f>
        <v/>
      </c>
      <c r="G316" s="1393" t="str">
        <f>IF(F316="","",'Required Info to Submit'!K30)</f>
        <v/>
      </c>
      <c r="H316" s="1394" t="str">
        <f>IF(F316="","",'Required Info to Submit'!L30)</f>
        <v/>
      </c>
      <c r="I316" s="1196" t="str">
        <f>'Required Info to Submit'!F30</f>
        <v/>
      </c>
      <c r="J316" s="1196" t="str">
        <f>'Required Info to Submit'!G30</f>
        <v/>
      </c>
      <c r="K316" s="1196" t="str">
        <f>'Required Info to Submit'!H30</f>
        <v/>
      </c>
      <c r="L316" s="1196" t="str">
        <f>'Required Info to Submit'!I30</f>
        <v/>
      </c>
      <c r="M316" s="1196" t="str">
        <f>'Required Info to Submit'!J30</f>
        <v/>
      </c>
      <c r="N316" s="1296"/>
      <c r="O316" s="1296"/>
      <c r="P316" s="138"/>
      <c r="Q316" s="1296"/>
      <c r="R316" s="1296"/>
      <c r="S316" s="1296"/>
      <c r="T316" s="1296"/>
      <c r="U316" s="1296"/>
      <c r="V316" s="1296"/>
      <c r="W316" s="1296"/>
      <c r="X316" s="1296"/>
      <c r="Y316" s="1296"/>
      <c r="Z316" s="1296"/>
      <c r="AA316" s="1296"/>
      <c r="AB316" s="1296"/>
      <c r="AC316" s="1296"/>
      <c r="AD316" s="1296"/>
      <c r="AE316" s="1296"/>
      <c r="AF316" s="1296"/>
      <c r="AG316" s="1296"/>
      <c r="AH316" s="1296"/>
      <c r="AI316" s="1296"/>
      <c r="AJ316" s="1296"/>
      <c r="AK316" s="1296"/>
      <c r="AL316" s="1296"/>
      <c r="AM316" s="1296"/>
      <c r="AN316" s="1296"/>
      <c r="AO316" s="1296"/>
      <c r="AP316" s="1296"/>
      <c r="AQ316" s="1296"/>
      <c r="AR316" s="1296"/>
      <c r="AS316" s="1296"/>
      <c r="AT316" s="1296"/>
      <c r="AU316" s="1296"/>
      <c r="AV316" s="1296"/>
      <c r="AW316" s="1296"/>
      <c r="AX316" s="1296"/>
      <c r="AY316" s="1296"/>
      <c r="AZ316" s="1296"/>
      <c r="BA316" s="1296"/>
      <c r="BB316" s="1296"/>
      <c r="BC316" s="1296"/>
      <c r="BD316" s="1296"/>
      <c r="BE316" s="1296"/>
      <c r="BF316" s="1296"/>
      <c r="BG316" s="1296"/>
      <c r="BH316" s="1296"/>
      <c r="BI316" s="1296"/>
      <c r="BJ316" s="1296"/>
      <c r="BK316" s="1296"/>
      <c r="BL316" s="1296"/>
      <c r="BM316" s="1296"/>
      <c r="BN316" s="1296"/>
      <c r="BO316" s="1296"/>
      <c r="BP316" s="1296"/>
      <c r="BQ316" s="1296"/>
      <c r="BR316" s="1296"/>
      <c r="BS316" s="1296"/>
      <c r="BT316" s="1296"/>
      <c r="BU316" s="1296"/>
      <c r="BV316" s="1296"/>
      <c r="BW316" s="1296"/>
      <c r="BX316" s="1296"/>
      <c r="BY316" s="1296"/>
      <c r="BZ316" s="1296"/>
      <c r="CA316" s="1296"/>
      <c r="CB316" s="1296"/>
      <c r="CC316" s="1296"/>
      <c r="CD316" s="1296"/>
      <c r="CE316" s="1296"/>
      <c r="CF316" s="1296"/>
      <c r="CG316" s="1296"/>
      <c r="CH316" s="1296"/>
      <c r="CI316" s="1296"/>
      <c r="CJ316" s="1296"/>
      <c r="CK316" s="1296"/>
    </row>
    <row r="317" spans="1:89" x14ac:dyDescent="0.25">
      <c r="A317" s="1296"/>
      <c r="B317" s="1721"/>
      <c r="C317" s="1205">
        <v>9</v>
      </c>
      <c r="D317" s="1196" t="s">
        <v>1856</v>
      </c>
      <c r="E317" s="1196" t="s">
        <v>1444</v>
      </c>
      <c r="F317" s="1196" t="str">
        <f>'Required Info to Submit'!E31</f>
        <v/>
      </c>
      <c r="G317" s="1393" t="str">
        <f>IF(F317="","",'Required Info to Submit'!K31)</f>
        <v/>
      </c>
      <c r="H317" s="1394" t="str">
        <f>IF(F317="","",'Required Info to Submit'!L31)</f>
        <v/>
      </c>
      <c r="I317" s="1196" t="str">
        <f>'Required Info to Submit'!F31</f>
        <v/>
      </c>
      <c r="J317" s="1196" t="str">
        <f>'Required Info to Submit'!G31</f>
        <v/>
      </c>
      <c r="K317" s="1196" t="str">
        <f>'Required Info to Submit'!H31</f>
        <v/>
      </c>
      <c r="L317" s="1196" t="str">
        <f>'Required Info to Submit'!I31</f>
        <v/>
      </c>
      <c r="M317" s="1196" t="str">
        <f>'Required Info to Submit'!J31</f>
        <v/>
      </c>
      <c r="N317" s="1296"/>
      <c r="O317" s="1296"/>
      <c r="P317" s="138"/>
      <c r="Q317" s="1296"/>
      <c r="R317" s="1296"/>
      <c r="S317" s="1296"/>
      <c r="T317" s="1296"/>
      <c r="U317" s="1296"/>
      <c r="V317" s="1296"/>
      <c r="W317" s="1296"/>
      <c r="X317" s="1296"/>
      <c r="Y317" s="1296"/>
      <c r="Z317" s="1296"/>
      <c r="AA317" s="1296"/>
      <c r="AB317" s="1296"/>
      <c r="AC317" s="1296"/>
      <c r="AD317" s="1296"/>
      <c r="AE317" s="1296"/>
      <c r="AF317" s="1296"/>
      <c r="AG317" s="1296"/>
      <c r="AH317" s="1296"/>
      <c r="AI317" s="1296"/>
      <c r="AJ317" s="1296"/>
      <c r="AK317" s="1296"/>
      <c r="AL317" s="1296"/>
      <c r="AM317" s="1296"/>
      <c r="AN317" s="1296"/>
      <c r="AO317" s="1296"/>
      <c r="AP317" s="1296"/>
      <c r="AQ317" s="1296"/>
      <c r="AR317" s="1296"/>
      <c r="AS317" s="1296"/>
      <c r="AT317" s="1296"/>
      <c r="AU317" s="1296"/>
      <c r="AV317" s="1296"/>
      <c r="AW317" s="1296"/>
      <c r="AX317" s="1296"/>
      <c r="AY317" s="1296"/>
      <c r="AZ317" s="1296"/>
      <c r="BA317" s="1296"/>
      <c r="BB317" s="1296"/>
      <c r="BC317" s="1296"/>
      <c r="BD317" s="1296"/>
      <c r="BE317" s="1296"/>
      <c r="BF317" s="1296"/>
      <c r="BG317" s="1296"/>
      <c r="BH317" s="1296"/>
      <c r="BI317" s="1296"/>
      <c r="BJ317" s="1296"/>
      <c r="BK317" s="1296"/>
      <c r="BL317" s="1296"/>
      <c r="BM317" s="1296"/>
      <c r="BN317" s="1296"/>
      <c r="BO317" s="1296"/>
      <c r="BP317" s="1296"/>
      <c r="BQ317" s="1296"/>
      <c r="BR317" s="1296"/>
      <c r="BS317" s="1296"/>
      <c r="BT317" s="1296"/>
      <c r="BU317" s="1296"/>
      <c r="BV317" s="1296"/>
      <c r="BW317" s="1296"/>
      <c r="BX317" s="1296"/>
      <c r="BY317" s="1296"/>
      <c r="BZ317" s="1296"/>
      <c r="CA317" s="1296"/>
      <c r="CB317" s="1296"/>
      <c r="CC317" s="1296"/>
      <c r="CD317" s="1296"/>
      <c r="CE317" s="1296"/>
      <c r="CF317" s="1296"/>
      <c r="CG317" s="1296"/>
      <c r="CH317" s="1296"/>
      <c r="CI317" s="1296"/>
      <c r="CJ317" s="1296"/>
      <c r="CK317" s="1296"/>
    </row>
    <row r="318" spans="1:89" ht="15.75" thickBot="1" x14ac:dyDescent="0.3">
      <c r="A318" s="1296"/>
      <c r="B318" s="1722"/>
      <c r="C318" s="1207">
        <v>10</v>
      </c>
      <c r="D318" s="1198" t="s">
        <v>1856</v>
      </c>
      <c r="E318" s="1198" t="s">
        <v>1444</v>
      </c>
      <c r="F318" s="1198" t="str">
        <f>'Required Info to Submit'!E32</f>
        <v/>
      </c>
      <c r="G318" s="1393" t="str">
        <f>IF(F318="","",'Required Info to Submit'!K32)</f>
        <v/>
      </c>
      <c r="H318" s="1394" t="str">
        <f>IF(F318="","",'Required Info to Submit'!L32)</f>
        <v/>
      </c>
      <c r="I318" s="1198" t="str">
        <f>'Required Info to Submit'!F32</f>
        <v/>
      </c>
      <c r="J318" s="1198" t="str">
        <f>'Required Info to Submit'!G32</f>
        <v/>
      </c>
      <c r="K318" s="1198" t="str">
        <f>'Required Info to Submit'!H32</f>
        <v/>
      </c>
      <c r="L318" s="1198" t="str">
        <f>'Required Info to Submit'!I32</f>
        <v/>
      </c>
      <c r="M318" s="1198" t="str">
        <f>'Required Info to Submit'!J32</f>
        <v/>
      </c>
      <c r="N318" s="256"/>
      <c r="O318" s="256"/>
      <c r="P318" s="257"/>
      <c r="Q318" s="1296"/>
      <c r="R318" s="1296"/>
      <c r="S318" s="1296"/>
      <c r="T318" s="1296"/>
      <c r="U318" s="1296"/>
      <c r="V318" s="1296"/>
      <c r="W318" s="1296"/>
      <c r="X318" s="1296"/>
      <c r="Y318" s="1296"/>
      <c r="Z318" s="1296"/>
      <c r="AA318" s="1296"/>
      <c r="AB318" s="1296"/>
      <c r="AC318" s="1296"/>
      <c r="AD318" s="1296"/>
      <c r="AE318" s="1296"/>
      <c r="AF318" s="1296"/>
      <c r="AG318" s="1296"/>
      <c r="AH318" s="1296"/>
      <c r="AI318" s="1296"/>
      <c r="AJ318" s="1296"/>
      <c r="AK318" s="1296"/>
      <c r="AL318" s="1296"/>
      <c r="AM318" s="1296"/>
      <c r="AN318" s="1296"/>
      <c r="AO318" s="1296"/>
      <c r="AP318" s="1296"/>
      <c r="AQ318" s="1296"/>
      <c r="AR318" s="1296"/>
      <c r="AS318" s="1296"/>
      <c r="AT318" s="1296"/>
      <c r="AU318" s="1296"/>
      <c r="AV318" s="1296"/>
      <c r="AW318" s="1296"/>
      <c r="AX318" s="1296"/>
      <c r="AY318" s="1296"/>
      <c r="AZ318" s="1296"/>
      <c r="BA318" s="1296"/>
      <c r="BB318" s="1296"/>
      <c r="BC318" s="1296"/>
      <c r="BD318" s="1296"/>
      <c r="BE318" s="1296"/>
      <c r="BF318" s="1296"/>
      <c r="BG318" s="1296"/>
      <c r="BH318" s="1296"/>
      <c r="BI318" s="1296"/>
      <c r="BJ318" s="1296"/>
      <c r="BK318" s="1296"/>
      <c r="BL318" s="1296"/>
      <c r="BM318" s="1296"/>
      <c r="BN318" s="1296"/>
      <c r="BO318" s="1296"/>
      <c r="BP318" s="1296"/>
      <c r="BQ318" s="1296"/>
      <c r="BR318" s="1296"/>
      <c r="BS318" s="1296"/>
      <c r="BT318" s="1296"/>
      <c r="BU318" s="1296"/>
      <c r="BV318" s="1296"/>
      <c r="BW318" s="1296"/>
      <c r="BX318" s="1296"/>
      <c r="BY318" s="1296"/>
      <c r="BZ318" s="1296"/>
      <c r="CA318" s="1296"/>
      <c r="CB318" s="1296"/>
      <c r="CC318" s="1296"/>
      <c r="CD318" s="1296"/>
      <c r="CE318" s="1296"/>
      <c r="CF318" s="1296"/>
      <c r="CG318" s="1296"/>
      <c r="CH318" s="1296"/>
      <c r="CI318" s="1296"/>
      <c r="CJ318" s="1296"/>
      <c r="CK318" s="1296"/>
    </row>
    <row r="319" spans="1:89" x14ac:dyDescent="0.25">
      <c r="A319" s="1296"/>
      <c r="B319" s="1296"/>
      <c r="C319" s="1296"/>
      <c r="D319" s="1296"/>
      <c r="E319" s="1296"/>
      <c r="F319" s="1296"/>
      <c r="G319" s="1296"/>
      <c r="H319" s="1296"/>
      <c r="I319" s="1296"/>
      <c r="J319" s="1296"/>
      <c r="K319" s="1296"/>
      <c r="L319" s="1296"/>
      <c r="M319" s="1296"/>
      <c r="N319" s="1296"/>
      <c r="O319" s="1296"/>
      <c r="P319" s="1296"/>
      <c r="Q319" s="1296"/>
      <c r="R319" s="1296"/>
      <c r="S319" s="1296"/>
      <c r="T319" s="1296"/>
      <c r="U319" s="1296"/>
      <c r="V319" s="1296"/>
      <c r="W319" s="1296"/>
      <c r="X319" s="1296"/>
      <c r="Y319" s="1296"/>
      <c r="Z319" s="1296"/>
      <c r="AA319" s="1296"/>
      <c r="AB319" s="1296"/>
      <c r="AC319" s="1296"/>
      <c r="AD319" s="1296"/>
      <c r="AE319" s="1296"/>
      <c r="AF319" s="1296"/>
      <c r="AG319" s="1296"/>
      <c r="AH319" s="1296"/>
      <c r="AI319" s="1296"/>
      <c r="AJ319" s="1296"/>
      <c r="AK319" s="1296"/>
      <c r="AL319" s="1296"/>
      <c r="AM319" s="1296"/>
      <c r="AN319" s="1296"/>
      <c r="AO319" s="1296"/>
      <c r="AP319" s="1296"/>
      <c r="AQ319" s="1296"/>
      <c r="AR319" s="1296"/>
      <c r="AS319" s="1296"/>
      <c r="AT319" s="1296"/>
      <c r="AU319" s="1296"/>
      <c r="AV319" s="1296"/>
      <c r="AW319" s="1296"/>
      <c r="AX319" s="1296"/>
      <c r="AY319" s="1296"/>
      <c r="AZ319" s="1296"/>
      <c r="BA319" s="1296"/>
      <c r="BB319" s="1296"/>
      <c r="BC319" s="1296"/>
      <c r="BD319" s="1296"/>
      <c r="BE319" s="1296"/>
      <c r="BF319" s="1296"/>
      <c r="BG319" s="1296"/>
      <c r="BH319" s="1296"/>
      <c r="BI319" s="1296"/>
      <c r="BJ319" s="1296"/>
      <c r="BK319" s="1296"/>
      <c r="BL319" s="1296"/>
      <c r="BM319" s="1296"/>
      <c r="BN319" s="1296"/>
      <c r="BO319" s="1296"/>
      <c r="BP319" s="1296"/>
      <c r="BQ319" s="1296"/>
      <c r="BR319" s="1296"/>
      <c r="BS319" s="1296"/>
      <c r="BT319" s="1296"/>
      <c r="BU319" s="1296"/>
      <c r="BV319" s="1296"/>
      <c r="BW319" s="1296"/>
      <c r="BX319" s="1296"/>
      <c r="BY319" s="1296"/>
      <c r="BZ319" s="1296"/>
      <c r="CA319" s="1296"/>
      <c r="CB319" s="1296"/>
      <c r="CC319" s="1296"/>
      <c r="CD319" s="1296"/>
      <c r="CE319" s="1296"/>
      <c r="CF319" s="1296"/>
      <c r="CG319" s="1296"/>
      <c r="CH319" s="1296"/>
      <c r="CI319" s="1296"/>
      <c r="CJ319" s="1296"/>
      <c r="CK319" s="1296"/>
    </row>
    <row r="320" spans="1:89" ht="15.75" thickBot="1" x14ac:dyDescent="0.3">
      <c r="A320" s="1296"/>
      <c r="B320" s="1296"/>
      <c r="C320" s="1296"/>
      <c r="D320" s="1296"/>
      <c r="E320" s="1296"/>
      <c r="F320" s="1296"/>
      <c r="G320" s="1296"/>
      <c r="H320" s="1296"/>
      <c r="I320" s="1296"/>
      <c r="J320" s="1296"/>
      <c r="K320" s="1296"/>
      <c r="L320" s="1296"/>
      <c r="M320" s="1296"/>
      <c r="N320" s="1296"/>
      <c r="O320" s="1296"/>
      <c r="P320" s="1296"/>
      <c r="Q320" s="1296"/>
      <c r="R320" s="1296"/>
      <c r="S320" s="1296"/>
      <c r="T320" s="1296"/>
      <c r="U320" s="1296"/>
      <c r="V320" s="1296"/>
      <c r="W320" s="1296"/>
      <c r="X320" s="1296"/>
      <c r="Y320" s="1296"/>
      <c r="Z320" s="1296"/>
      <c r="AA320" s="1296"/>
      <c r="AB320" s="1296"/>
      <c r="AC320" s="1296"/>
      <c r="AD320" s="1296"/>
      <c r="AE320" s="1296"/>
      <c r="AF320" s="1296"/>
      <c r="AG320" s="1296"/>
      <c r="AH320" s="1296"/>
      <c r="AI320" s="1296"/>
      <c r="AJ320" s="1296"/>
      <c r="AK320" s="1296"/>
      <c r="AL320" s="1296"/>
      <c r="AM320" s="1296"/>
      <c r="AN320" s="1296"/>
      <c r="AO320" s="1296"/>
      <c r="AP320" s="1296"/>
      <c r="AQ320" s="1296"/>
      <c r="AR320" s="1296"/>
      <c r="AS320" s="1296"/>
      <c r="AT320" s="1296"/>
      <c r="AU320" s="1296"/>
      <c r="AV320" s="1296"/>
      <c r="AW320" s="1296"/>
      <c r="AX320" s="1296"/>
      <c r="AY320" s="1296"/>
      <c r="AZ320" s="1296"/>
      <c r="BA320" s="1296"/>
      <c r="BB320" s="1296"/>
      <c r="BC320" s="1296"/>
      <c r="BD320" s="1296"/>
      <c r="BE320" s="1296"/>
      <c r="BF320" s="1296"/>
      <c r="BG320" s="1296"/>
      <c r="BH320" s="1296"/>
      <c r="BI320" s="1296"/>
      <c r="BJ320" s="1296"/>
      <c r="BK320" s="1296"/>
      <c r="BL320" s="1296"/>
      <c r="BM320" s="1296"/>
      <c r="BN320" s="1296"/>
      <c r="BO320" s="1296"/>
      <c r="BP320" s="1296"/>
      <c r="BQ320" s="1296"/>
      <c r="BR320" s="1296"/>
      <c r="BS320" s="1296"/>
      <c r="BT320" s="1296"/>
      <c r="BU320" s="1296"/>
      <c r="BV320" s="1296"/>
      <c r="BW320" s="1296"/>
      <c r="BX320" s="1296"/>
      <c r="BY320" s="1296"/>
      <c r="BZ320" s="1296"/>
      <c r="CA320" s="1296"/>
      <c r="CB320" s="1296"/>
      <c r="CC320" s="1296"/>
      <c r="CD320" s="1296"/>
      <c r="CE320" s="1296"/>
      <c r="CF320" s="1296"/>
      <c r="CG320" s="1296"/>
      <c r="CH320" s="1296"/>
      <c r="CI320" s="1296"/>
      <c r="CJ320" s="1296"/>
      <c r="CK320" s="1296"/>
    </row>
    <row r="321" spans="1:89" ht="30.75" thickBot="1" x14ac:dyDescent="0.3">
      <c r="A321" s="1296"/>
      <c r="B321" s="1182"/>
      <c r="C321" s="1177" t="s">
        <v>1400</v>
      </c>
      <c r="D321" s="1177" t="s">
        <v>1510</v>
      </c>
      <c r="E321" s="1177" t="s">
        <v>767</v>
      </c>
      <c r="F321" s="1177" t="s">
        <v>1515</v>
      </c>
      <c r="G321" s="1178" t="s">
        <v>1834</v>
      </c>
      <c r="H321" s="1178" t="s">
        <v>1835</v>
      </c>
      <c r="I321" s="1178" t="s">
        <v>1414</v>
      </c>
      <c r="J321" s="1178" t="s">
        <v>1398</v>
      </c>
      <c r="K321" s="1177" t="s">
        <v>1399</v>
      </c>
      <c r="L321" s="1177" t="s">
        <v>722</v>
      </c>
      <c r="M321" s="1177" t="s">
        <v>723</v>
      </c>
      <c r="N321" s="1178" t="s">
        <v>1514</v>
      </c>
      <c r="O321" s="1178" t="s">
        <v>1824</v>
      </c>
      <c r="P321" s="1296"/>
      <c r="Q321" s="1296"/>
      <c r="R321" s="1296"/>
      <c r="S321" s="1296"/>
      <c r="T321" s="1296"/>
      <c r="U321" s="1296"/>
      <c r="V321" s="1296"/>
      <c r="W321" s="1296"/>
      <c r="X321" s="1296"/>
      <c r="Y321" s="1296"/>
      <c r="Z321" s="1296"/>
      <c r="AA321" s="1296"/>
      <c r="AB321" s="1296"/>
      <c r="AC321" s="1296"/>
      <c r="AD321" s="1296"/>
      <c r="AE321" s="1296"/>
      <c r="AF321" s="1296"/>
      <c r="AG321" s="1296"/>
      <c r="AH321" s="1296"/>
      <c r="AI321" s="1296"/>
      <c r="AJ321" s="1296"/>
      <c r="AK321" s="1296"/>
      <c r="AL321" s="1296"/>
      <c r="AM321" s="1296"/>
      <c r="AN321" s="1296"/>
      <c r="AO321" s="1296"/>
      <c r="AP321" s="1296"/>
      <c r="AQ321" s="1296"/>
      <c r="AR321" s="1296"/>
      <c r="AS321" s="1296"/>
      <c r="AT321" s="1296"/>
      <c r="AU321" s="1296"/>
      <c r="AV321" s="1296"/>
      <c r="AW321" s="1296"/>
      <c r="AX321" s="1296"/>
      <c r="AY321" s="1296"/>
      <c r="AZ321" s="1296"/>
      <c r="BA321" s="1296"/>
      <c r="BB321" s="1296"/>
      <c r="BC321" s="1296"/>
      <c r="BD321" s="1296"/>
      <c r="BE321" s="1296"/>
      <c r="BF321" s="1296"/>
      <c r="BG321" s="1296"/>
      <c r="BH321" s="1296"/>
      <c r="BI321" s="1296"/>
      <c r="BJ321" s="1296"/>
      <c r="BK321" s="1296"/>
      <c r="BL321" s="1296"/>
      <c r="BM321" s="1296"/>
      <c r="BN321" s="1296"/>
      <c r="BO321" s="1296"/>
      <c r="BP321" s="1296"/>
      <c r="BQ321" s="1296"/>
      <c r="BR321" s="1296"/>
      <c r="BS321" s="1296"/>
      <c r="BT321" s="1296"/>
      <c r="BU321" s="1296"/>
      <c r="BV321" s="1296"/>
      <c r="BW321" s="1296"/>
      <c r="BX321" s="1296"/>
      <c r="BY321" s="1296"/>
      <c r="BZ321" s="1296"/>
      <c r="CA321" s="1296"/>
      <c r="CB321" s="1296"/>
      <c r="CC321" s="1296"/>
      <c r="CD321" s="1296"/>
      <c r="CE321" s="1296"/>
      <c r="CF321" s="1296"/>
      <c r="CG321" s="1296"/>
      <c r="CH321" s="1296"/>
      <c r="CI321" s="1296"/>
      <c r="CJ321" s="1296"/>
      <c r="CK321" s="1296"/>
    </row>
    <row r="322" spans="1:89" ht="60.75" thickBot="1" x14ac:dyDescent="0.3">
      <c r="A322" s="1296"/>
      <c r="B322" s="1320" t="s">
        <v>1837</v>
      </c>
      <c r="C322" s="1185" t="s">
        <v>1139</v>
      </c>
      <c r="D322" s="1313">
        <v>801</v>
      </c>
      <c r="E322" s="1298" t="s">
        <v>1890</v>
      </c>
      <c r="F322" s="1298" t="s">
        <v>1625</v>
      </c>
      <c r="G322" s="1181" t="str" cm="1">
        <f t="array" aca="1" ref="G322" ca="1">IF(ISBLANK(INDIRECT("'Incentives Worksheet'!H"&amp;'Configurable Tab'!H29+3)),"",INDIRECT("'Incentives Worksheet'!H"&amp;'Configurable Tab'!H29+3))</f>
        <v/>
      </c>
      <c r="H322" s="1181" t="str" cm="1">
        <f t="array" aca="1" ref="H322" ca="1">IF(INDIRECT("'Incentives Worksheet'!R"&amp;'Configurable Tab'!H29+3)="USF Calendar","Fiscal",INDIRECT("'Incentives Worksheet'!R"&amp;'Configurable Tab'!H29+3))</f>
        <v>Calendar</v>
      </c>
      <c r="I322" s="1181" t="str" cm="1">
        <f t="array" aca="1" ref="I322" ca="1">IF(ISBLANK(INDIRECT("'Incentives Worksheet'!L"&amp;'Configurable Tab'!H29+3)),"",INDIRECT("'Incentives Worksheet'!L"&amp;'Configurable Tab'!H29+3))</f>
        <v/>
      </c>
      <c r="J322" s="1181" t="str" cm="1">
        <f t="array" aca="1" ref="J322" ca="1">IF(ISBLANK(INDIRECT("'Incentives Worksheet'!J"&amp;'Configurable Tab'!H29+3)),"",INDIRECT("'Incentives Worksheet'!J"&amp;'Configurable Tab'!H29+3))</f>
        <v/>
      </c>
      <c r="K322" s="1181" t="str" cm="1">
        <f t="array" aca="1" ref="K322" ca="1">IF(ISBLANK(INDIRECT("'Incentives Worksheet'!N"&amp;'Configurable Tab'!H29+3)),"",INDIRECT("'Incentives Worksheet'!N"&amp;'Configurable Tab'!H29+3))</f>
        <v/>
      </c>
      <c r="L322" s="1314" t="str" cm="1">
        <f t="array" aca="1" ref="L322" ca="1">INDIRECT("'Incentives Worksheet'!D"&amp;'Configurable Tab'!H29+6)</f>
        <v/>
      </c>
      <c r="M322" s="1314" t="str" cm="1">
        <f t="array" aca="1" ref="M322" ca="1">INDIRECT("'Incentives Worksheet'!D"&amp;'Configurable Tab'!H29+8)</f>
        <v/>
      </c>
      <c r="N322" s="1181" t="str" cm="1">
        <f t="array" aca="1" ref="N322" ca="1">INDIRECT("'Incentives Worksheet'!D"&amp;'Configurable Tab'!H29+10)</f>
        <v>Yes</v>
      </c>
      <c r="O322" s="1346" t="s">
        <v>1891</v>
      </c>
      <c r="P322" s="1296"/>
      <c r="Q322" s="1296"/>
      <c r="R322" s="1296"/>
      <c r="S322" s="1296"/>
      <c r="T322" s="1296"/>
      <c r="U322" s="1296"/>
      <c r="V322" s="1296"/>
      <c r="W322" s="1296"/>
      <c r="X322" s="1296"/>
      <c r="Y322" s="1296"/>
      <c r="Z322" s="1296"/>
      <c r="AA322" s="1296"/>
      <c r="AB322" s="1296"/>
      <c r="AC322" s="1296"/>
      <c r="AD322" s="1296"/>
      <c r="AE322" s="1296"/>
      <c r="AF322" s="1296"/>
      <c r="AG322" s="1296"/>
      <c r="AH322" s="1296"/>
      <c r="AI322" s="1296"/>
      <c r="AJ322" s="1296"/>
      <c r="AK322" s="1296"/>
      <c r="AL322" s="1296"/>
      <c r="AM322" s="1296"/>
      <c r="AN322" s="1296"/>
      <c r="AO322" s="1296"/>
      <c r="AP322" s="1296"/>
      <c r="AQ322" s="1296"/>
      <c r="AR322" s="1296"/>
      <c r="AS322" s="1296"/>
      <c r="AT322" s="1296"/>
      <c r="AU322" s="1296"/>
      <c r="AV322" s="1296"/>
      <c r="AW322" s="1296"/>
      <c r="AX322" s="1296"/>
      <c r="AY322" s="1296"/>
      <c r="AZ322" s="1296"/>
      <c r="BA322" s="1296"/>
      <c r="BB322" s="1296"/>
      <c r="BC322" s="1296"/>
      <c r="BD322" s="1296"/>
      <c r="BE322" s="1296"/>
      <c r="BF322" s="1296"/>
      <c r="BG322" s="1296"/>
      <c r="BH322" s="1296"/>
      <c r="BI322" s="1296"/>
      <c r="BJ322" s="1296"/>
      <c r="BK322" s="1296"/>
      <c r="BL322" s="1296"/>
      <c r="BM322" s="1296"/>
      <c r="BN322" s="1296"/>
      <c r="BO322" s="1296"/>
      <c r="BP322" s="1296"/>
      <c r="BQ322" s="1296"/>
      <c r="BR322" s="1296"/>
      <c r="BS322" s="1296"/>
      <c r="BT322" s="1296"/>
      <c r="BU322" s="1296"/>
      <c r="BV322" s="1296"/>
      <c r="BW322" s="1296"/>
      <c r="BX322" s="1296"/>
      <c r="BY322" s="1296"/>
      <c r="BZ322" s="1296"/>
      <c r="CA322" s="1296"/>
      <c r="CB322" s="1296"/>
      <c r="CC322" s="1296"/>
      <c r="CD322" s="1296"/>
      <c r="CE322" s="1296"/>
      <c r="CF322" s="1296"/>
      <c r="CG322" s="1296"/>
      <c r="CH322" s="1296"/>
      <c r="CI322" s="1296"/>
      <c r="CJ322" s="1296"/>
      <c r="CK322" s="1296"/>
    </row>
    <row r="323" spans="1:89" ht="45.75" thickBot="1" x14ac:dyDescent="0.3">
      <c r="A323" s="1296"/>
      <c r="B323" s="1719" t="s">
        <v>1885</v>
      </c>
      <c r="C323" s="1210" t="s">
        <v>1886</v>
      </c>
      <c r="D323" s="1177" t="s">
        <v>1887</v>
      </c>
      <c r="E323" s="1178" t="s">
        <v>728</v>
      </c>
      <c r="F323" s="1177" t="s">
        <v>1888</v>
      </c>
      <c r="G323" s="1177" t="s">
        <v>1892</v>
      </c>
      <c r="H323" s="1296"/>
      <c r="I323" s="1296"/>
      <c r="J323" s="1296"/>
      <c r="K323" s="1296"/>
      <c r="L323" s="1296"/>
      <c r="M323" s="1296"/>
      <c r="N323" s="1296"/>
      <c r="O323" s="138"/>
      <c r="P323" s="1296"/>
      <c r="Q323" s="1296"/>
      <c r="R323" s="1296"/>
      <c r="S323" s="1296"/>
      <c r="T323" s="1296"/>
      <c r="U323" s="1296"/>
      <c r="V323" s="1296"/>
      <c r="W323" s="1296"/>
      <c r="X323" s="1296"/>
      <c r="Y323" s="1296"/>
      <c r="Z323" s="1296"/>
      <c r="AA323" s="1296"/>
      <c r="AB323" s="1296"/>
      <c r="AC323" s="1296"/>
      <c r="AD323" s="1296"/>
      <c r="AE323" s="1296"/>
      <c r="AF323" s="1296"/>
      <c r="AG323" s="1296"/>
      <c r="AH323" s="1296"/>
      <c r="AI323" s="1296"/>
      <c r="AJ323" s="1296"/>
      <c r="AK323" s="1296"/>
      <c r="AL323" s="1296"/>
      <c r="AM323" s="1296"/>
      <c r="AN323" s="1296"/>
      <c r="AO323" s="1296"/>
      <c r="AP323" s="1296"/>
      <c r="AQ323" s="1296"/>
      <c r="AR323" s="1296"/>
      <c r="AS323" s="1296"/>
      <c r="AT323" s="1296"/>
      <c r="AU323" s="1296"/>
      <c r="AV323" s="1296"/>
      <c r="AW323" s="1296"/>
      <c r="AX323" s="1296"/>
      <c r="AY323" s="1296"/>
      <c r="AZ323" s="1296"/>
      <c r="BA323" s="1296"/>
      <c r="BB323" s="1296"/>
      <c r="BC323" s="1296"/>
      <c r="BD323" s="1296"/>
      <c r="BE323" s="1296"/>
      <c r="BF323" s="1296"/>
      <c r="BG323" s="1296"/>
      <c r="BH323" s="1296"/>
      <c r="BI323" s="1296"/>
      <c r="BJ323" s="1296"/>
      <c r="BK323" s="1296"/>
      <c r="BL323" s="1296"/>
      <c r="BM323" s="1296"/>
      <c r="BN323" s="1296"/>
      <c r="BO323" s="1296"/>
      <c r="BP323" s="1296"/>
      <c r="BQ323" s="1296"/>
      <c r="BR323" s="1296"/>
      <c r="BS323" s="1296"/>
      <c r="BT323" s="1296"/>
      <c r="BU323" s="1296"/>
      <c r="BV323" s="1296"/>
      <c r="BW323" s="1296"/>
      <c r="BX323" s="1296"/>
      <c r="BY323" s="1296"/>
      <c r="BZ323" s="1296"/>
      <c r="CA323" s="1296"/>
      <c r="CB323" s="1296"/>
      <c r="CC323" s="1296"/>
      <c r="CD323" s="1296"/>
      <c r="CE323" s="1296"/>
      <c r="CF323" s="1296"/>
      <c r="CG323" s="1296"/>
      <c r="CH323" s="1296"/>
      <c r="CI323" s="1296"/>
      <c r="CJ323" s="1296"/>
      <c r="CK323" s="1296"/>
    </row>
    <row r="324" spans="1:89" ht="15.75" thickBot="1" x14ac:dyDescent="0.3">
      <c r="A324" s="1296"/>
      <c r="B324" s="1725"/>
      <c r="C324" s="1246" t="str" cm="1">
        <f t="array" aca="1" ref="C324" ca="1">INDIRECT("'Incentives Worksheet'!R"&amp;'Configurable Tab'!H29+6)</f>
        <v>Pre Pay</v>
      </c>
      <c r="D324" s="1246" t="str" cm="1">
        <f t="array" aca="1" ref="D324" ca="1">INDIRECT("'Incentives Worksheet'!T"&amp;'Configurable Tab'!H29+6)</f>
        <v>Sales</v>
      </c>
      <c r="E324" s="1279" t="str" cm="1">
        <f t="array" aca="1" ref="E324" ca="1">IF(ISBLANK(INDIRECT("'Incentives Worksheet'!H"&amp;'Configurable Tab'!H29+6)),"",INDIRECT("'Incentives Worksheet'!H"&amp;'Configurable Tab'!H29+6))</f>
        <v/>
      </c>
      <c r="F324" s="1246" t="s">
        <v>1138</v>
      </c>
      <c r="G324" s="1279" t="str">
        <f>IFERROR(IF('Tracking &amp; Profitability'!E6*'Tracking &amp; Profitability'!E5=0,"",'Tracking &amp; Profitability'!E6*'Tracking &amp; Profitability'!E5),"")</f>
        <v/>
      </c>
      <c r="H324" s="1296"/>
      <c r="I324" s="1296"/>
      <c r="J324" s="1296"/>
      <c r="K324" s="1296"/>
      <c r="L324" s="1296"/>
      <c r="M324" s="1296"/>
      <c r="N324" s="1296"/>
      <c r="O324" s="138"/>
      <c r="P324" s="1296"/>
      <c r="Q324" s="1296"/>
      <c r="R324" s="1296"/>
      <c r="S324" s="1296"/>
      <c r="T324" s="1296"/>
      <c r="U324" s="1296"/>
      <c r="V324" s="1296"/>
      <c r="W324" s="1296"/>
      <c r="X324" s="1296"/>
      <c r="Y324" s="1296"/>
      <c r="Z324" s="1296"/>
      <c r="AA324" s="1296"/>
      <c r="AB324" s="1296"/>
      <c r="AC324" s="1296"/>
      <c r="AD324" s="1296"/>
      <c r="AE324" s="1296"/>
      <c r="AF324" s="1296"/>
      <c r="AG324" s="1296"/>
      <c r="AH324" s="1296"/>
      <c r="AI324" s="1296"/>
      <c r="AJ324" s="1296"/>
      <c r="AK324" s="1296"/>
      <c r="AL324" s="1296"/>
      <c r="AM324" s="1296"/>
      <c r="AN324" s="1296"/>
      <c r="AO324" s="1296"/>
      <c r="AP324" s="1296"/>
      <c r="AQ324" s="1296"/>
      <c r="AR324" s="1296"/>
      <c r="AS324" s="1296"/>
      <c r="AT324" s="1296"/>
      <c r="AU324" s="1296"/>
      <c r="AV324" s="1296"/>
      <c r="AW324" s="1296"/>
      <c r="AX324" s="1296"/>
      <c r="AY324" s="1296"/>
      <c r="AZ324" s="1296"/>
      <c r="BA324" s="1296"/>
      <c r="BB324" s="1296"/>
      <c r="BC324" s="1296"/>
      <c r="BD324" s="1296"/>
      <c r="BE324" s="1296"/>
      <c r="BF324" s="1296"/>
      <c r="BG324" s="1296"/>
      <c r="BH324" s="1296"/>
      <c r="BI324" s="1296"/>
      <c r="BJ324" s="1296"/>
      <c r="BK324" s="1296"/>
      <c r="BL324" s="1296"/>
      <c r="BM324" s="1296"/>
      <c r="BN324" s="1296"/>
      <c r="BO324" s="1296"/>
      <c r="BP324" s="1296"/>
      <c r="BQ324" s="1296"/>
      <c r="BR324" s="1296"/>
      <c r="BS324" s="1296"/>
      <c r="BT324" s="1296"/>
      <c r="BU324" s="1296"/>
      <c r="BV324" s="1296"/>
      <c r="BW324" s="1296"/>
      <c r="BX324" s="1296"/>
      <c r="BY324" s="1296"/>
      <c r="BZ324" s="1296"/>
      <c r="CA324" s="1296"/>
      <c r="CB324" s="1296"/>
      <c r="CC324" s="1296"/>
      <c r="CD324" s="1296"/>
      <c r="CE324" s="1296"/>
      <c r="CF324" s="1296"/>
      <c r="CG324" s="1296"/>
      <c r="CH324" s="1296"/>
      <c r="CI324" s="1296"/>
      <c r="CJ324" s="1296"/>
      <c r="CK324" s="1296"/>
    </row>
    <row r="325" spans="1:89" ht="15.75" thickBot="1" x14ac:dyDescent="0.3">
      <c r="A325" s="1296"/>
      <c r="B325" s="1719" t="s">
        <v>1852</v>
      </c>
      <c r="C325" s="1258" t="s">
        <v>1853</v>
      </c>
      <c r="D325" s="1200" t="s">
        <v>1843</v>
      </c>
      <c r="E325" s="1200" t="s">
        <v>131</v>
      </c>
      <c r="F325" s="1200" t="s">
        <v>1844</v>
      </c>
      <c r="G325" s="1200" t="s">
        <v>1854</v>
      </c>
      <c r="H325" s="1201" t="s">
        <v>1855</v>
      </c>
      <c r="I325" s="1202" t="s">
        <v>767</v>
      </c>
      <c r="J325" s="1202" t="s">
        <v>768</v>
      </c>
      <c r="K325" s="1202" t="s">
        <v>769</v>
      </c>
      <c r="L325" s="1202" t="s">
        <v>770</v>
      </c>
      <c r="M325" s="1202" t="s">
        <v>204</v>
      </c>
      <c r="N325" s="1296"/>
      <c r="O325" s="138"/>
      <c r="P325" s="1296"/>
      <c r="Q325" s="1296"/>
      <c r="R325" s="1296"/>
      <c r="S325" s="1296"/>
      <c r="T325" s="1296"/>
      <c r="U325" s="1296"/>
      <c r="V325" s="1296"/>
      <c r="W325" s="1296"/>
      <c r="X325" s="1296"/>
      <c r="Y325" s="1296"/>
      <c r="Z325" s="1296"/>
      <c r="AA325" s="1296"/>
      <c r="AB325" s="1296"/>
      <c r="AC325" s="1296"/>
      <c r="AD325" s="1296"/>
      <c r="AE325" s="1296"/>
      <c r="AF325" s="1296"/>
      <c r="AG325" s="1296"/>
      <c r="AH325" s="1296"/>
      <c r="AI325" s="1296"/>
      <c r="AJ325" s="1296"/>
      <c r="AK325" s="1296"/>
      <c r="AL325" s="1296"/>
      <c r="AM325" s="1296"/>
      <c r="AN325" s="1296"/>
      <c r="AO325" s="1296"/>
      <c r="AP325" s="1296"/>
      <c r="AQ325" s="1296"/>
      <c r="AR325" s="1296"/>
      <c r="AS325" s="1296"/>
      <c r="AT325" s="1296"/>
      <c r="AU325" s="1296"/>
      <c r="AV325" s="1296"/>
      <c r="AW325" s="1296"/>
      <c r="AX325" s="1296"/>
      <c r="AY325" s="1296"/>
      <c r="AZ325" s="1296"/>
      <c r="BA325" s="1296"/>
      <c r="BB325" s="1296"/>
      <c r="BC325" s="1296"/>
      <c r="BD325" s="1296"/>
      <c r="BE325" s="1296"/>
      <c r="BF325" s="1296"/>
      <c r="BG325" s="1296"/>
      <c r="BH325" s="1296"/>
      <c r="BI325" s="1296"/>
      <c r="BJ325" s="1296"/>
      <c r="BK325" s="1296"/>
      <c r="BL325" s="1296"/>
      <c r="BM325" s="1296"/>
      <c r="BN325" s="1296"/>
      <c r="BO325" s="1296"/>
      <c r="BP325" s="1296"/>
      <c r="BQ325" s="1296"/>
      <c r="BR325" s="1296"/>
      <c r="BS325" s="1296"/>
      <c r="BT325" s="1296"/>
      <c r="BU325" s="1296"/>
      <c r="BV325" s="1296"/>
      <c r="BW325" s="1296"/>
      <c r="BX325" s="1296"/>
      <c r="BY325" s="1296"/>
      <c r="BZ325" s="1296"/>
      <c r="CA325" s="1296"/>
      <c r="CB325" s="1296"/>
      <c r="CC325" s="1296"/>
      <c r="CD325" s="1296"/>
      <c r="CE325" s="1296"/>
      <c r="CF325" s="1296"/>
      <c r="CG325" s="1296"/>
      <c r="CH325" s="1296"/>
      <c r="CI325" s="1296"/>
      <c r="CJ325" s="1296"/>
      <c r="CK325" s="1296"/>
    </row>
    <row r="326" spans="1:89" x14ac:dyDescent="0.25">
      <c r="A326" s="1296"/>
      <c r="B326" s="1721"/>
      <c r="C326" s="1199">
        <v>1</v>
      </c>
      <c r="D326" s="1196" t="s">
        <v>1856</v>
      </c>
      <c r="E326" s="1196" t="s">
        <v>1444</v>
      </c>
      <c r="F326" s="1204" t="str">
        <f>'Required Info to Submit'!E23</f>
        <v/>
      </c>
      <c r="G326" s="1400" t="str">
        <f>IF(F326="","",'Required Info to Submit'!K23)</f>
        <v/>
      </c>
      <c r="H326" s="1401" t="str">
        <f>IF(F309="","",'Required Info to Submit'!L23)</f>
        <v/>
      </c>
      <c r="I326" s="1204" t="str">
        <f>'Required Info to Submit'!F23</f>
        <v/>
      </c>
      <c r="J326" s="1204" t="str">
        <f>'Required Info to Submit'!G23</f>
        <v/>
      </c>
      <c r="K326" s="1204" t="str">
        <f>'Required Info to Submit'!H23</f>
        <v/>
      </c>
      <c r="L326" s="1204" t="str">
        <f>'Required Info to Submit'!I23</f>
        <v/>
      </c>
      <c r="M326" s="1204" t="str">
        <f>'Required Info to Submit'!J23</f>
        <v/>
      </c>
      <c r="N326" s="1296"/>
      <c r="O326" s="138"/>
      <c r="P326" s="1296"/>
      <c r="Q326" s="1296"/>
      <c r="R326" s="1296"/>
      <c r="S326" s="1296"/>
      <c r="T326" s="1296"/>
      <c r="U326" s="1296"/>
      <c r="V326" s="1296"/>
      <c r="W326" s="1296"/>
      <c r="X326" s="1296"/>
      <c r="Y326" s="1296"/>
      <c r="Z326" s="1296"/>
      <c r="AA326" s="1296"/>
      <c r="AB326" s="1296"/>
      <c r="AC326" s="1296"/>
      <c r="AD326" s="1296"/>
      <c r="AE326" s="1296"/>
      <c r="AF326" s="1296"/>
      <c r="AG326" s="1296"/>
      <c r="AH326" s="1296"/>
      <c r="AI326" s="1296"/>
      <c r="AJ326" s="1296"/>
      <c r="AK326" s="1296"/>
      <c r="AL326" s="1296"/>
      <c r="AM326" s="1296"/>
      <c r="AN326" s="1296"/>
      <c r="AO326" s="1296"/>
      <c r="AP326" s="1296"/>
      <c r="AQ326" s="1296"/>
      <c r="AR326" s="1296"/>
      <c r="AS326" s="1296"/>
      <c r="AT326" s="1296"/>
      <c r="AU326" s="1296"/>
      <c r="AV326" s="1296"/>
      <c r="AW326" s="1296"/>
      <c r="AX326" s="1296"/>
      <c r="AY326" s="1296"/>
      <c r="AZ326" s="1296"/>
      <c r="BA326" s="1296"/>
      <c r="BB326" s="1296"/>
      <c r="BC326" s="1296"/>
      <c r="BD326" s="1296"/>
      <c r="BE326" s="1296"/>
      <c r="BF326" s="1296"/>
      <c r="BG326" s="1296"/>
      <c r="BH326" s="1296"/>
      <c r="BI326" s="1296"/>
      <c r="BJ326" s="1296"/>
      <c r="BK326" s="1296"/>
      <c r="BL326" s="1296"/>
      <c r="BM326" s="1296"/>
      <c r="BN326" s="1296"/>
      <c r="BO326" s="1296"/>
      <c r="BP326" s="1296"/>
      <c r="BQ326" s="1296"/>
      <c r="BR326" s="1296"/>
      <c r="BS326" s="1296"/>
      <c r="BT326" s="1296"/>
      <c r="BU326" s="1296"/>
      <c r="BV326" s="1296"/>
      <c r="BW326" s="1296"/>
      <c r="BX326" s="1296"/>
      <c r="BY326" s="1296"/>
      <c r="BZ326" s="1296"/>
      <c r="CA326" s="1296"/>
      <c r="CB326" s="1296"/>
      <c r="CC326" s="1296"/>
      <c r="CD326" s="1296"/>
      <c r="CE326" s="1296"/>
      <c r="CF326" s="1296"/>
      <c r="CG326" s="1296"/>
      <c r="CH326" s="1296"/>
      <c r="CI326" s="1296"/>
      <c r="CJ326" s="1296"/>
      <c r="CK326" s="1296"/>
    </row>
    <row r="327" spans="1:89" x14ac:dyDescent="0.25">
      <c r="A327" s="1296"/>
      <c r="B327" s="1721"/>
      <c r="C327" s="1205">
        <v>2</v>
      </c>
      <c r="D327" s="1196" t="s">
        <v>1856</v>
      </c>
      <c r="E327" s="1196" t="s">
        <v>1444</v>
      </c>
      <c r="F327" s="1204" t="str">
        <f>'Required Info to Submit'!E24</f>
        <v/>
      </c>
      <c r="G327" s="1400" t="str">
        <f>IF(F327="","",'Required Info to Submit'!K24)</f>
        <v/>
      </c>
      <c r="H327" s="1401" t="str">
        <f>IF(F310="","",'Required Info to Submit'!L24)</f>
        <v/>
      </c>
      <c r="I327" s="1204" t="str">
        <f>'Required Info to Submit'!F24</f>
        <v/>
      </c>
      <c r="J327" s="1204" t="str">
        <f>'Required Info to Submit'!G24</f>
        <v/>
      </c>
      <c r="K327" s="1204" t="str">
        <f>'Required Info to Submit'!H24</f>
        <v/>
      </c>
      <c r="L327" s="1204" t="str">
        <f>'Required Info to Submit'!I24</f>
        <v/>
      </c>
      <c r="M327" s="1204" t="str">
        <f>'Required Info to Submit'!J24</f>
        <v/>
      </c>
      <c r="N327" s="1296"/>
      <c r="O327" s="138"/>
      <c r="P327" s="1296"/>
      <c r="Q327" s="1296"/>
      <c r="R327" s="1296"/>
      <c r="S327" s="1296"/>
      <c r="T327" s="1296"/>
      <c r="U327" s="1296"/>
      <c r="V327" s="1296"/>
      <c r="W327" s="1296"/>
      <c r="X327" s="1296"/>
      <c r="Y327" s="1296"/>
      <c r="Z327" s="1296"/>
      <c r="AA327" s="1296"/>
      <c r="AB327" s="1296"/>
      <c r="AC327" s="1296"/>
      <c r="AD327" s="1296"/>
      <c r="AE327" s="1296"/>
      <c r="AF327" s="1296"/>
      <c r="AG327" s="1296"/>
      <c r="AH327" s="1296"/>
      <c r="AI327" s="1296"/>
      <c r="AJ327" s="1296"/>
      <c r="AK327" s="1296"/>
      <c r="AL327" s="1296"/>
      <c r="AM327" s="1296"/>
      <c r="AN327" s="1296"/>
      <c r="AO327" s="1296"/>
      <c r="AP327" s="1296"/>
      <c r="AQ327" s="1296"/>
      <c r="AR327" s="1296"/>
      <c r="AS327" s="1296"/>
      <c r="AT327" s="1296"/>
      <c r="AU327" s="1296"/>
      <c r="AV327" s="1296"/>
      <c r="AW327" s="1296"/>
      <c r="AX327" s="1296"/>
      <c r="AY327" s="1296"/>
      <c r="AZ327" s="1296"/>
      <c r="BA327" s="1296"/>
      <c r="BB327" s="1296"/>
      <c r="BC327" s="1296"/>
      <c r="BD327" s="1296"/>
      <c r="BE327" s="1296"/>
      <c r="BF327" s="1296"/>
      <c r="BG327" s="1296"/>
      <c r="BH327" s="1296"/>
      <c r="BI327" s="1296"/>
      <c r="BJ327" s="1296"/>
      <c r="BK327" s="1296"/>
      <c r="BL327" s="1296"/>
      <c r="BM327" s="1296"/>
      <c r="BN327" s="1296"/>
      <c r="BO327" s="1296"/>
      <c r="BP327" s="1296"/>
      <c r="BQ327" s="1296"/>
      <c r="BR327" s="1296"/>
      <c r="BS327" s="1296"/>
      <c r="BT327" s="1296"/>
      <c r="BU327" s="1296"/>
      <c r="BV327" s="1296"/>
      <c r="BW327" s="1296"/>
      <c r="BX327" s="1296"/>
      <c r="BY327" s="1296"/>
      <c r="BZ327" s="1296"/>
      <c r="CA327" s="1296"/>
      <c r="CB327" s="1296"/>
      <c r="CC327" s="1296"/>
      <c r="CD327" s="1296"/>
      <c r="CE327" s="1296"/>
      <c r="CF327" s="1296"/>
      <c r="CG327" s="1296"/>
      <c r="CH327" s="1296"/>
      <c r="CI327" s="1296"/>
      <c r="CJ327" s="1296"/>
      <c r="CK327" s="1296"/>
    </row>
    <row r="328" spans="1:89" x14ac:dyDescent="0.25">
      <c r="A328" s="1296"/>
      <c r="B328" s="1721"/>
      <c r="C328" s="1205">
        <v>3</v>
      </c>
      <c r="D328" s="1196" t="s">
        <v>1856</v>
      </c>
      <c r="E328" s="1196" t="s">
        <v>1444</v>
      </c>
      <c r="F328" s="1204" t="str">
        <f>'Required Info to Submit'!E25</f>
        <v/>
      </c>
      <c r="G328" s="1400" t="str">
        <f>IF(F328="","",'Required Info to Submit'!K25)</f>
        <v/>
      </c>
      <c r="H328" s="1401" t="str">
        <f>IF(F311="","",'Required Info to Submit'!L25)</f>
        <v/>
      </c>
      <c r="I328" s="1204" t="str">
        <f>'Required Info to Submit'!F25</f>
        <v/>
      </c>
      <c r="J328" s="1204" t="str">
        <f>'Required Info to Submit'!G25</f>
        <v/>
      </c>
      <c r="K328" s="1204" t="str">
        <f>'Required Info to Submit'!H25</f>
        <v/>
      </c>
      <c r="L328" s="1204" t="str">
        <f>'Required Info to Submit'!I25</f>
        <v/>
      </c>
      <c r="M328" s="1204" t="str">
        <f>'Required Info to Submit'!J25</f>
        <v/>
      </c>
      <c r="N328" s="1296"/>
      <c r="O328" s="138"/>
      <c r="P328" s="1296"/>
      <c r="Q328" s="1296"/>
      <c r="R328" s="1296"/>
      <c r="S328" s="1296"/>
      <c r="T328" s="1296"/>
      <c r="U328" s="1296"/>
      <c r="V328" s="1296"/>
      <c r="W328" s="1296"/>
      <c r="X328" s="1296"/>
      <c r="Y328" s="1296"/>
      <c r="Z328" s="1296"/>
      <c r="AA328" s="1296"/>
      <c r="AB328" s="1296"/>
      <c r="AC328" s="1296"/>
      <c r="AD328" s="1296"/>
      <c r="AE328" s="1296"/>
      <c r="AF328" s="1296"/>
      <c r="AG328" s="1296"/>
      <c r="AH328" s="1296"/>
      <c r="AI328" s="1296"/>
      <c r="AJ328" s="1296"/>
      <c r="AK328" s="1296"/>
      <c r="AL328" s="1296"/>
      <c r="AM328" s="1296"/>
      <c r="AN328" s="1296"/>
      <c r="AO328" s="1296"/>
      <c r="AP328" s="1296"/>
      <c r="AQ328" s="1296"/>
      <c r="AR328" s="1296"/>
      <c r="AS328" s="1296"/>
      <c r="AT328" s="1296"/>
      <c r="AU328" s="1296"/>
      <c r="AV328" s="1296"/>
      <c r="AW328" s="1296"/>
      <c r="AX328" s="1296"/>
      <c r="AY328" s="1296"/>
      <c r="AZ328" s="1296"/>
      <c r="BA328" s="1296"/>
      <c r="BB328" s="1296"/>
      <c r="BC328" s="1296"/>
      <c r="BD328" s="1296"/>
      <c r="BE328" s="1296"/>
      <c r="BF328" s="1296"/>
      <c r="BG328" s="1296"/>
      <c r="BH328" s="1296"/>
      <c r="BI328" s="1296"/>
      <c r="BJ328" s="1296"/>
      <c r="BK328" s="1296"/>
      <c r="BL328" s="1296"/>
      <c r="BM328" s="1296"/>
      <c r="BN328" s="1296"/>
      <c r="BO328" s="1296"/>
      <c r="BP328" s="1296"/>
      <c r="BQ328" s="1296"/>
      <c r="BR328" s="1296"/>
      <c r="BS328" s="1296"/>
      <c r="BT328" s="1296"/>
      <c r="BU328" s="1296"/>
      <c r="BV328" s="1296"/>
      <c r="BW328" s="1296"/>
      <c r="BX328" s="1296"/>
      <c r="BY328" s="1296"/>
      <c r="BZ328" s="1296"/>
      <c r="CA328" s="1296"/>
      <c r="CB328" s="1296"/>
      <c r="CC328" s="1296"/>
      <c r="CD328" s="1296"/>
      <c r="CE328" s="1296"/>
      <c r="CF328" s="1296"/>
      <c r="CG328" s="1296"/>
      <c r="CH328" s="1296"/>
      <c r="CI328" s="1296"/>
      <c r="CJ328" s="1296"/>
      <c r="CK328" s="1296"/>
    </row>
    <row r="329" spans="1:89" x14ac:dyDescent="0.25">
      <c r="A329" s="1296"/>
      <c r="B329" s="1721"/>
      <c r="C329" s="1205">
        <v>4</v>
      </c>
      <c r="D329" s="1196" t="s">
        <v>1856</v>
      </c>
      <c r="E329" s="1196" t="s">
        <v>1444</v>
      </c>
      <c r="F329" s="1204" t="str">
        <f>'Required Info to Submit'!E26</f>
        <v/>
      </c>
      <c r="G329" s="1400" t="str">
        <f>IF(F329="","",'Required Info to Submit'!K26)</f>
        <v/>
      </c>
      <c r="H329" s="1401" t="str">
        <f>IF(F312="","",'Required Info to Submit'!L26)</f>
        <v/>
      </c>
      <c r="I329" s="1204" t="str">
        <f>'Required Info to Submit'!F26</f>
        <v/>
      </c>
      <c r="J329" s="1204" t="str">
        <f>'Required Info to Submit'!G26</f>
        <v/>
      </c>
      <c r="K329" s="1204" t="str">
        <f>'Required Info to Submit'!H26</f>
        <v/>
      </c>
      <c r="L329" s="1204" t="str">
        <f>'Required Info to Submit'!I26</f>
        <v/>
      </c>
      <c r="M329" s="1204" t="str">
        <f>'Required Info to Submit'!J26</f>
        <v/>
      </c>
      <c r="N329" s="1296"/>
      <c r="O329" s="138"/>
      <c r="P329" s="1296"/>
      <c r="Q329" s="1296"/>
      <c r="R329" s="1296"/>
      <c r="S329" s="1296"/>
      <c r="T329" s="1296"/>
      <c r="U329" s="1296"/>
      <c r="V329" s="1296"/>
      <c r="W329" s="1296"/>
      <c r="X329" s="1296"/>
      <c r="Y329" s="1296"/>
      <c r="Z329" s="1296"/>
      <c r="AA329" s="1296"/>
      <c r="AB329" s="1296"/>
      <c r="AC329" s="1296"/>
      <c r="AD329" s="1296"/>
      <c r="AE329" s="1296"/>
      <c r="AF329" s="1296"/>
      <c r="AG329" s="1296"/>
      <c r="AH329" s="1296"/>
      <c r="AI329" s="1296"/>
      <c r="AJ329" s="1296"/>
      <c r="AK329" s="1296"/>
      <c r="AL329" s="1296"/>
      <c r="AM329" s="1296"/>
      <c r="AN329" s="1296"/>
      <c r="AO329" s="1296"/>
      <c r="AP329" s="1296"/>
      <c r="AQ329" s="1296"/>
      <c r="AR329" s="1296"/>
      <c r="AS329" s="1296"/>
      <c r="AT329" s="1296"/>
      <c r="AU329" s="1296"/>
      <c r="AV329" s="1296"/>
      <c r="AW329" s="1296"/>
      <c r="AX329" s="1296"/>
      <c r="AY329" s="1296"/>
      <c r="AZ329" s="1296"/>
      <c r="BA329" s="1296"/>
      <c r="BB329" s="1296"/>
      <c r="BC329" s="1296"/>
      <c r="BD329" s="1296"/>
      <c r="BE329" s="1296"/>
      <c r="BF329" s="1296"/>
      <c r="BG329" s="1296"/>
      <c r="BH329" s="1296"/>
      <c r="BI329" s="1296"/>
      <c r="BJ329" s="1296"/>
      <c r="BK329" s="1296"/>
      <c r="BL329" s="1296"/>
      <c r="BM329" s="1296"/>
      <c r="BN329" s="1296"/>
      <c r="BO329" s="1296"/>
      <c r="BP329" s="1296"/>
      <c r="BQ329" s="1296"/>
      <c r="BR329" s="1296"/>
      <c r="BS329" s="1296"/>
      <c r="BT329" s="1296"/>
      <c r="BU329" s="1296"/>
      <c r="BV329" s="1296"/>
      <c r="BW329" s="1296"/>
      <c r="BX329" s="1296"/>
      <c r="BY329" s="1296"/>
      <c r="BZ329" s="1296"/>
      <c r="CA329" s="1296"/>
      <c r="CB329" s="1296"/>
      <c r="CC329" s="1296"/>
      <c r="CD329" s="1296"/>
      <c r="CE329" s="1296"/>
      <c r="CF329" s="1296"/>
      <c r="CG329" s="1296"/>
      <c r="CH329" s="1296"/>
      <c r="CI329" s="1296"/>
      <c r="CJ329" s="1296"/>
      <c r="CK329" s="1296"/>
    </row>
    <row r="330" spans="1:89" x14ac:dyDescent="0.25">
      <c r="A330" s="1296"/>
      <c r="B330" s="1721"/>
      <c r="C330" s="1205">
        <v>5</v>
      </c>
      <c r="D330" s="1196" t="s">
        <v>1856</v>
      </c>
      <c r="E330" s="1196" t="s">
        <v>1444</v>
      </c>
      <c r="F330" s="1204" t="str">
        <f>'Required Info to Submit'!E27</f>
        <v/>
      </c>
      <c r="G330" s="1400" t="str">
        <f>IF(F330="","",'Required Info to Submit'!K27)</f>
        <v/>
      </c>
      <c r="H330" s="1401" t="str">
        <f>IF(F313="","",'Required Info to Submit'!L27)</f>
        <v/>
      </c>
      <c r="I330" s="1204" t="str">
        <f>'Required Info to Submit'!F27</f>
        <v/>
      </c>
      <c r="J330" s="1204" t="str">
        <f>'Required Info to Submit'!G27</f>
        <v/>
      </c>
      <c r="K330" s="1204" t="str">
        <f>'Required Info to Submit'!H27</f>
        <v/>
      </c>
      <c r="L330" s="1204" t="str">
        <f>'Required Info to Submit'!I27</f>
        <v/>
      </c>
      <c r="M330" s="1204" t="str">
        <f>'Required Info to Submit'!J27</f>
        <v/>
      </c>
      <c r="N330" s="1296"/>
      <c r="O330" s="138"/>
      <c r="P330" s="1296"/>
      <c r="Q330" s="1296"/>
      <c r="R330" s="1296"/>
      <c r="S330" s="1296"/>
      <c r="T330" s="1296"/>
      <c r="U330" s="1296"/>
      <c r="V330" s="1296"/>
      <c r="W330" s="1296"/>
      <c r="X330" s="1296"/>
      <c r="Y330" s="1296"/>
      <c r="Z330" s="1296"/>
      <c r="AA330" s="1296"/>
      <c r="AB330" s="1296"/>
      <c r="AC330" s="1296"/>
      <c r="AD330" s="1296"/>
      <c r="AE330" s="1296"/>
      <c r="AF330" s="1296"/>
      <c r="AG330" s="1296"/>
      <c r="AH330" s="1296"/>
      <c r="AI330" s="1296"/>
      <c r="AJ330" s="1296"/>
      <c r="AK330" s="1296"/>
      <c r="AL330" s="1296"/>
      <c r="AM330" s="1296"/>
      <c r="AN330" s="1296"/>
      <c r="AO330" s="1296"/>
      <c r="AP330" s="1296"/>
      <c r="AQ330" s="1296"/>
      <c r="AR330" s="1296"/>
      <c r="AS330" s="1296"/>
      <c r="AT330" s="1296"/>
      <c r="AU330" s="1296"/>
      <c r="AV330" s="1296"/>
      <c r="AW330" s="1296"/>
      <c r="AX330" s="1296"/>
      <c r="AY330" s="1296"/>
      <c r="AZ330" s="1296"/>
      <c r="BA330" s="1296"/>
      <c r="BB330" s="1296"/>
      <c r="BC330" s="1296"/>
      <c r="BD330" s="1296"/>
      <c r="BE330" s="1296"/>
      <c r="BF330" s="1296"/>
      <c r="BG330" s="1296"/>
      <c r="BH330" s="1296"/>
      <c r="BI330" s="1296"/>
      <c r="BJ330" s="1296"/>
      <c r="BK330" s="1296"/>
      <c r="BL330" s="1296"/>
      <c r="BM330" s="1296"/>
      <c r="BN330" s="1296"/>
      <c r="BO330" s="1296"/>
      <c r="BP330" s="1296"/>
      <c r="BQ330" s="1296"/>
      <c r="BR330" s="1296"/>
      <c r="BS330" s="1296"/>
      <c r="BT330" s="1296"/>
      <c r="BU330" s="1296"/>
      <c r="BV330" s="1296"/>
      <c r="BW330" s="1296"/>
      <c r="BX330" s="1296"/>
      <c r="BY330" s="1296"/>
      <c r="BZ330" s="1296"/>
      <c r="CA330" s="1296"/>
      <c r="CB330" s="1296"/>
      <c r="CC330" s="1296"/>
      <c r="CD330" s="1296"/>
      <c r="CE330" s="1296"/>
      <c r="CF330" s="1296"/>
      <c r="CG330" s="1296"/>
      <c r="CH330" s="1296"/>
      <c r="CI330" s="1296"/>
      <c r="CJ330" s="1296"/>
      <c r="CK330" s="1296"/>
    </row>
    <row r="331" spans="1:89" x14ac:dyDescent="0.25">
      <c r="A331" s="1296"/>
      <c r="B331" s="1721"/>
      <c r="C331" s="1205">
        <v>6</v>
      </c>
      <c r="D331" s="1196" t="s">
        <v>1856</v>
      </c>
      <c r="E331" s="1196" t="s">
        <v>1444</v>
      </c>
      <c r="F331" s="1204" t="str">
        <f>'Required Info to Submit'!E28</f>
        <v/>
      </c>
      <c r="G331" s="1400" t="str">
        <f>IF(F331="","",'Required Info to Submit'!K28)</f>
        <v/>
      </c>
      <c r="H331" s="1401" t="str">
        <f>IF(F314="","",'Required Info to Submit'!L28)</f>
        <v/>
      </c>
      <c r="I331" s="1204" t="str">
        <f>'Required Info to Submit'!F28</f>
        <v/>
      </c>
      <c r="J331" s="1204" t="str">
        <f>'Required Info to Submit'!G28</f>
        <v/>
      </c>
      <c r="K331" s="1204" t="str">
        <f>'Required Info to Submit'!H28</f>
        <v/>
      </c>
      <c r="L331" s="1204" t="str">
        <f>'Required Info to Submit'!I28</f>
        <v/>
      </c>
      <c r="M331" s="1204" t="str">
        <f>'Required Info to Submit'!J28</f>
        <v/>
      </c>
      <c r="N331" s="1296"/>
      <c r="O331" s="138"/>
      <c r="P331" s="1296"/>
      <c r="Q331" s="1296"/>
      <c r="R331" s="1296"/>
      <c r="S331" s="1296"/>
      <c r="T331" s="1296"/>
      <c r="U331" s="1296"/>
      <c r="V331" s="1296"/>
      <c r="W331" s="1296"/>
      <c r="X331" s="1296"/>
      <c r="Y331" s="1296"/>
      <c r="Z331" s="1296"/>
      <c r="AA331" s="1296"/>
      <c r="AB331" s="1296"/>
      <c r="AC331" s="1296"/>
      <c r="AD331" s="1296"/>
      <c r="AE331" s="1296"/>
      <c r="AF331" s="1296"/>
      <c r="AG331" s="1296"/>
      <c r="AH331" s="1296"/>
      <c r="AI331" s="1296"/>
      <c r="AJ331" s="1296"/>
      <c r="AK331" s="1296"/>
      <c r="AL331" s="1296"/>
      <c r="AM331" s="1296"/>
      <c r="AN331" s="1296"/>
      <c r="AO331" s="1296"/>
      <c r="AP331" s="1296"/>
      <c r="AQ331" s="1296"/>
      <c r="AR331" s="1296"/>
      <c r="AS331" s="1296"/>
      <c r="AT331" s="1296"/>
      <c r="AU331" s="1296"/>
      <c r="AV331" s="1296"/>
      <c r="AW331" s="1296"/>
      <c r="AX331" s="1296"/>
      <c r="AY331" s="1296"/>
      <c r="AZ331" s="1296"/>
      <c r="BA331" s="1296"/>
      <c r="BB331" s="1296"/>
      <c r="BC331" s="1296"/>
      <c r="BD331" s="1296"/>
      <c r="BE331" s="1296"/>
      <c r="BF331" s="1296"/>
      <c r="BG331" s="1296"/>
      <c r="BH331" s="1296"/>
      <c r="BI331" s="1296"/>
      <c r="BJ331" s="1296"/>
      <c r="BK331" s="1296"/>
      <c r="BL331" s="1296"/>
      <c r="BM331" s="1296"/>
      <c r="BN331" s="1296"/>
      <c r="BO331" s="1296"/>
      <c r="BP331" s="1296"/>
      <c r="BQ331" s="1296"/>
      <c r="BR331" s="1296"/>
      <c r="BS331" s="1296"/>
      <c r="BT331" s="1296"/>
      <c r="BU331" s="1296"/>
      <c r="BV331" s="1296"/>
      <c r="BW331" s="1296"/>
      <c r="BX331" s="1296"/>
      <c r="BY331" s="1296"/>
      <c r="BZ331" s="1296"/>
      <c r="CA331" s="1296"/>
      <c r="CB331" s="1296"/>
      <c r="CC331" s="1296"/>
      <c r="CD331" s="1296"/>
      <c r="CE331" s="1296"/>
      <c r="CF331" s="1296"/>
      <c r="CG331" s="1296"/>
      <c r="CH331" s="1296"/>
      <c r="CI331" s="1296"/>
      <c r="CJ331" s="1296"/>
      <c r="CK331" s="1296"/>
    </row>
    <row r="332" spans="1:89" x14ac:dyDescent="0.25">
      <c r="A332" s="1296"/>
      <c r="B332" s="1721"/>
      <c r="C332" s="1205">
        <v>7</v>
      </c>
      <c r="D332" s="1196" t="s">
        <v>1856</v>
      </c>
      <c r="E332" s="1196" t="s">
        <v>1444</v>
      </c>
      <c r="F332" s="1204" t="str">
        <f>'Required Info to Submit'!E29</f>
        <v/>
      </c>
      <c r="G332" s="1400" t="str">
        <f>IF(F332="","",'Required Info to Submit'!K29)</f>
        <v/>
      </c>
      <c r="H332" s="1401" t="str">
        <f>IF(F315="","",'Required Info to Submit'!L29)</f>
        <v/>
      </c>
      <c r="I332" s="1204" t="str">
        <f>'Required Info to Submit'!F29</f>
        <v/>
      </c>
      <c r="J332" s="1204" t="str">
        <f>'Required Info to Submit'!G29</f>
        <v/>
      </c>
      <c r="K332" s="1204" t="str">
        <f>'Required Info to Submit'!H29</f>
        <v/>
      </c>
      <c r="L332" s="1204" t="str">
        <f>'Required Info to Submit'!I29</f>
        <v/>
      </c>
      <c r="M332" s="1204" t="str">
        <f>'Required Info to Submit'!J29</f>
        <v/>
      </c>
      <c r="N332" s="1296"/>
      <c r="O332" s="138"/>
      <c r="P332" s="1296"/>
      <c r="Q332" s="1296"/>
      <c r="R332" s="1296"/>
      <c r="S332" s="1296"/>
      <c r="T332" s="1296"/>
      <c r="U332" s="1296"/>
      <c r="V332" s="1296"/>
      <c r="W332" s="1296"/>
      <c r="X332" s="1296"/>
      <c r="Y332" s="1296"/>
      <c r="Z332" s="1296"/>
      <c r="AA332" s="1296"/>
      <c r="AB332" s="1296"/>
      <c r="AC332" s="1296"/>
      <c r="AD332" s="1296"/>
      <c r="AE332" s="1296"/>
      <c r="AF332" s="1296"/>
      <c r="AG332" s="1296"/>
      <c r="AH332" s="1296"/>
      <c r="AI332" s="1296"/>
      <c r="AJ332" s="1296"/>
      <c r="AK332" s="1296"/>
      <c r="AL332" s="1296"/>
      <c r="AM332" s="1296"/>
      <c r="AN332" s="1296"/>
      <c r="AO332" s="1296"/>
      <c r="AP332" s="1296"/>
      <c r="AQ332" s="1296"/>
      <c r="AR332" s="1296"/>
      <c r="AS332" s="1296"/>
      <c r="AT332" s="1296"/>
      <c r="AU332" s="1296"/>
      <c r="AV332" s="1296"/>
      <c r="AW332" s="1296"/>
      <c r="AX332" s="1296"/>
      <c r="AY332" s="1296"/>
      <c r="AZ332" s="1296"/>
      <c r="BA332" s="1296"/>
      <c r="BB332" s="1296"/>
      <c r="BC332" s="1296"/>
      <c r="BD332" s="1296"/>
      <c r="BE332" s="1296"/>
      <c r="BF332" s="1296"/>
      <c r="BG332" s="1296"/>
      <c r="BH332" s="1296"/>
      <c r="BI332" s="1296"/>
      <c r="BJ332" s="1296"/>
      <c r="BK332" s="1296"/>
      <c r="BL332" s="1296"/>
      <c r="BM332" s="1296"/>
      <c r="BN332" s="1296"/>
      <c r="BO332" s="1296"/>
      <c r="BP332" s="1296"/>
      <c r="BQ332" s="1296"/>
      <c r="BR332" s="1296"/>
      <c r="BS332" s="1296"/>
      <c r="BT332" s="1296"/>
      <c r="BU332" s="1296"/>
      <c r="BV332" s="1296"/>
      <c r="BW332" s="1296"/>
      <c r="BX332" s="1296"/>
      <c r="BY332" s="1296"/>
      <c r="BZ332" s="1296"/>
      <c r="CA332" s="1296"/>
      <c r="CB332" s="1296"/>
      <c r="CC332" s="1296"/>
      <c r="CD332" s="1296"/>
      <c r="CE332" s="1296"/>
      <c r="CF332" s="1296"/>
      <c r="CG332" s="1296"/>
      <c r="CH332" s="1296"/>
      <c r="CI332" s="1296"/>
      <c r="CJ332" s="1296"/>
      <c r="CK332" s="1296"/>
    </row>
    <row r="333" spans="1:89" x14ac:dyDescent="0.25">
      <c r="A333" s="1296"/>
      <c r="B333" s="1721"/>
      <c r="C333" s="1205">
        <v>8</v>
      </c>
      <c r="D333" s="1196" t="s">
        <v>1856</v>
      </c>
      <c r="E333" s="1196" t="s">
        <v>1444</v>
      </c>
      <c r="F333" s="1204" t="str">
        <f>'Required Info to Submit'!E30</f>
        <v/>
      </c>
      <c r="G333" s="1400" t="str">
        <f>IF(F333="","",'Required Info to Submit'!K30)</f>
        <v/>
      </c>
      <c r="H333" s="1401" t="str">
        <f>IF(F316="","",'Required Info to Submit'!L30)</f>
        <v/>
      </c>
      <c r="I333" s="1204" t="str">
        <f>'Required Info to Submit'!F30</f>
        <v/>
      </c>
      <c r="J333" s="1204" t="str">
        <f>'Required Info to Submit'!G30</f>
        <v/>
      </c>
      <c r="K333" s="1204" t="str">
        <f>'Required Info to Submit'!H30</f>
        <v/>
      </c>
      <c r="L333" s="1204" t="str">
        <f>'Required Info to Submit'!I30</f>
        <v/>
      </c>
      <c r="M333" s="1204" t="str">
        <f>'Required Info to Submit'!J30</f>
        <v/>
      </c>
      <c r="N333" s="1296"/>
      <c r="O333" s="138"/>
      <c r="P333" s="1296"/>
      <c r="Q333" s="1296"/>
      <c r="R333" s="1296"/>
      <c r="S333" s="1296"/>
      <c r="T333" s="1296"/>
      <c r="U333" s="1296"/>
      <c r="V333" s="1296"/>
      <c r="W333" s="1296"/>
      <c r="X333" s="1296"/>
      <c r="Y333" s="1296"/>
      <c r="Z333" s="1296"/>
      <c r="AA333" s="1296"/>
      <c r="AB333" s="1296"/>
      <c r="AC333" s="1296"/>
      <c r="AD333" s="1296"/>
      <c r="AE333" s="1296"/>
      <c r="AF333" s="1296"/>
      <c r="AG333" s="1296"/>
      <c r="AH333" s="1296"/>
      <c r="AI333" s="1296"/>
      <c r="AJ333" s="1296"/>
      <c r="AK333" s="1296"/>
      <c r="AL333" s="1296"/>
      <c r="AM333" s="1296"/>
      <c r="AN333" s="1296"/>
      <c r="AO333" s="1296"/>
      <c r="AP333" s="1296"/>
      <c r="AQ333" s="1296"/>
      <c r="AR333" s="1296"/>
      <c r="AS333" s="1296"/>
      <c r="AT333" s="1296"/>
      <c r="AU333" s="1296"/>
      <c r="AV333" s="1296"/>
      <c r="AW333" s="1296"/>
      <c r="AX333" s="1296"/>
      <c r="AY333" s="1296"/>
      <c r="AZ333" s="1296"/>
      <c r="BA333" s="1296"/>
      <c r="BB333" s="1296"/>
      <c r="BC333" s="1296"/>
      <c r="BD333" s="1296"/>
      <c r="BE333" s="1296"/>
      <c r="BF333" s="1296"/>
      <c r="BG333" s="1296"/>
      <c r="BH333" s="1296"/>
      <c r="BI333" s="1296"/>
      <c r="BJ333" s="1296"/>
      <c r="BK333" s="1296"/>
      <c r="BL333" s="1296"/>
      <c r="BM333" s="1296"/>
      <c r="BN333" s="1296"/>
      <c r="BO333" s="1296"/>
      <c r="BP333" s="1296"/>
      <c r="BQ333" s="1296"/>
      <c r="BR333" s="1296"/>
      <c r="BS333" s="1296"/>
      <c r="BT333" s="1296"/>
      <c r="BU333" s="1296"/>
      <c r="BV333" s="1296"/>
      <c r="BW333" s="1296"/>
      <c r="BX333" s="1296"/>
      <c r="BY333" s="1296"/>
      <c r="BZ333" s="1296"/>
      <c r="CA333" s="1296"/>
      <c r="CB333" s="1296"/>
      <c r="CC333" s="1296"/>
      <c r="CD333" s="1296"/>
      <c r="CE333" s="1296"/>
      <c r="CF333" s="1296"/>
      <c r="CG333" s="1296"/>
      <c r="CH333" s="1296"/>
      <c r="CI333" s="1296"/>
      <c r="CJ333" s="1296"/>
      <c r="CK333" s="1296"/>
    </row>
    <row r="334" spans="1:89" x14ac:dyDescent="0.25">
      <c r="A334" s="1296"/>
      <c r="B334" s="1721"/>
      <c r="C334" s="1205">
        <v>9</v>
      </c>
      <c r="D334" s="1196" t="s">
        <v>1856</v>
      </c>
      <c r="E334" s="1196" t="s">
        <v>1444</v>
      </c>
      <c r="F334" s="1204" t="str">
        <f>'Required Info to Submit'!E31</f>
        <v/>
      </c>
      <c r="G334" s="1400" t="str">
        <f>IF(F334="","",'Required Info to Submit'!K31)</f>
        <v/>
      </c>
      <c r="H334" s="1401" t="str">
        <f>IF(F317="","",'Required Info to Submit'!L31)</f>
        <v/>
      </c>
      <c r="I334" s="1204" t="str">
        <f>'Required Info to Submit'!F31</f>
        <v/>
      </c>
      <c r="J334" s="1204" t="str">
        <f>'Required Info to Submit'!G31</f>
        <v/>
      </c>
      <c r="K334" s="1204" t="str">
        <f>'Required Info to Submit'!H31</f>
        <v/>
      </c>
      <c r="L334" s="1204" t="str">
        <f>'Required Info to Submit'!I31</f>
        <v/>
      </c>
      <c r="M334" s="1204" t="str">
        <f>'Required Info to Submit'!J31</f>
        <v/>
      </c>
      <c r="N334" s="1296"/>
      <c r="O334" s="138"/>
      <c r="P334" s="1296"/>
      <c r="Q334" s="1296"/>
      <c r="R334" s="1296"/>
      <c r="S334" s="1296"/>
      <c r="T334" s="1296"/>
      <c r="U334" s="1296"/>
      <c r="V334" s="1296"/>
      <c r="W334" s="1296"/>
      <c r="X334" s="1296"/>
      <c r="Y334" s="1296"/>
      <c r="Z334" s="1296"/>
      <c r="AA334" s="1296"/>
      <c r="AB334" s="1296"/>
      <c r="AC334" s="1296"/>
      <c r="AD334" s="1296"/>
      <c r="AE334" s="1296"/>
      <c r="AF334" s="1296"/>
      <c r="AG334" s="1296"/>
      <c r="AH334" s="1296"/>
      <c r="AI334" s="1296"/>
      <c r="AJ334" s="1296"/>
      <c r="AK334" s="1296"/>
      <c r="AL334" s="1296"/>
      <c r="AM334" s="1296"/>
      <c r="AN334" s="1296"/>
      <c r="AO334" s="1296"/>
      <c r="AP334" s="1296"/>
      <c r="AQ334" s="1296"/>
      <c r="AR334" s="1296"/>
      <c r="AS334" s="1296"/>
      <c r="AT334" s="1296"/>
      <c r="AU334" s="1296"/>
      <c r="AV334" s="1296"/>
      <c r="AW334" s="1296"/>
      <c r="AX334" s="1296"/>
      <c r="AY334" s="1296"/>
      <c r="AZ334" s="1296"/>
      <c r="BA334" s="1296"/>
      <c r="BB334" s="1296"/>
      <c r="BC334" s="1296"/>
      <c r="BD334" s="1296"/>
      <c r="BE334" s="1296"/>
      <c r="BF334" s="1296"/>
      <c r="BG334" s="1296"/>
      <c r="BH334" s="1296"/>
      <c r="BI334" s="1296"/>
      <c r="BJ334" s="1296"/>
      <c r="BK334" s="1296"/>
      <c r="BL334" s="1296"/>
      <c r="BM334" s="1296"/>
      <c r="BN334" s="1296"/>
      <c r="BO334" s="1296"/>
      <c r="BP334" s="1296"/>
      <c r="BQ334" s="1296"/>
      <c r="BR334" s="1296"/>
      <c r="BS334" s="1296"/>
      <c r="BT334" s="1296"/>
      <c r="BU334" s="1296"/>
      <c r="BV334" s="1296"/>
      <c r="BW334" s="1296"/>
      <c r="BX334" s="1296"/>
      <c r="BY334" s="1296"/>
      <c r="BZ334" s="1296"/>
      <c r="CA334" s="1296"/>
      <c r="CB334" s="1296"/>
      <c r="CC334" s="1296"/>
      <c r="CD334" s="1296"/>
      <c r="CE334" s="1296"/>
      <c r="CF334" s="1296"/>
      <c r="CG334" s="1296"/>
      <c r="CH334" s="1296"/>
      <c r="CI334" s="1296"/>
      <c r="CJ334" s="1296"/>
      <c r="CK334" s="1296"/>
    </row>
    <row r="335" spans="1:89" ht="15.75" thickBot="1" x14ac:dyDescent="0.3">
      <c r="A335" s="1296"/>
      <c r="B335" s="1722"/>
      <c r="C335" s="1321">
        <v>10</v>
      </c>
      <c r="D335" s="1322" t="s">
        <v>1856</v>
      </c>
      <c r="E335" s="1322" t="s">
        <v>1444</v>
      </c>
      <c r="F335" s="1204" t="str">
        <f>'Required Info to Submit'!E32</f>
        <v/>
      </c>
      <c r="G335" s="1400" t="str">
        <f>IF(F335="","",'Required Info to Submit'!K32)</f>
        <v/>
      </c>
      <c r="H335" s="1401" t="str">
        <f>IF(F318="","",'Required Info to Submit'!L32)</f>
        <v/>
      </c>
      <c r="I335" s="1209" t="str">
        <f>'Required Info to Submit'!F32</f>
        <v/>
      </c>
      <c r="J335" s="1209" t="str">
        <f>'Required Info to Submit'!G32</f>
        <v/>
      </c>
      <c r="K335" s="1209" t="str">
        <f>'Required Info to Submit'!H32</f>
        <v/>
      </c>
      <c r="L335" s="1209" t="str">
        <f>'Required Info to Submit'!I32</f>
        <v/>
      </c>
      <c r="M335" s="1209" t="str">
        <f>'Required Info to Submit'!J32</f>
        <v/>
      </c>
      <c r="N335" s="1296"/>
      <c r="O335" s="138"/>
      <c r="P335" s="1296"/>
      <c r="Q335" s="1296"/>
      <c r="R335" s="1296"/>
      <c r="S335" s="1296"/>
      <c r="T335" s="1296"/>
      <c r="U335" s="1296"/>
      <c r="V335" s="1296"/>
      <c r="W335" s="1296"/>
      <c r="X335" s="1296"/>
      <c r="Y335" s="1296"/>
      <c r="Z335" s="1296"/>
      <c r="AA335" s="1296"/>
      <c r="AB335" s="1296"/>
      <c r="AC335" s="1296"/>
      <c r="AD335" s="1296"/>
      <c r="AE335" s="1296"/>
      <c r="AF335" s="1296"/>
      <c r="AG335" s="1296"/>
      <c r="AH335" s="1296"/>
      <c r="AI335" s="1296"/>
      <c r="AJ335" s="1296"/>
      <c r="AK335" s="1296"/>
      <c r="AL335" s="1296"/>
      <c r="AM335" s="1296"/>
      <c r="AN335" s="1296"/>
      <c r="AO335" s="1296"/>
      <c r="AP335" s="1296"/>
      <c r="AQ335" s="1296"/>
      <c r="AR335" s="1296"/>
      <c r="AS335" s="1296"/>
      <c r="AT335" s="1296"/>
      <c r="AU335" s="1296"/>
      <c r="AV335" s="1296"/>
      <c r="AW335" s="1296"/>
      <c r="AX335" s="1296"/>
      <c r="AY335" s="1296"/>
      <c r="AZ335" s="1296"/>
      <c r="BA335" s="1296"/>
      <c r="BB335" s="1296"/>
      <c r="BC335" s="1296"/>
      <c r="BD335" s="1296"/>
      <c r="BE335" s="1296"/>
      <c r="BF335" s="1296"/>
      <c r="BG335" s="1296"/>
      <c r="BH335" s="1296"/>
      <c r="BI335" s="1296"/>
      <c r="BJ335" s="1296"/>
      <c r="BK335" s="1296"/>
      <c r="BL335" s="1296"/>
      <c r="BM335" s="1296"/>
      <c r="BN335" s="1296"/>
      <c r="BO335" s="1296"/>
      <c r="BP335" s="1296"/>
      <c r="BQ335" s="1296"/>
      <c r="BR335" s="1296"/>
      <c r="BS335" s="1296"/>
      <c r="BT335" s="1296"/>
      <c r="BU335" s="1296"/>
      <c r="BV335" s="1296"/>
      <c r="BW335" s="1296"/>
      <c r="BX335" s="1296"/>
      <c r="BY335" s="1296"/>
      <c r="BZ335" s="1296"/>
      <c r="CA335" s="1296"/>
      <c r="CB335" s="1296"/>
      <c r="CC335" s="1296"/>
      <c r="CD335" s="1296"/>
      <c r="CE335" s="1296"/>
      <c r="CF335" s="1296"/>
      <c r="CG335" s="1296"/>
      <c r="CH335" s="1296"/>
      <c r="CI335" s="1296"/>
      <c r="CJ335" s="1296"/>
      <c r="CK335" s="1296"/>
    </row>
    <row r="336" spans="1:89" ht="30" x14ac:dyDescent="0.25">
      <c r="A336" s="1296"/>
      <c r="B336" s="1719" t="s">
        <v>1893</v>
      </c>
      <c r="C336" s="1323" t="s">
        <v>1494</v>
      </c>
      <c r="D336" s="1324" t="s">
        <v>1419</v>
      </c>
      <c r="E336" s="1323" t="s">
        <v>1497</v>
      </c>
      <c r="F336" s="1325" t="s">
        <v>1141</v>
      </c>
      <c r="G336" s="1326" t="s">
        <v>1140</v>
      </c>
      <c r="H336" s="1326" t="s">
        <v>1691</v>
      </c>
      <c r="I336" s="1296"/>
      <c r="J336" s="1296"/>
      <c r="K336" s="1296"/>
      <c r="L336" s="1296"/>
      <c r="M336" s="1296"/>
      <c r="N336" s="1296"/>
      <c r="O336" s="138"/>
      <c r="P336" s="1296"/>
      <c r="Q336" s="1296"/>
      <c r="R336" s="1296"/>
      <c r="S336" s="1296"/>
      <c r="T336" s="1296"/>
      <c r="U336" s="1296"/>
      <c r="V336" s="1296"/>
      <c r="W336" s="1296"/>
      <c r="X336" s="1296"/>
      <c r="Y336" s="1296"/>
      <c r="Z336" s="1296"/>
      <c r="AA336" s="1296"/>
      <c r="AB336" s="1296"/>
      <c r="AC336" s="1296"/>
      <c r="AD336" s="1296"/>
      <c r="AE336" s="1296"/>
      <c r="AF336" s="1296"/>
      <c r="AG336" s="1296"/>
      <c r="AH336" s="1296"/>
      <c r="AI336" s="1296"/>
      <c r="AJ336" s="1296"/>
      <c r="AK336" s="1296"/>
      <c r="AL336" s="1296"/>
      <c r="AM336" s="1296"/>
      <c r="AN336" s="1296"/>
      <c r="AO336" s="1296"/>
      <c r="AP336" s="1296"/>
      <c r="AQ336" s="1296"/>
      <c r="AR336" s="1296"/>
      <c r="AS336" s="1296"/>
      <c r="AT336" s="1296"/>
      <c r="AU336" s="1296"/>
      <c r="AV336" s="1296"/>
      <c r="AW336" s="1296"/>
      <c r="AX336" s="1296"/>
      <c r="AY336" s="1296"/>
      <c r="AZ336" s="1296"/>
      <c r="BA336" s="1296"/>
      <c r="BB336" s="1296"/>
      <c r="BC336" s="1296"/>
      <c r="BD336" s="1296"/>
      <c r="BE336" s="1296"/>
      <c r="BF336" s="1296"/>
      <c r="BG336" s="1296"/>
      <c r="BH336" s="1296"/>
      <c r="BI336" s="1296"/>
      <c r="BJ336" s="1296"/>
      <c r="BK336" s="1296"/>
      <c r="BL336" s="1296"/>
      <c r="BM336" s="1296"/>
      <c r="BN336" s="1296"/>
      <c r="BO336" s="1296"/>
      <c r="BP336" s="1296"/>
      <c r="BQ336" s="1296"/>
      <c r="BR336" s="1296"/>
      <c r="BS336" s="1296"/>
      <c r="BT336" s="1296"/>
      <c r="BU336" s="1296"/>
      <c r="BV336" s="1296"/>
      <c r="BW336" s="1296"/>
      <c r="BX336" s="1296"/>
      <c r="BY336" s="1296"/>
      <c r="BZ336" s="1296"/>
      <c r="CA336" s="1296"/>
      <c r="CB336" s="1296"/>
      <c r="CC336" s="1296"/>
      <c r="CD336" s="1296"/>
      <c r="CE336" s="1296"/>
      <c r="CF336" s="1296"/>
      <c r="CG336" s="1296"/>
      <c r="CH336" s="1296"/>
      <c r="CI336" s="1296"/>
      <c r="CJ336" s="1296"/>
      <c r="CK336" s="1296"/>
    </row>
    <row r="337" spans="1:89" ht="15.75" thickBot="1" x14ac:dyDescent="0.3">
      <c r="A337" s="1296"/>
      <c r="B337" s="1725"/>
      <c r="C337" s="1327" t="str" cm="1">
        <f t="array" aca="1" ref="C337" ca="1">IF(ISBLANK(INDIRECT("'Incentives Worksheet'!L"&amp;'Configurable Tab'!H29+6)),"",INDIRECT("'Incentives Worksheet'!L"&amp;'Configurable Tab'!H29+6))</f>
        <v/>
      </c>
      <c r="D337" s="1328" t="str" cm="1">
        <f t="array" aca="1" ref="D337" ca="1">IF(ISBLANK(INDIRECT("'Incentives Worksheet'!R"&amp;'Configurable Tab'!H29+9)),"",INDIRECT("'Incentives Worksheet'!R"&amp;'Configurable Tab'!H29+9))</f>
        <v/>
      </c>
      <c r="E337" s="1329" t="str" cm="1">
        <f t="array" aca="1" ref="E337" ca="1">IF(ISBLANK(INDIRECT("'Incentives Worksheet'!H"&amp;'Configurable Tab'!H29+9)),"",INDIRECT("'Incentives Worksheet'!H"&amp;'Configurable Tab'!H29+9))</f>
        <v/>
      </c>
      <c r="F337" s="1330" t="str" cm="1">
        <f t="array" aca="1" ref="F337" ca="1">IF(ISBLANK(INDIRECT("'Incentives Worksheet'!L"&amp;'Configurable Tab'!H29+9)),"",INDIRECT("'Incentives Worksheet'!L"&amp;'Configurable Tab'!H29+9))</f>
        <v/>
      </c>
      <c r="G337" s="1327" t="str" cm="1">
        <f t="array" aca="1" ref="G337" ca="1">IF(ISBLANK(INDIRECT("'Incentives Worksheet'!P"&amp;'Configurable Tab'!H29+9)),"",INDIRECT("'Incentives Worksheet'!P"&amp;'Configurable Tab'!H29+9))</f>
        <v/>
      </c>
      <c r="H337" s="1327" t="str" cm="1">
        <f t="array" aca="1" ref="H337" ca="1">IF(ISBLANK(INDIRECT("'Incentives Worksheet'!J"&amp;'Configurable Tab'!H29+6)),"",INDIRECT("'Incentives Worksheet'!J"&amp;'Configurable Tab'!H29+6))</f>
        <v/>
      </c>
      <c r="I337" s="256"/>
      <c r="J337" s="256"/>
      <c r="K337" s="256"/>
      <c r="L337" s="256"/>
      <c r="M337" s="256"/>
      <c r="N337" s="256"/>
      <c r="O337" s="257"/>
      <c r="P337" s="1296"/>
      <c r="Q337" s="1296"/>
      <c r="R337" s="1296"/>
      <c r="S337" s="1296"/>
      <c r="T337" s="1296"/>
      <c r="U337" s="1296"/>
      <c r="V337" s="1296"/>
      <c r="W337" s="1296"/>
      <c r="X337" s="1296"/>
      <c r="Y337" s="1296"/>
      <c r="Z337" s="1296"/>
      <c r="AA337" s="1296"/>
      <c r="AB337" s="1296"/>
      <c r="AC337" s="1296"/>
      <c r="AD337" s="1296"/>
      <c r="AE337" s="1296"/>
      <c r="AF337" s="1296"/>
      <c r="AG337" s="1296"/>
      <c r="AH337" s="1296"/>
      <c r="AI337" s="1296"/>
      <c r="AJ337" s="1296"/>
      <c r="AK337" s="1296"/>
      <c r="AL337" s="1296"/>
      <c r="AM337" s="1296"/>
      <c r="AN337" s="1296"/>
      <c r="AO337" s="1296"/>
      <c r="AP337" s="1296"/>
      <c r="AQ337" s="1296"/>
      <c r="AR337" s="1296"/>
      <c r="AS337" s="1296"/>
      <c r="AT337" s="1296"/>
      <c r="AU337" s="1296"/>
      <c r="AV337" s="1296"/>
      <c r="AW337" s="1296"/>
      <c r="AX337" s="1296"/>
      <c r="AY337" s="1296"/>
      <c r="AZ337" s="1296"/>
      <c r="BA337" s="1296"/>
      <c r="BB337" s="1296"/>
      <c r="BC337" s="1296"/>
      <c r="BD337" s="1296"/>
      <c r="BE337" s="1296"/>
      <c r="BF337" s="1296"/>
      <c r="BG337" s="1296"/>
      <c r="BH337" s="1296"/>
      <c r="BI337" s="1296"/>
      <c r="BJ337" s="1296"/>
      <c r="BK337" s="1296"/>
      <c r="BL337" s="1296"/>
      <c r="BM337" s="1296"/>
      <c r="BN337" s="1296"/>
      <c r="BO337" s="1296"/>
      <c r="BP337" s="1296"/>
      <c r="BQ337" s="1296"/>
      <c r="BR337" s="1296"/>
      <c r="BS337" s="1296"/>
      <c r="BT337" s="1296"/>
      <c r="BU337" s="1296"/>
      <c r="BV337" s="1296"/>
      <c r="BW337" s="1296"/>
      <c r="BX337" s="1296"/>
      <c r="BY337" s="1296"/>
      <c r="BZ337" s="1296"/>
      <c r="CA337" s="1296"/>
      <c r="CB337" s="1296"/>
      <c r="CC337" s="1296"/>
      <c r="CD337" s="1296"/>
      <c r="CE337" s="1296"/>
      <c r="CF337" s="1296"/>
      <c r="CG337" s="1296"/>
      <c r="CH337" s="1296"/>
      <c r="CI337" s="1296"/>
      <c r="CJ337" s="1296"/>
      <c r="CK337" s="1296"/>
    </row>
    <row r="338" spans="1:89" x14ac:dyDescent="0.25">
      <c r="A338" s="1296"/>
      <c r="B338" s="1296"/>
      <c r="C338" s="1296"/>
      <c r="D338" s="1296"/>
      <c r="E338" s="1296"/>
      <c r="F338" s="1296"/>
      <c r="G338" s="1296"/>
      <c r="H338" s="1296"/>
      <c r="I338" s="1296"/>
      <c r="J338" s="1296"/>
      <c r="K338" s="1296"/>
      <c r="L338" s="1296"/>
      <c r="M338" s="1296"/>
      <c r="N338" s="1296"/>
      <c r="O338" s="1296"/>
      <c r="P338" s="1296"/>
      <c r="Q338" s="1296"/>
      <c r="R338" s="1296"/>
      <c r="S338" s="1296"/>
      <c r="T338" s="1296"/>
      <c r="U338" s="1296"/>
      <c r="V338" s="1296"/>
      <c r="W338" s="1296"/>
      <c r="X338" s="1296"/>
      <c r="Y338" s="1296"/>
      <c r="Z338" s="1296"/>
      <c r="AA338" s="1296"/>
      <c r="AB338" s="1296"/>
      <c r="AC338" s="1296"/>
      <c r="AD338" s="1296"/>
      <c r="AE338" s="1296"/>
      <c r="AF338" s="1296"/>
      <c r="AG338" s="1296"/>
      <c r="AH338" s="1296"/>
      <c r="AI338" s="1296"/>
      <c r="AJ338" s="1296"/>
      <c r="AK338" s="1296"/>
      <c r="AL338" s="1296"/>
      <c r="AM338" s="1296"/>
      <c r="AN338" s="1296"/>
      <c r="AO338" s="1296"/>
      <c r="AP338" s="1296"/>
      <c r="AQ338" s="1296"/>
      <c r="AR338" s="1296"/>
      <c r="AS338" s="1296"/>
      <c r="AT338" s="1296"/>
      <c r="AU338" s="1296"/>
      <c r="AV338" s="1296"/>
      <c r="AW338" s="1296"/>
      <c r="AX338" s="1296"/>
      <c r="AY338" s="1296"/>
      <c r="AZ338" s="1296"/>
      <c r="BA338" s="1296"/>
      <c r="BB338" s="1296"/>
      <c r="BC338" s="1296"/>
      <c r="BD338" s="1296"/>
      <c r="BE338" s="1296"/>
      <c r="BF338" s="1296"/>
      <c r="BG338" s="1296"/>
      <c r="BH338" s="1296"/>
      <c r="BI338" s="1296"/>
      <c r="BJ338" s="1296"/>
      <c r="BK338" s="1296"/>
      <c r="BL338" s="1296"/>
      <c r="BM338" s="1296"/>
      <c r="BN338" s="1296"/>
      <c r="BO338" s="1296"/>
      <c r="BP338" s="1296"/>
      <c r="BQ338" s="1296"/>
      <c r="BR338" s="1296"/>
      <c r="BS338" s="1296"/>
      <c r="BT338" s="1296"/>
      <c r="BU338" s="1296"/>
      <c r="BV338" s="1296"/>
      <c r="BW338" s="1296"/>
      <c r="BX338" s="1296"/>
      <c r="BY338" s="1296"/>
      <c r="BZ338" s="1296"/>
      <c r="CA338" s="1296"/>
      <c r="CB338" s="1296"/>
      <c r="CC338" s="1296"/>
      <c r="CD338" s="1296"/>
      <c r="CE338" s="1296"/>
      <c r="CF338" s="1296"/>
      <c r="CG338" s="1296"/>
      <c r="CH338" s="1296"/>
      <c r="CI338" s="1296"/>
      <c r="CJ338" s="1296"/>
      <c r="CK338" s="1296"/>
    </row>
    <row r="339" spans="1:89" ht="15.75" thickBot="1" x14ac:dyDescent="0.3">
      <c r="A339" s="1296"/>
      <c r="B339" s="1296"/>
      <c r="C339" s="1296"/>
      <c r="D339" s="1296"/>
      <c r="E339" s="1296"/>
      <c r="F339" s="1296"/>
      <c r="G339" s="1296"/>
      <c r="H339" s="1296"/>
      <c r="I339" s="1296"/>
      <c r="J339" s="1296"/>
      <c r="K339" s="1296"/>
      <c r="L339" s="1296"/>
      <c r="M339" s="1296"/>
      <c r="N339" s="1296"/>
      <c r="O339" s="1296"/>
      <c r="P339" s="1296"/>
      <c r="Q339" s="1296"/>
      <c r="R339" s="1296"/>
      <c r="S339" s="1296"/>
      <c r="T339" s="1296"/>
      <c r="U339" s="1296"/>
      <c r="V339" s="1296"/>
      <c r="W339" s="1296"/>
      <c r="X339" s="1296"/>
      <c r="Y339" s="1296"/>
      <c r="Z339" s="1296"/>
      <c r="AA339" s="1296"/>
      <c r="AB339" s="1296"/>
      <c r="AC339" s="1296"/>
      <c r="AD339" s="1296"/>
      <c r="AE339" s="1296"/>
      <c r="AF339" s="1296"/>
      <c r="AG339" s="1296"/>
      <c r="AH339" s="1296"/>
      <c r="AI339" s="1296"/>
      <c r="AJ339" s="1296"/>
      <c r="AK339" s="1296"/>
      <c r="AL339" s="1296"/>
      <c r="AM339" s="1296"/>
      <c r="AN339" s="1296"/>
      <c r="AO339" s="1296"/>
      <c r="AP339" s="1296"/>
      <c r="AQ339" s="1296"/>
      <c r="AR339" s="1296"/>
      <c r="AS339" s="1296"/>
      <c r="AT339" s="1296"/>
      <c r="AU339" s="1296"/>
      <c r="AV339" s="1296"/>
      <c r="AW339" s="1296"/>
      <c r="AX339" s="1296"/>
      <c r="AY339" s="1296"/>
      <c r="AZ339" s="1296"/>
      <c r="BA339" s="1296"/>
      <c r="BB339" s="1296"/>
      <c r="BC339" s="1296"/>
      <c r="BD339" s="1296"/>
      <c r="BE339" s="1296"/>
      <c r="BF339" s="1296"/>
      <c r="BG339" s="1296"/>
      <c r="BH339" s="1296"/>
      <c r="BI339" s="1296"/>
      <c r="BJ339" s="1296"/>
      <c r="BK339" s="1296"/>
      <c r="BL339" s="1296"/>
      <c r="BM339" s="1296"/>
      <c r="BN339" s="1296"/>
      <c r="BO339" s="1296"/>
      <c r="BP339" s="1296"/>
      <c r="BQ339" s="1296"/>
      <c r="BR339" s="1296"/>
      <c r="BS339" s="1296"/>
      <c r="BT339" s="1296"/>
      <c r="BU339" s="1296"/>
      <c r="BV339" s="1296"/>
      <c r="BW339" s="1296"/>
      <c r="BX339" s="1296"/>
      <c r="BY339" s="1296"/>
      <c r="BZ339" s="1296"/>
      <c r="CA339" s="1296"/>
      <c r="CB339" s="1296"/>
      <c r="CC339" s="1296"/>
      <c r="CD339" s="1296"/>
      <c r="CE339" s="1296"/>
      <c r="CF339" s="1296"/>
      <c r="CG339" s="1296"/>
      <c r="CH339" s="1296"/>
      <c r="CI339" s="1296"/>
      <c r="CJ339" s="1296"/>
      <c r="CK339" s="1296"/>
    </row>
    <row r="340" spans="1:89" ht="30.75" thickBot="1" x14ac:dyDescent="0.3">
      <c r="A340" s="1296"/>
      <c r="B340" s="1182"/>
      <c r="C340" s="1177" t="s">
        <v>1400</v>
      </c>
      <c r="D340" s="1177" t="s">
        <v>1510</v>
      </c>
      <c r="E340" s="1177" t="s">
        <v>767</v>
      </c>
      <c r="F340" s="1177" t="s">
        <v>1515</v>
      </c>
      <c r="G340" s="1178" t="s">
        <v>1834</v>
      </c>
      <c r="H340" s="1178" t="s">
        <v>1835</v>
      </c>
      <c r="I340" s="1178" t="s">
        <v>1414</v>
      </c>
      <c r="J340" s="1178" t="s">
        <v>1398</v>
      </c>
      <c r="K340" s="1177" t="s">
        <v>1399</v>
      </c>
      <c r="L340" s="1177" t="s">
        <v>722</v>
      </c>
      <c r="M340" s="1177" t="s">
        <v>723</v>
      </c>
      <c r="N340" s="1178" t="s">
        <v>1514</v>
      </c>
      <c r="O340" s="1178" t="s">
        <v>1824</v>
      </c>
      <c r="P340" s="1296"/>
      <c r="Q340" s="1296"/>
      <c r="R340" s="1296"/>
      <c r="S340" s="1296"/>
      <c r="T340" s="1296"/>
      <c r="U340" s="1296"/>
      <c r="V340" s="1296"/>
      <c r="W340" s="1296"/>
      <c r="X340" s="1296"/>
      <c r="Y340" s="1296"/>
      <c r="Z340" s="1296"/>
      <c r="AA340" s="1296"/>
      <c r="AB340" s="1296"/>
      <c r="AC340" s="1296"/>
      <c r="AD340" s="1296"/>
      <c r="AE340" s="1296"/>
      <c r="AF340" s="1296"/>
      <c r="AG340" s="1296"/>
      <c r="AH340" s="1296"/>
      <c r="AI340" s="1296"/>
      <c r="AJ340" s="1296"/>
      <c r="AK340" s="1296"/>
      <c r="AL340" s="1296"/>
      <c r="AM340" s="1296"/>
      <c r="AN340" s="1296"/>
      <c r="AO340" s="1296"/>
      <c r="AP340" s="1296"/>
      <c r="AQ340" s="1296"/>
      <c r="AR340" s="1296"/>
      <c r="AS340" s="1296"/>
      <c r="AT340" s="1296"/>
      <c r="AU340" s="1296"/>
      <c r="AV340" s="1296"/>
      <c r="AW340" s="1296"/>
      <c r="AX340" s="1296"/>
      <c r="AY340" s="1296"/>
      <c r="AZ340" s="1296"/>
      <c r="BA340" s="1296"/>
      <c r="BB340" s="1296"/>
      <c r="BC340" s="1296"/>
      <c r="BD340" s="1296"/>
      <c r="BE340" s="1296"/>
      <c r="BF340" s="1296"/>
      <c r="BG340" s="1296"/>
      <c r="BH340" s="1296"/>
      <c r="BI340" s="1296"/>
      <c r="BJ340" s="1296"/>
      <c r="BK340" s="1296"/>
      <c r="BL340" s="1296"/>
      <c r="BM340" s="1296"/>
      <c r="BN340" s="1296"/>
      <c r="BO340" s="1296"/>
      <c r="BP340" s="1296"/>
      <c r="BQ340" s="1296"/>
      <c r="BR340" s="1296"/>
      <c r="BS340" s="1296"/>
      <c r="BT340" s="1296"/>
      <c r="BU340" s="1296"/>
      <c r="BV340" s="1296"/>
      <c r="BW340" s="1296"/>
      <c r="BX340" s="1296"/>
      <c r="BY340" s="1296"/>
      <c r="BZ340" s="1296"/>
      <c r="CA340" s="1296"/>
      <c r="CB340" s="1296"/>
      <c r="CC340" s="1296"/>
      <c r="CD340" s="1296"/>
      <c r="CE340" s="1296"/>
      <c r="CF340" s="1296"/>
      <c r="CG340" s="1296"/>
      <c r="CH340" s="1296"/>
      <c r="CI340" s="1296"/>
      <c r="CJ340" s="1296"/>
      <c r="CK340" s="1296"/>
    </row>
    <row r="341" spans="1:89" ht="60.75" thickBot="1" x14ac:dyDescent="0.3">
      <c r="A341" s="1296"/>
      <c r="B341" s="1320" t="s">
        <v>1837</v>
      </c>
      <c r="C341" s="1185" t="s">
        <v>1631</v>
      </c>
      <c r="D341" s="1313">
        <v>901</v>
      </c>
      <c r="E341" s="1298" t="s">
        <v>1631</v>
      </c>
      <c r="F341" s="1298" t="s">
        <v>1625</v>
      </c>
      <c r="G341" s="1181" t="str" cm="1">
        <f t="array" aca="1" ref="G341" ca="1">IF(ISBLANK(INDIRECT("'Incentives Worksheet'!H"&amp;'Configurable Tab'!H30+3)),"",INDIRECT("'Incentives Worksheet'!H"&amp;'Configurable Tab'!H30+3))</f>
        <v/>
      </c>
      <c r="H341" s="1181" t="str" cm="1">
        <f t="array" aca="1" ref="H341" ca="1">IF(INDIRECT("'Incentives Worksheet'!R"&amp;'Configurable Tab'!H30+3)="USF Calendar","Fiscal",INDIRECT("'Incentives Worksheet'!R"&amp;'Configurable Tab'!H30+3))</f>
        <v>Calendar</v>
      </c>
      <c r="I341" s="1181" t="str" cm="1">
        <f t="array" aca="1" ref="I341" ca="1">IF(ISBLANK(INDIRECT("'Incentives Worksheet'!L"&amp;'Configurable Tab'!H30+3)),"",INDIRECT("'Incentives Worksheet'!L"&amp;'Configurable Tab'!H30+3))</f>
        <v/>
      </c>
      <c r="J341" s="1181" t="str" cm="1">
        <f t="array" aca="1" ref="J341" ca="1">IF(ISBLANK(INDIRECT("'Incentives Worksheet'!J"&amp;'Configurable Tab'!H30+3)),"",INDIRECT("'Incentives Worksheet'!J"&amp;'Configurable Tab'!H30+3))</f>
        <v/>
      </c>
      <c r="K341" s="1181" t="str" cm="1">
        <f t="array" aca="1" ref="K341" ca="1">IF(ISBLANK(INDIRECT("'Incentives Worksheet'!N"&amp;'Configurable Tab'!H30+3)),"",INDIRECT("'Incentives Worksheet'!N"&amp;'Configurable Tab'!H30+3))</f>
        <v/>
      </c>
      <c r="L341" s="1314" t="str" cm="1">
        <f t="array" aca="1" ref="L341" ca="1">INDIRECT("'Incentives Worksheet'!D"&amp;'Configurable Tab'!H30+6)</f>
        <v/>
      </c>
      <c r="M341" s="1314" t="str" cm="1">
        <f t="array" aca="1" ref="M341" ca="1">INDIRECT("'Incentives Worksheet'!D"&amp;'Configurable Tab'!H30+8)</f>
        <v/>
      </c>
      <c r="N341" s="1181" t="str" cm="1">
        <f t="array" aca="1" ref="N341" ca="1">INDIRECT("'Incentives Worksheet'!D"&amp;'Configurable Tab'!H30+10)</f>
        <v>Yes</v>
      </c>
      <c r="O341" s="1346" t="s">
        <v>1891</v>
      </c>
      <c r="P341" s="1296"/>
      <c r="Q341" s="1296"/>
      <c r="R341" s="1296"/>
      <c r="S341" s="1296"/>
      <c r="T341" s="1296"/>
      <c r="U341" s="1296"/>
      <c r="V341" s="1296"/>
      <c r="W341" s="1296"/>
      <c r="X341" s="1296"/>
      <c r="Y341" s="1296"/>
      <c r="Z341" s="1296"/>
      <c r="AA341" s="1296"/>
      <c r="AB341" s="1296"/>
      <c r="AC341" s="1296"/>
      <c r="AD341" s="1296"/>
      <c r="AE341" s="1296"/>
      <c r="AF341" s="1296"/>
      <c r="AG341" s="1296"/>
      <c r="AH341" s="1296"/>
      <c r="AI341" s="1296"/>
      <c r="AJ341" s="1296"/>
      <c r="AK341" s="1296"/>
      <c r="AL341" s="1296"/>
      <c r="AM341" s="1296"/>
      <c r="AN341" s="1296"/>
      <c r="AO341" s="1296"/>
      <c r="AP341" s="1296"/>
      <c r="AQ341" s="1296"/>
      <c r="AR341" s="1296"/>
      <c r="AS341" s="1296"/>
      <c r="AT341" s="1296"/>
      <c r="AU341" s="1296"/>
      <c r="AV341" s="1296"/>
      <c r="AW341" s="1296"/>
      <c r="AX341" s="1296"/>
      <c r="AY341" s="1296"/>
      <c r="AZ341" s="1296"/>
      <c r="BA341" s="1296"/>
      <c r="BB341" s="1296"/>
      <c r="BC341" s="1296"/>
      <c r="BD341" s="1296"/>
      <c r="BE341" s="1296"/>
      <c r="BF341" s="1296"/>
      <c r="BG341" s="1296"/>
      <c r="BH341" s="1296"/>
      <c r="BI341" s="1296"/>
      <c r="BJ341" s="1296"/>
      <c r="BK341" s="1296"/>
      <c r="BL341" s="1296"/>
      <c r="BM341" s="1296"/>
      <c r="BN341" s="1296"/>
      <c r="BO341" s="1296"/>
      <c r="BP341" s="1296"/>
      <c r="BQ341" s="1296"/>
      <c r="BR341" s="1296"/>
      <c r="BS341" s="1296"/>
      <c r="BT341" s="1296"/>
      <c r="BU341" s="1296"/>
      <c r="BV341" s="1296"/>
      <c r="BW341" s="1296"/>
      <c r="BX341" s="1296"/>
      <c r="BY341" s="1296"/>
      <c r="BZ341" s="1296"/>
      <c r="CA341" s="1296"/>
      <c r="CB341" s="1296"/>
      <c r="CC341" s="1296"/>
      <c r="CD341" s="1296"/>
      <c r="CE341" s="1296"/>
      <c r="CF341" s="1296"/>
      <c r="CG341" s="1296"/>
      <c r="CH341" s="1296"/>
      <c r="CI341" s="1296"/>
      <c r="CJ341" s="1296"/>
      <c r="CK341" s="1296"/>
    </row>
    <row r="342" spans="1:89" ht="45.75" thickBot="1" x14ac:dyDescent="0.3">
      <c r="A342" s="1296"/>
      <c r="B342" s="1719" t="s">
        <v>1885</v>
      </c>
      <c r="C342" s="1210" t="s">
        <v>1886</v>
      </c>
      <c r="D342" s="1177" t="s">
        <v>1887</v>
      </c>
      <c r="E342" s="1178" t="s">
        <v>728</v>
      </c>
      <c r="F342" s="1177" t="s">
        <v>1888</v>
      </c>
      <c r="G342" s="1177" t="s">
        <v>1892</v>
      </c>
      <c r="H342" s="1296"/>
      <c r="I342" s="1296"/>
      <c r="J342" s="1296"/>
      <c r="K342" s="1296"/>
      <c r="L342" s="1296"/>
      <c r="M342" s="1296"/>
      <c r="N342" s="1296"/>
      <c r="O342" s="138"/>
      <c r="P342" s="1296"/>
      <c r="Q342" s="1296"/>
      <c r="R342" s="1296"/>
      <c r="S342" s="1296"/>
      <c r="T342" s="1296"/>
      <c r="U342" s="1296"/>
      <c r="V342" s="1296"/>
      <c r="W342" s="1296"/>
      <c r="X342" s="1296"/>
      <c r="Y342" s="1296"/>
      <c r="Z342" s="1296"/>
      <c r="AA342" s="1296"/>
      <c r="AB342" s="1296"/>
      <c r="AC342" s="1296"/>
      <c r="AD342" s="1296"/>
      <c r="AE342" s="1296"/>
      <c r="AF342" s="1296"/>
      <c r="AG342" s="1296"/>
      <c r="AH342" s="1296"/>
      <c r="AI342" s="1296"/>
      <c r="AJ342" s="1296"/>
      <c r="AK342" s="1296"/>
      <c r="AL342" s="1296"/>
      <c r="AM342" s="1296"/>
      <c r="AN342" s="1296"/>
      <c r="AO342" s="1296"/>
      <c r="AP342" s="1296"/>
      <c r="AQ342" s="1296"/>
      <c r="AR342" s="1296"/>
      <c r="AS342" s="1296"/>
      <c r="AT342" s="1296"/>
      <c r="AU342" s="1296"/>
      <c r="AV342" s="1296"/>
      <c r="AW342" s="1296"/>
      <c r="AX342" s="1296"/>
      <c r="AY342" s="1296"/>
      <c r="AZ342" s="1296"/>
      <c r="BA342" s="1296"/>
      <c r="BB342" s="1296"/>
      <c r="BC342" s="1296"/>
      <c r="BD342" s="1296"/>
      <c r="BE342" s="1296"/>
      <c r="BF342" s="1296"/>
      <c r="BG342" s="1296"/>
      <c r="BH342" s="1296"/>
      <c r="BI342" s="1296"/>
      <c r="BJ342" s="1296"/>
      <c r="BK342" s="1296"/>
      <c r="BL342" s="1296"/>
      <c r="BM342" s="1296"/>
      <c r="BN342" s="1296"/>
      <c r="BO342" s="1296"/>
      <c r="BP342" s="1296"/>
      <c r="BQ342" s="1296"/>
      <c r="BR342" s="1296"/>
      <c r="BS342" s="1296"/>
      <c r="BT342" s="1296"/>
      <c r="BU342" s="1296"/>
      <c r="BV342" s="1296"/>
      <c r="BW342" s="1296"/>
      <c r="BX342" s="1296"/>
      <c r="BY342" s="1296"/>
      <c r="BZ342" s="1296"/>
      <c r="CA342" s="1296"/>
      <c r="CB342" s="1296"/>
      <c r="CC342" s="1296"/>
      <c r="CD342" s="1296"/>
      <c r="CE342" s="1296"/>
      <c r="CF342" s="1296"/>
      <c r="CG342" s="1296"/>
      <c r="CH342" s="1296"/>
      <c r="CI342" s="1296"/>
      <c r="CJ342" s="1296"/>
      <c r="CK342" s="1296"/>
    </row>
    <row r="343" spans="1:89" ht="15.75" thickBot="1" x14ac:dyDescent="0.3">
      <c r="A343" s="1296"/>
      <c r="B343" s="1725"/>
      <c r="C343" s="1246" t="str" cm="1">
        <f t="array" aca="1" ref="C343" ca="1">INDIRECT("'Incentives Worksheet'!R"&amp;'Configurable Tab'!H30+6)</f>
        <v>Pre Pay</v>
      </c>
      <c r="D343" s="1246" t="str" cm="1">
        <f t="array" aca="1" ref="D343" ca="1">INDIRECT("'Incentives Worksheet'!T"&amp;'Configurable Tab'!H30+6)</f>
        <v>Sales</v>
      </c>
      <c r="E343" s="1279" t="str" cm="1">
        <f t="array" aca="1" ref="E343" ca="1">IF(INDIRECT("'Incentives Worksheet'!H"&amp;'Configurable Tab'!H30+6)=0,"",INDIRECT("'Incentives Worksheet'!H"&amp;'Configurable Tab'!H30+6))</f>
        <v/>
      </c>
      <c r="F343" s="1246" t="s">
        <v>1138</v>
      </c>
      <c r="G343" s="1279" t="str">
        <f>IFERROR(IF('Tracking &amp; Profitability'!E6*'Tracking &amp; Profitability'!E5=0,"",'Tracking &amp; Profitability'!E6*'Tracking &amp; Profitability'!E5),"")</f>
        <v/>
      </c>
      <c r="H343" s="1296"/>
      <c r="I343" s="1296"/>
      <c r="J343" s="1296"/>
      <c r="K343" s="1296"/>
      <c r="L343" s="1296"/>
      <c r="M343" s="1296"/>
      <c r="N343" s="1296"/>
      <c r="O343" s="138"/>
      <c r="P343" s="1296"/>
      <c r="Q343" s="1296"/>
      <c r="R343" s="1296"/>
      <c r="S343" s="1296"/>
      <c r="T343" s="1296"/>
      <c r="U343" s="1296"/>
      <c r="V343" s="1296"/>
      <c r="W343" s="1296"/>
      <c r="X343" s="1296"/>
      <c r="Y343" s="1296"/>
      <c r="Z343" s="1296"/>
      <c r="AA343" s="1296"/>
      <c r="AB343" s="1296"/>
      <c r="AC343" s="1296"/>
      <c r="AD343" s="1296"/>
      <c r="AE343" s="1296"/>
      <c r="AF343" s="1296"/>
      <c r="AG343" s="1296"/>
      <c r="AH343" s="1296"/>
      <c r="AI343" s="1296"/>
      <c r="AJ343" s="1296"/>
      <c r="AK343" s="1296"/>
      <c r="AL343" s="1296"/>
      <c r="AM343" s="1296"/>
      <c r="AN343" s="1296"/>
      <c r="AO343" s="1296"/>
      <c r="AP343" s="1296"/>
      <c r="AQ343" s="1296"/>
      <c r="AR343" s="1296"/>
      <c r="AS343" s="1296"/>
      <c r="AT343" s="1296"/>
      <c r="AU343" s="1296"/>
      <c r="AV343" s="1296"/>
      <c r="AW343" s="1296"/>
      <c r="AX343" s="1296"/>
      <c r="AY343" s="1296"/>
      <c r="AZ343" s="1296"/>
      <c r="BA343" s="1296"/>
      <c r="BB343" s="1296"/>
      <c r="BC343" s="1296"/>
      <c r="BD343" s="1296"/>
      <c r="BE343" s="1296"/>
      <c r="BF343" s="1296"/>
      <c r="BG343" s="1296"/>
      <c r="BH343" s="1296"/>
      <c r="BI343" s="1296"/>
      <c r="BJ343" s="1296"/>
      <c r="BK343" s="1296"/>
      <c r="BL343" s="1296"/>
      <c r="BM343" s="1296"/>
      <c r="BN343" s="1296"/>
      <c r="BO343" s="1296"/>
      <c r="BP343" s="1296"/>
      <c r="BQ343" s="1296"/>
      <c r="BR343" s="1296"/>
      <c r="BS343" s="1296"/>
      <c r="BT343" s="1296"/>
      <c r="BU343" s="1296"/>
      <c r="BV343" s="1296"/>
      <c r="BW343" s="1296"/>
      <c r="BX343" s="1296"/>
      <c r="BY343" s="1296"/>
      <c r="BZ343" s="1296"/>
      <c r="CA343" s="1296"/>
      <c r="CB343" s="1296"/>
      <c r="CC343" s="1296"/>
      <c r="CD343" s="1296"/>
      <c r="CE343" s="1296"/>
      <c r="CF343" s="1296"/>
      <c r="CG343" s="1296"/>
      <c r="CH343" s="1296"/>
      <c r="CI343" s="1296"/>
      <c r="CJ343" s="1296"/>
      <c r="CK343" s="1296"/>
    </row>
    <row r="344" spans="1:89" ht="15.75" thickBot="1" x14ac:dyDescent="0.3">
      <c r="A344" s="1296"/>
      <c r="B344" s="1719" t="s">
        <v>1852</v>
      </c>
      <c r="C344" s="1258" t="s">
        <v>1853</v>
      </c>
      <c r="D344" s="1200" t="s">
        <v>1843</v>
      </c>
      <c r="E344" s="1200" t="s">
        <v>131</v>
      </c>
      <c r="F344" s="1200" t="s">
        <v>1844</v>
      </c>
      <c r="G344" s="1200" t="s">
        <v>1854</v>
      </c>
      <c r="H344" s="1201" t="s">
        <v>1855</v>
      </c>
      <c r="I344" s="1202" t="s">
        <v>767</v>
      </c>
      <c r="J344" s="1202" t="s">
        <v>768</v>
      </c>
      <c r="K344" s="1202" t="s">
        <v>769</v>
      </c>
      <c r="L344" s="1202" t="s">
        <v>770</v>
      </c>
      <c r="M344" s="1202" t="s">
        <v>204</v>
      </c>
      <c r="N344" s="1296"/>
      <c r="O344" s="138"/>
      <c r="P344" s="1296"/>
      <c r="Q344" s="1296"/>
      <c r="R344" s="1296"/>
      <c r="S344" s="1296"/>
      <c r="T344" s="1296"/>
      <c r="U344" s="1296"/>
      <c r="V344" s="1296"/>
      <c r="W344" s="1296"/>
      <c r="X344" s="1296"/>
      <c r="Y344" s="1296"/>
      <c r="Z344" s="1296"/>
      <c r="AA344" s="1296"/>
      <c r="AB344" s="1296"/>
      <c r="AC344" s="1296"/>
      <c r="AD344" s="1296"/>
      <c r="AE344" s="1296"/>
      <c r="AF344" s="1296"/>
      <c r="AG344" s="1296"/>
      <c r="AH344" s="1296"/>
      <c r="AI344" s="1296"/>
      <c r="AJ344" s="1296"/>
      <c r="AK344" s="1296"/>
      <c r="AL344" s="1296"/>
      <c r="AM344" s="1296"/>
      <c r="AN344" s="1296"/>
      <c r="AO344" s="1296"/>
      <c r="AP344" s="1296"/>
      <c r="AQ344" s="1296"/>
      <c r="AR344" s="1296"/>
      <c r="AS344" s="1296"/>
      <c r="AT344" s="1296"/>
      <c r="AU344" s="1296"/>
      <c r="AV344" s="1296"/>
      <c r="AW344" s="1296"/>
      <c r="AX344" s="1296"/>
      <c r="AY344" s="1296"/>
      <c r="AZ344" s="1296"/>
      <c r="BA344" s="1296"/>
      <c r="BB344" s="1296"/>
      <c r="BC344" s="1296"/>
      <c r="BD344" s="1296"/>
      <c r="BE344" s="1296"/>
      <c r="BF344" s="1296"/>
      <c r="BG344" s="1296"/>
      <c r="BH344" s="1296"/>
      <c r="BI344" s="1296"/>
      <c r="BJ344" s="1296"/>
      <c r="BK344" s="1296"/>
      <c r="BL344" s="1296"/>
      <c r="BM344" s="1296"/>
      <c r="BN344" s="1296"/>
      <c r="BO344" s="1296"/>
      <c r="BP344" s="1296"/>
      <c r="BQ344" s="1296"/>
      <c r="BR344" s="1296"/>
      <c r="BS344" s="1296"/>
      <c r="BT344" s="1296"/>
      <c r="BU344" s="1296"/>
      <c r="BV344" s="1296"/>
      <c r="BW344" s="1296"/>
      <c r="BX344" s="1296"/>
      <c r="BY344" s="1296"/>
      <c r="BZ344" s="1296"/>
      <c r="CA344" s="1296"/>
      <c r="CB344" s="1296"/>
      <c r="CC344" s="1296"/>
      <c r="CD344" s="1296"/>
      <c r="CE344" s="1296"/>
      <c r="CF344" s="1296"/>
      <c r="CG344" s="1296"/>
      <c r="CH344" s="1296"/>
      <c r="CI344" s="1296"/>
      <c r="CJ344" s="1296"/>
      <c r="CK344" s="1296"/>
    </row>
    <row r="345" spans="1:89" x14ac:dyDescent="0.25">
      <c r="A345" s="1296"/>
      <c r="B345" s="1721"/>
      <c r="C345" s="1199">
        <v>1</v>
      </c>
      <c r="D345" s="1196" t="s">
        <v>1856</v>
      </c>
      <c r="E345" s="1196" t="s">
        <v>1444</v>
      </c>
      <c r="F345" s="1281" t="str">
        <f>'Required Info to Submit'!E23</f>
        <v/>
      </c>
      <c r="G345" s="1403" t="str">
        <f>IF(F345="","",'Required Info to Submit'!K23)</f>
        <v/>
      </c>
      <c r="H345" s="1404" t="str">
        <f>IF(F345="","",'Required Info to Submit'!L23)</f>
        <v/>
      </c>
      <c r="I345" s="1281" t="str">
        <f>'Required Info to Submit'!F23</f>
        <v/>
      </c>
      <c r="J345" s="1281" t="str">
        <f>'Required Info to Submit'!G23</f>
        <v/>
      </c>
      <c r="K345" s="1281" t="str">
        <f>'Required Info to Submit'!H23</f>
        <v/>
      </c>
      <c r="L345" s="1281" t="str">
        <f>'Required Info to Submit'!I23</f>
        <v/>
      </c>
      <c r="M345" s="1281" t="str">
        <f>'Required Info to Submit'!J23</f>
        <v/>
      </c>
      <c r="N345" s="1296"/>
      <c r="O345" s="138"/>
      <c r="P345" s="1296"/>
      <c r="Q345" s="1296"/>
      <c r="R345" s="1296"/>
      <c r="S345" s="1296"/>
      <c r="T345" s="1296"/>
      <c r="U345" s="1296"/>
      <c r="V345" s="1296"/>
      <c r="W345" s="1296"/>
      <c r="X345" s="1296"/>
      <c r="Y345" s="1296"/>
      <c r="Z345" s="1296"/>
      <c r="AA345" s="1296"/>
      <c r="AB345" s="1296"/>
      <c r="AC345" s="1296"/>
      <c r="AD345" s="1296"/>
      <c r="AE345" s="1296"/>
      <c r="AF345" s="1296"/>
      <c r="AG345" s="1296"/>
      <c r="AH345" s="1296"/>
      <c r="AI345" s="1296"/>
      <c r="AJ345" s="1296"/>
      <c r="AK345" s="1296"/>
      <c r="AL345" s="1296"/>
      <c r="AM345" s="1296"/>
      <c r="AN345" s="1296"/>
      <c r="AO345" s="1296"/>
      <c r="AP345" s="1296"/>
      <c r="AQ345" s="1296"/>
      <c r="AR345" s="1296"/>
      <c r="AS345" s="1296"/>
      <c r="AT345" s="1296"/>
      <c r="AU345" s="1296"/>
      <c r="AV345" s="1296"/>
      <c r="AW345" s="1296"/>
      <c r="AX345" s="1296"/>
      <c r="AY345" s="1296"/>
      <c r="AZ345" s="1296"/>
      <c r="BA345" s="1296"/>
      <c r="BB345" s="1296"/>
      <c r="BC345" s="1296"/>
      <c r="BD345" s="1296"/>
      <c r="BE345" s="1296"/>
      <c r="BF345" s="1296"/>
      <c r="BG345" s="1296"/>
      <c r="BH345" s="1296"/>
      <c r="BI345" s="1296"/>
      <c r="BJ345" s="1296"/>
      <c r="BK345" s="1296"/>
      <c r="BL345" s="1296"/>
      <c r="BM345" s="1296"/>
      <c r="BN345" s="1296"/>
      <c r="BO345" s="1296"/>
      <c r="BP345" s="1296"/>
      <c r="BQ345" s="1296"/>
      <c r="BR345" s="1296"/>
      <c r="BS345" s="1296"/>
      <c r="BT345" s="1296"/>
      <c r="BU345" s="1296"/>
      <c r="BV345" s="1296"/>
      <c r="BW345" s="1296"/>
      <c r="BX345" s="1296"/>
      <c r="BY345" s="1296"/>
      <c r="BZ345" s="1296"/>
      <c r="CA345" s="1296"/>
      <c r="CB345" s="1296"/>
      <c r="CC345" s="1296"/>
      <c r="CD345" s="1296"/>
      <c r="CE345" s="1296"/>
      <c r="CF345" s="1296"/>
      <c r="CG345" s="1296"/>
      <c r="CH345" s="1296"/>
      <c r="CI345" s="1296"/>
      <c r="CJ345" s="1296"/>
      <c r="CK345" s="1296"/>
    </row>
    <row r="346" spans="1:89" x14ac:dyDescent="0.25">
      <c r="A346" s="1296"/>
      <c r="B346" s="1721"/>
      <c r="C346" s="1205">
        <v>2</v>
      </c>
      <c r="D346" s="1196" t="s">
        <v>1856</v>
      </c>
      <c r="E346" s="1196" t="s">
        <v>1444</v>
      </c>
      <c r="F346" s="1281" t="str">
        <f>'Required Info to Submit'!E24</f>
        <v/>
      </c>
      <c r="G346" s="1403" t="str">
        <f>IF(F346="","",'Required Info to Submit'!K24)</f>
        <v/>
      </c>
      <c r="H346" s="1404" t="str">
        <f>IF(F346="","",'Required Info to Submit'!L24)</f>
        <v/>
      </c>
      <c r="I346" s="1281" t="str">
        <f>'Required Info to Submit'!F24</f>
        <v/>
      </c>
      <c r="J346" s="1281" t="str">
        <f>'Required Info to Submit'!G24</f>
        <v/>
      </c>
      <c r="K346" s="1281" t="str">
        <f>'Required Info to Submit'!H24</f>
        <v/>
      </c>
      <c r="L346" s="1281" t="str">
        <f>'Required Info to Submit'!I24</f>
        <v/>
      </c>
      <c r="M346" s="1281" t="str">
        <f>'Required Info to Submit'!J24</f>
        <v/>
      </c>
      <c r="N346" s="1296"/>
      <c r="O346" s="138"/>
      <c r="P346" s="1296"/>
      <c r="Q346" s="1296"/>
      <c r="R346" s="1296"/>
      <c r="S346" s="1296"/>
      <c r="T346" s="1296"/>
      <c r="U346" s="1296"/>
      <c r="V346" s="1296"/>
      <c r="W346" s="1296"/>
      <c r="X346" s="1296"/>
      <c r="Y346" s="1296"/>
      <c r="Z346" s="1296"/>
      <c r="AA346" s="1296"/>
      <c r="AB346" s="1296"/>
      <c r="AC346" s="1296"/>
      <c r="AD346" s="1296"/>
      <c r="AE346" s="1296"/>
      <c r="AF346" s="1296"/>
      <c r="AG346" s="1296"/>
      <c r="AH346" s="1296"/>
      <c r="AI346" s="1296"/>
      <c r="AJ346" s="1296"/>
      <c r="AK346" s="1296"/>
      <c r="AL346" s="1296"/>
      <c r="AM346" s="1296"/>
      <c r="AN346" s="1296"/>
      <c r="AO346" s="1296"/>
      <c r="AP346" s="1296"/>
      <c r="AQ346" s="1296"/>
      <c r="AR346" s="1296"/>
      <c r="AS346" s="1296"/>
      <c r="AT346" s="1296"/>
      <c r="AU346" s="1296"/>
      <c r="AV346" s="1296"/>
      <c r="AW346" s="1296"/>
      <c r="AX346" s="1296"/>
      <c r="AY346" s="1296"/>
      <c r="AZ346" s="1296"/>
      <c r="BA346" s="1296"/>
      <c r="BB346" s="1296"/>
      <c r="BC346" s="1296"/>
      <c r="BD346" s="1296"/>
      <c r="BE346" s="1296"/>
      <c r="BF346" s="1296"/>
      <c r="BG346" s="1296"/>
      <c r="BH346" s="1296"/>
      <c r="BI346" s="1296"/>
      <c r="BJ346" s="1296"/>
      <c r="BK346" s="1296"/>
      <c r="BL346" s="1296"/>
      <c r="BM346" s="1296"/>
      <c r="BN346" s="1296"/>
      <c r="BO346" s="1296"/>
      <c r="BP346" s="1296"/>
      <c r="BQ346" s="1296"/>
      <c r="BR346" s="1296"/>
      <c r="BS346" s="1296"/>
      <c r="BT346" s="1296"/>
      <c r="BU346" s="1296"/>
      <c r="BV346" s="1296"/>
      <c r="BW346" s="1296"/>
      <c r="BX346" s="1296"/>
      <c r="BY346" s="1296"/>
      <c r="BZ346" s="1296"/>
      <c r="CA346" s="1296"/>
      <c r="CB346" s="1296"/>
      <c r="CC346" s="1296"/>
      <c r="CD346" s="1296"/>
      <c r="CE346" s="1296"/>
      <c r="CF346" s="1296"/>
      <c r="CG346" s="1296"/>
      <c r="CH346" s="1296"/>
      <c r="CI346" s="1296"/>
      <c r="CJ346" s="1296"/>
      <c r="CK346" s="1296"/>
    </row>
    <row r="347" spans="1:89" x14ac:dyDescent="0.25">
      <c r="A347" s="1296"/>
      <c r="B347" s="1721"/>
      <c r="C347" s="1205">
        <v>3</v>
      </c>
      <c r="D347" s="1196" t="s">
        <v>1856</v>
      </c>
      <c r="E347" s="1196" t="s">
        <v>1444</v>
      </c>
      <c r="F347" s="1281" t="str">
        <f>'Required Info to Submit'!E25</f>
        <v/>
      </c>
      <c r="G347" s="1403" t="str">
        <f>IF(F347="","",'Required Info to Submit'!K25)</f>
        <v/>
      </c>
      <c r="H347" s="1404" t="str">
        <f>IF(F347="","",'Required Info to Submit'!L25)</f>
        <v/>
      </c>
      <c r="I347" s="1281" t="str">
        <f>'Required Info to Submit'!F25</f>
        <v/>
      </c>
      <c r="J347" s="1281" t="str">
        <f>'Required Info to Submit'!G25</f>
        <v/>
      </c>
      <c r="K347" s="1281" t="str">
        <f>'Required Info to Submit'!H25</f>
        <v/>
      </c>
      <c r="L347" s="1281" t="str">
        <f>'Required Info to Submit'!I25</f>
        <v/>
      </c>
      <c r="M347" s="1281" t="str">
        <f>'Required Info to Submit'!J25</f>
        <v/>
      </c>
      <c r="N347" s="1296"/>
      <c r="O347" s="138"/>
      <c r="P347" s="1296"/>
      <c r="Q347" s="1296"/>
      <c r="R347" s="1296"/>
      <c r="S347" s="1296"/>
      <c r="T347" s="1296"/>
      <c r="U347" s="1296"/>
      <c r="V347" s="1296"/>
      <c r="W347" s="1296"/>
      <c r="X347" s="1296"/>
      <c r="Y347" s="1296"/>
      <c r="Z347" s="1296"/>
      <c r="AA347" s="1296"/>
      <c r="AB347" s="1296"/>
      <c r="AC347" s="1296"/>
      <c r="AD347" s="1296"/>
      <c r="AE347" s="1296"/>
      <c r="AF347" s="1296"/>
      <c r="AG347" s="1296"/>
      <c r="AH347" s="1296"/>
      <c r="AI347" s="1296"/>
      <c r="AJ347" s="1296"/>
      <c r="AK347" s="1296"/>
      <c r="AL347" s="1296"/>
      <c r="AM347" s="1296"/>
      <c r="AN347" s="1296"/>
      <c r="AO347" s="1296"/>
      <c r="AP347" s="1296"/>
      <c r="AQ347" s="1296"/>
      <c r="AR347" s="1296"/>
      <c r="AS347" s="1296"/>
      <c r="AT347" s="1296"/>
      <c r="AU347" s="1296"/>
      <c r="AV347" s="1296"/>
      <c r="AW347" s="1296"/>
      <c r="AX347" s="1296"/>
      <c r="AY347" s="1296"/>
      <c r="AZ347" s="1296"/>
      <c r="BA347" s="1296"/>
      <c r="BB347" s="1296"/>
      <c r="BC347" s="1296"/>
      <c r="BD347" s="1296"/>
      <c r="BE347" s="1296"/>
      <c r="BF347" s="1296"/>
      <c r="BG347" s="1296"/>
      <c r="BH347" s="1296"/>
      <c r="BI347" s="1296"/>
      <c r="BJ347" s="1296"/>
      <c r="BK347" s="1296"/>
      <c r="BL347" s="1296"/>
      <c r="BM347" s="1296"/>
      <c r="BN347" s="1296"/>
      <c r="BO347" s="1296"/>
      <c r="BP347" s="1296"/>
      <c r="BQ347" s="1296"/>
      <c r="BR347" s="1296"/>
      <c r="BS347" s="1296"/>
      <c r="BT347" s="1296"/>
      <c r="BU347" s="1296"/>
      <c r="BV347" s="1296"/>
      <c r="BW347" s="1296"/>
      <c r="BX347" s="1296"/>
      <c r="BY347" s="1296"/>
      <c r="BZ347" s="1296"/>
      <c r="CA347" s="1296"/>
      <c r="CB347" s="1296"/>
      <c r="CC347" s="1296"/>
      <c r="CD347" s="1296"/>
      <c r="CE347" s="1296"/>
      <c r="CF347" s="1296"/>
      <c r="CG347" s="1296"/>
      <c r="CH347" s="1296"/>
      <c r="CI347" s="1296"/>
      <c r="CJ347" s="1296"/>
      <c r="CK347" s="1296"/>
    </row>
    <row r="348" spans="1:89" x14ac:dyDescent="0.25">
      <c r="A348" s="1296"/>
      <c r="B348" s="1721"/>
      <c r="C348" s="1205">
        <v>4</v>
      </c>
      <c r="D348" s="1196" t="s">
        <v>1856</v>
      </c>
      <c r="E348" s="1196" t="s">
        <v>1444</v>
      </c>
      <c r="F348" s="1281" t="str">
        <f>'Required Info to Submit'!E26</f>
        <v/>
      </c>
      <c r="G348" s="1403" t="str">
        <f>IF(F348="","",'Required Info to Submit'!K26)</f>
        <v/>
      </c>
      <c r="H348" s="1404" t="str">
        <f>IF(F348="","",'Required Info to Submit'!L26)</f>
        <v/>
      </c>
      <c r="I348" s="1281" t="str">
        <f>'Required Info to Submit'!F26</f>
        <v/>
      </c>
      <c r="J348" s="1281" t="str">
        <f>'Required Info to Submit'!G26</f>
        <v/>
      </c>
      <c r="K348" s="1281" t="str">
        <f>'Required Info to Submit'!H26</f>
        <v/>
      </c>
      <c r="L348" s="1281" t="str">
        <f>'Required Info to Submit'!I26</f>
        <v/>
      </c>
      <c r="M348" s="1281" t="str">
        <f>'Required Info to Submit'!J26</f>
        <v/>
      </c>
      <c r="N348" s="1296"/>
      <c r="O348" s="138"/>
      <c r="P348" s="1296"/>
      <c r="Q348" s="1296"/>
      <c r="R348" s="1296"/>
      <c r="S348" s="1296"/>
      <c r="T348" s="1296"/>
      <c r="U348" s="1296"/>
      <c r="V348" s="1296"/>
      <c r="W348" s="1296"/>
      <c r="X348" s="1296"/>
      <c r="Y348" s="1296"/>
      <c r="Z348" s="1296"/>
      <c r="AA348" s="1296"/>
      <c r="AB348" s="1296"/>
      <c r="AC348" s="1296"/>
      <c r="AD348" s="1296"/>
      <c r="AE348" s="1296"/>
      <c r="AF348" s="1296"/>
      <c r="AG348" s="1296"/>
      <c r="AH348" s="1296"/>
      <c r="AI348" s="1296"/>
      <c r="AJ348" s="1296"/>
      <c r="AK348" s="1296"/>
      <c r="AL348" s="1296"/>
      <c r="AM348" s="1296"/>
      <c r="AN348" s="1296"/>
      <c r="AO348" s="1296"/>
      <c r="AP348" s="1296"/>
      <c r="AQ348" s="1296"/>
      <c r="AR348" s="1296"/>
      <c r="AS348" s="1296"/>
      <c r="AT348" s="1296"/>
      <c r="AU348" s="1296"/>
      <c r="AV348" s="1296"/>
      <c r="AW348" s="1296"/>
      <c r="AX348" s="1296"/>
      <c r="AY348" s="1296"/>
      <c r="AZ348" s="1296"/>
      <c r="BA348" s="1296"/>
      <c r="BB348" s="1296"/>
      <c r="BC348" s="1296"/>
      <c r="BD348" s="1296"/>
      <c r="BE348" s="1296"/>
      <c r="BF348" s="1296"/>
      <c r="BG348" s="1296"/>
      <c r="BH348" s="1296"/>
      <c r="BI348" s="1296"/>
      <c r="BJ348" s="1296"/>
      <c r="BK348" s="1296"/>
      <c r="BL348" s="1296"/>
      <c r="BM348" s="1296"/>
      <c r="BN348" s="1296"/>
      <c r="BO348" s="1296"/>
      <c r="BP348" s="1296"/>
      <c r="BQ348" s="1296"/>
      <c r="BR348" s="1296"/>
      <c r="BS348" s="1296"/>
      <c r="BT348" s="1296"/>
      <c r="BU348" s="1296"/>
      <c r="BV348" s="1296"/>
      <c r="BW348" s="1296"/>
      <c r="BX348" s="1296"/>
      <c r="BY348" s="1296"/>
      <c r="BZ348" s="1296"/>
      <c r="CA348" s="1296"/>
      <c r="CB348" s="1296"/>
      <c r="CC348" s="1296"/>
      <c r="CD348" s="1296"/>
      <c r="CE348" s="1296"/>
      <c r="CF348" s="1296"/>
      <c r="CG348" s="1296"/>
      <c r="CH348" s="1296"/>
      <c r="CI348" s="1296"/>
      <c r="CJ348" s="1296"/>
      <c r="CK348" s="1296"/>
    </row>
    <row r="349" spans="1:89" x14ac:dyDescent="0.25">
      <c r="A349" s="1296"/>
      <c r="B349" s="1721"/>
      <c r="C349" s="1205">
        <v>5</v>
      </c>
      <c r="D349" s="1196" t="s">
        <v>1856</v>
      </c>
      <c r="E349" s="1196" t="s">
        <v>1444</v>
      </c>
      <c r="F349" s="1281" t="str">
        <f>'Required Info to Submit'!E27</f>
        <v/>
      </c>
      <c r="G349" s="1403" t="str">
        <f>IF(F349="","",'Required Info to Submit'!K27)</f>
        <v/>
      </c>
      <c r="H349" s="1404" t="str">
        <f>IF(F349="","",'Required Info to Submit'!L27)</f>
        <v/>
      </c>
      <c r="I349" s="1281" t="str">
        <f>'Required Info to Submit'!F27</f>
        <v/>
      </c>
      <c r="J349" s="1281" t="str">
        <f>'Required Info to Submit'!G27</f>
        <v/>
      </c>
      <c r="K349" s="1281" t="str">
        <f>'Required Info to Submit'!H27</f>
        <v/>
      </c>
      <c r="L349" s="1281" t="str">
        <f>'Required Info to Submit'!I27</f>
        <v/>
      </c>
      <c r="M349" s="1281" t="str">
        <f>'Required Info to Submit'!J27</f>
        <v/>
      </c>
      <c r="N349" s="1296"/>
      <c r="O349" s="138"/>
      <c r="P349" s="1296"/>
      <c r="Q349" s="1296"/>
      <c r="R349" s="1296"/>
      <c r="S349" s="1296"/>
      <c r="T349" s="1296"/>
      <c r="U349" s="1296"/>
      <c r="V349" s="1296"/>
      <c r="W349" s="1296"/>
      <c r="X349" s="1296"/>
      <c r="Y349" s="1296"/>
      <c r="Z349" s="1296"/>
      <c r="AA349" s="1296"/>
      <c r="AB349" s="1296"/>
      <c r="AC349" s="1296"/>
      <c r="AD349" s="1296"/>
      <c r="AE349" s="1296"/>
      <c r="AF349" s="1296"/>
      <c r="AG349" s="1296"/>
      <c r="AH349" s="1296"/>
      <c r="AI349" s="1296"/>
      <c r="AJ349" s="1296"/>
      <c r="AK349" s="1296"/>
      <c r="AL349" s="1296"/>
      <c r="AM349" s="1296"/>
      <c r="AN349" s="1296"/>
      <c r="AO349" s="1296"/>
      <c r="AP349" s="1296"/>
      <c r="AQ349" s="1296"/>
      <c r="AR349" s="1296"/>
      <c r="AS349" s="1296"/>
      <c r="AT349" s="1296"/>
      <c r="AU349" s="1296"/>
      <c r="AV349" s="1296"/>
      <c r="AW349" s="1296"/>
      <c r="AX349" s="1296"/>
      <c r="AY349" s="1296"/>
      <c r="AZ349" s="1296"/>
      <c r="BA349" s="1296"/>
      <c r="BB349" s="1296"/>
      <c r="BC349" s="1296"/>
      <c r="BD349" s="1296"/>
      <c r="BE349" s="1296"/>
      <c r="BF349" s="1296"/>
      <c r="BG349" s="1296"/>
      <c r="BH349" s="1296"/>
      <c r="BI349" s="1296"/>
      <c r="BJ349" s="1296"/>
      <c r="BK349" s="1296"/>
      <c r="BL349" s="1296"/>
      <c r="BM349" s="1296"/>
      <c r="BN349" s="1296"/>
      <c r="BO349" s="1296"/>
      <c r="BP349" s="1296"/>
      <c r="BQ349" s="1296"/>
      <c r="BR349" s="1296"/>
      <c r="BS349" s="1296"/>
      <c r="BT349" s="1296"/>
      <c r="BU349" s="1296"/>
      <c r="BV349" s="1296"/>
      <c r="BW349" s="1296"/>
      <c r="BX349" s="1296"/>
      <c r="BY349" s="1296"/>
      <c r="BZ349" s="1296"/>
      <c r="CA349" s="1296"/>
      <c r="CB349" s="1296"/>
      <c r="CC349" s="1296"/>
      <c r="CD349" s="1296"/>
      <c r="CE349" s="1296"/>
      <c r="CF349" s="1296"/>
      <c r="CG349" s="1296"/>
      <c r="CH349" s="1296"/>
      <c r="CI349" s="1296"/>
      <c r="CJ349" s="1296"/>
      <c r="CK349" s="1296"/>
    </row>
    <row r="350" spans="1:89" x14ac:dyDescent="0.25">
      <c r="A350" s="1296"/>
      <c r="B350" s="1721"/>
      <c r="C350" s="1205">
        <v>6</v>
      </c>
      <c r="D350" s="1196" t="s">
        <v>1856</v>
      </c>
      <c r="E350" s="1196" t="s">
        <v>1444</v>
      </c>
      <c r="F350" s="1281" t="str">
        <f>'Required Info to Submit'!E28</f>
        <v/>
      </c>
      <c r="G350" s="1403" t="str">
        <f>IF(F350="","",'Required Info to Submit'!K28)</f>
        <v/>
      </c>
      <c r="H350" s="1404" t="str">
        <f>IF(F350="","",'Required Info to Submit'!L28)</f>
        <v/>
      </c>
      <c r="I350" s="1281" t="str">
        <f>'Required Info to Submit'!F28</f>
        <v/>
      </c>
      <c r="J350" s="1281" t="str">
        <f>'Required Info to Submit'!G28</f>
        <v/>
      </c>
      <c r="K350" s="1281" t="str">
        <f>'Required Info to Submit'!H28</f>
        <v/>
      </c>
      <c r="L350" s="1281" t="str">
        <f>'Required Info to Submit'!I28</f>
        <v/>
      </c>
      <c r="M350" s="1281" t="str">
        <f>'Required Info to Submit'!J28</f>
        <v/>
      </c>
      <c r="N350" s="1296"/>
      <c r="O350" s="138"/>
      <c r="P350" s="1296"/>
      <c r="Q350" s="1296"/>
      <c r="R350" s="1296"/>
      <c r="S350" s="1296"/>
      <c r="T350" s="1296"/>
      <c r="U350" s="1296"/>
      <c r="V350" s="1296"/>
      <c r="W350" s="1296"/>
      <c r="X350" s="1296"/>
      <c r="Y350" s="1296"/>
      <c r="Z350" s="1296"/>
      <c r="AA350" s="1296"/>
      <c r="AB350" s="1296"/>
      <c r="AC350" s="1296"/>
      <c r="AD350" s="1296"/>
      <c r="AE350" s="1296"/>
      <c r="AF350" s="1296"/>
      <c r="AG350" s="1296"/>
      <c r="AH350" s="1296"/>
      <c r="AI350" s="1296"/>
      <c r="AJ350" s="1296"/>
      <c r="AK350" s="1296"/>
      <c r="AL350" s="1296"/>
      <c r="AM350" s="1296"/>
      <c r="AN350" s="1296"/>
      <c r="AO350" s="1296"/>
      <c r="AP350" s="1296"/>
      <c r="AQ350" s="1296"/>
      <c r="AR350" s="1296"/>
      <c r="AS350" s="1296"/>
      <c r="AT350" s="1296"/>
      <c r="AU350" s="1296"/>
      <c r="AV350" s="1296"/>
      <c r="AW350" s="1296"/>
      <c r="AX350" s="1296"/>
      <c r="AY350" s="1296"/>
      <c r="AZ350" s="1296"/>
      <c r="BA350" s="1296"/>
      <c r="BB350" s="1296"/>
      <c r="BC350" s="1296"/>
      <c r="BD350" s="1296"/>
      <c r="BE350" s="1296"/>
      <c r="BF350" s="1296"/>
      <c r="BG350" s="1296"/>
      <c r="BH350" s="1296"/>
      <c r="BI350" s="1296"/>
      <c r="BJ350" s="1296"/>
      <c r="BK350" s="1296"/>
      <c r="BL350" s="1296"/>
      <c r="BM350" s="1296"/>
      <c r="BN350" s="1296"/>
      <c r="BO350" s="1296"/>
      <c r="BP350" s="1296"/>
      <c r="BQ350" s="1296"/>
      <c r="BR350" s="1296"/>
      <c r="BS350" s="1296"/>
      <c r="BT350" s="1296"/>
      <c r="BU350" s="1296"/>
      <c r="BV350" s="1296"/>
      <c r="BW350" s="1296"/>
      <c r="BX350" s="1296"/>
      <c r="BY350" s="1296"/>
      <c r="BZ350" s="1296"/>
      <c r="CA350" s="1296"/>
      <c r="CB350" s="1296"/>
      <c r="CC350" s="1296"/>
      <c r="CD350" s="1296"/>
      <c r="CE350" s="1296"/>
      <c r="CF350" s="1296"/>
      <c r="CG350" s="1296"/>
      <c r="CH350" s="1296"/>
      <c r="CI350" s="1296"/>
      <c r="CJ350" s="1296"/>
      <c r="CK350" s="1296"/>
    </row>
    <row r="351" spans="1:89" x14ac:dyDescent="0.25">
      <c r="A351" s="1296"/>
      <c r="B351" s="1721"/>
      <c r="C351" s="1205">
        <v>7</v>
      </c>
      <c r="D351" s="1196" t="s">
        <v>1856</v>
      </c>
      <c r="E351" s="1196" t="s">
        <v>1444</v>
      </c>
      <c r="F351" s="1281" t="str">
        <f>'Required Info to Submit'!E29</f>
        <v/>
      </c>
      <c r="G351" s="1403" t="str">
        <f>IF(F351="","",'Required Info to Submit'!K29)</f>
        <v/>
      </c>
      <c r="H351" s="1404" t="str">
        <f>IF(F351="","",'Required Info to Submit'!L29)</f>
        <v/>
      </c>
      <c r="I351" s="1281" t="str">
        <f>'Required Info to Submit'!F29</f>
        <v/>
      </c>
      <c r="J351" s="1281" t="str">
        <f>'Required Info to Submit'!G29</f>
        <v/>
      </c>
      <c r="K351" s="1281" t="str">
        <f>'Required Info to Submit'!H29</f>
        <v/>
      </c>
      <c r="L351" s="1281" t="str">
        <f>'Required Info to Submit'!I29</f>
        <v/>
      </c>
      <c r="M351" s="1281" t="str">
        <f>'Required Info to Submit'!J29</f>
        <v/>
      </c>
      <c r="N351" s="1296"/>
      <c r="O351" s="138"/>
      <c r="P351" s="1296"/>
      <c r="Q351" s="1296"/>
      <c r="R351" s="1296"/>
      <c r="S351" s="1296"/>
      <c r="T351" s="1296"/>
      <c r="U351" s="1296"/>
      <c r="V351" s="1296"/>
      <c r="W351" s="1296"/>
      <c r="X351" s="1296"/>
      <c r="Y351" s="1296"/>
      <c r="Z351" s="1296"/>
      <c r="AA351" s="1296"/>
      <c r="AB351" s="1296"/>
      <c r="AC351" s="1296"/>
      <c r="AD351" s="1296"/>
      <c r="AE351" s="1296"/>
      <c r="AF351" s="1296"/>
      <c r="AG351" s="1296"/>
      <c r="AH351" s="1296"/>
      <c r="AI351" s="1296"/>
      <c r="AJ351" s="1296"/>
      <c r="AK351" s="1296"/>
      <c r="AL351" s="1296"/>
      <c r="AM351" s="1296"/>
      <c r="AN351" s="1296"/>
      <c r="AO351" s="1296"/>
      <c r="AP351" s="1296"/>
      <c r="AQ351" s="1296"/>
      <c r="AR351" s="1296"/>
      <c r="AS351" s="1296"/>
      <c r="AT351" s="1296"/>
      <c r="AU351" s="1296"/>
      <c r="AV351" s="1296"/>
      <c r="AW351" s="1296"/>
      <c r="AX351" s="1296"/>
      <c r="AY351" s="1296"/>
      <c r="AZ351" s="1296"/>
      <c r="BA351" s="1296"/>
      <c r="BB351" s="1296"/>
      <c r="BC351" s="1296"/>
      <c r="BD351" s="1296"/>
      <c r="BE351" s="1296"/>
      <c r="BF351" s="1296"/>
      <c r="BG351" s="1296"/>
      <c r="BH351" s="1296"/>
      <c r="BI351" s="1296"/>
      <c r="BJ351" s="1296"/>
      <c r="BK351" s="1296"/>
      <c r="BL351" s="1296"/>
      <c r="BM351" s="1296"/>
      <c r="BN351" s="1296"/>
      <c r="BO351" s="1296"/>
      <c r="BP351" s="1296"/>
      <c r="BQ351" s="1296"/>
      <c r="BR351" s="1296"/>
      <c r="BS351" s="1296"/>
      <c r="BT351" s="1296"/>
      <c r="BU351" s="1296"/>
      <c r="BV351" s="1296"/>
      <c r="BW351" s="1296"/>
      <c r="BX351" s="1296"/>
      <c r="BY351" s="1296"/>
      <c r="BZ351" s="1296"/>
      <c r="CA351" s="1296"/>
      <c r="CB351" s="1296"/>
      <c r="CC351" s="1296"/>
      <c r="CD351" s="1296"/>
      <c r="CE351" s="1296"/>
      <c r="CF351" s="1296"/>
      <c r="CG351" s="1296"/>
      <c r="CH351" s="1296"/>
      <c r="CI351" s="1296"/>
      <c r="CJ351" s="1296"/>
      <c r="CK351" s="1296"/>
    </row>
    <row r="352" spans="1:89" x14ac:dyDescent="0.25">
      <c r="A352" s="1296"/>
      <c r="B352" s="1721"/>
      <c r="C352" s="1205">
        <v>8</v>
      </c>
      <c r="D352" s="1196" t="s">
        <v>1856</v>
      </c>
      <c r="E352" s="1196" t="s">
        <v>1444</v>
      </c>
      <c r="F352" s="1281" t="str">
        <f>'Required Info to Submit'!E30</f>
        <v/>
      </c>
      <c r="G352" s="1403" t="str">
        <f>IF(F352="","",'Required Info to Submit'!K30)</f>
        <v/>
      </c>
      <c r="H352" s="1404" t="str">
        <f>IF(F352="","",'Required Info to Submit'!L30)</f>
        <v/>
      </c>
      <c r="I352" s="1281" t="str">
        <f>'Required Info to Submit'!F30</f>
        <v/>
      </c>
      <c r="J352" s="1281" t="str">
        <f>'Required Info to Submit'!G30</f>
        <v/>
      </c>
      <c r="K352" s="1281" t="str">
        <f>'Required Info to Submit'!H30</f>
        <v/>
      </c>
      <c r="L352" s="1281" t="str">
        <f>'Required Info to Submit'!I30</f>
        <v/>
      </c>
      <c r="M352" s="1281" t="str">
        <f>'Required Info to Submit'!J30</f>
        <v/>
      </c>
      <c r="N352" s="1296"/>
      <c r="O352" s="138"/>
      <c r="P352" s="1296"/>
      <c r="Q352" s="1296"/>
      <c r="R352" s="1296"/>
      <c r="S352" s="1296"/>
      <c r="T352" s="1296"/>
      <c r="U352" s="1296"/>
      <c r="V352" s="1296"/>
      <c r="W352" s="1296"/>
      <c r="X352" s="1296"/>
      <c r="Y352" s="1296"/>
      <c r="Z352" s="1296"/>
      <c r="AA352" s="1296"/>
      <c r="AB352" s="1296"/>
      <c r="AC352" s="1296"/>
      <c r="AD352" s="1296"/>
      <c r="AE352" s="1296"/>
      <c r="AF352" s="1296"/>
      <c r="AG352" s="1296"/>
      <c r="AH352" s="1296"/>
      <c r="AI352" s="1296"/>
      <c r="AJ352" s="1296"/>
      <c r="AK352" s="1296"/>
      <c r="AL352" s="1296"/>
      <c r="AM352" s="1296"/>
      <c r="AN352" s="1296"/>
      <c r="AO352" s="1296"/>
      <c r="AP352" s="1296"/>
      <c r="AQ352" s="1296"/>
      <c r="AR352" s="1296"/>
      <c r="AS352" s="1296"/>
      <c r="AT352" s="1296"/>
      <c r="AU352" s="1296"/>
      <c r="AV352" s="1296"/>
      <c r="AW352" s="1296"/>
      <c r="AX352" s="1296"/>
      <c r="AY352" s="1296"/>
      <c r="AZ352" s="1296"/>
      <c r="BA352" s="1296"/>
      <c r="BB352" s="1296"/>
      <c r="BC352" s="1296"/>
      <c r="BD352" s="1296"/>
      <c r="BE352" s="1296"/>
      <c r="BF352" s="1296"/>
      <c r="BG352" s="1296"/>
      <c r="BH352" s="1296"/>
      <c r="BI352" s="1296"/>
      <c r="BJ352" s="1296"/>
      <c r="BK352" s="1296"/>
      <c r="BL352" s="1296"/>
      <c r="BM352" s="1296"/>
      <c r="BN352" s="1296"/>
      <c r="BO352" s="1296"/>
      <c r="BP352" s="1296"/>
      <c r="BQ352" s="1296"/>
      <c r="BR352" s="1296"/>
      <c r="BS352" s="1296"/>
      <c r="BT352" s="1296"/>
      <c r="BU352" s="1296"/>
      <c r="BV352" s="1296"/>
      <c r="BW352" s="1296"/>
      <c r="BX352" s="1296"/>
      <c r="BY352" s="1296"/>
      <c r="BZ352" s="1296"/>
      <c r="CA352" s="1296"/>
      <c r="CB352" s="1296"/>
      <c r="CC352" s="1296"/>
      <c r="CD352" s="1296"/>
      <c r="CE352" s="1296"/>
      <c r="CF352" s="1296"/>
      <c r="CG352" s="1296"/>
      <c r="CH352" s="1296"/>
      <c r="CI352" s="1296"/>
      <c r="CJ352" s="1296"/>
      <c r="CK352" s="1296"/>
    </row>
    <row r="353" spans="1:89" x14ac:dyDescent="0.25">
      <c r="A353" s="1296"/>
      <c r="B353" s="1721"/>
      <c r="C353" s="1205">
        <v>9</v>
      </c>
      <c r="D353" s="1196" t="s">
        <v>1856</v>
      </c>
      <c r="E353" s="1196" t="s">
        <v>1444</v>
      </c>
      <c r="F353" s="1281" t="str">
        <f>'Required Info to Submit'!E31</f>
        <v/>
      </c>
      <c r="G353" s="1403" t="str">
        <f>IF(F353="","",'Required Info to Submit'!K31)</f>
        <v/>
      </c>
      <c r="H353" s="1404" t="str">
        <f>IF(F353="","",'Required Info to Submit'!L31)</f>
        <v/>
      </c>
      <c r="I353" s="1281" t="str">
        <f>'Required Info to Submit'!F31</f>
        <v/>
      </c>
      <c r="J353" s="1281" t="str">
        <f>'Required Info to Submit'!G31</f>
        <v/>
      </c>
      <c r="K353" s="1281" t="str">
        <f>'Required Info to Submit'!H31</f>
        <v/>
      </c>
      <c r="L353" s="1281" t="str">
        <f>'Required Info to Submit'!I31</f>
        <v/>
      </c>
      <c r="M353" s="1281" t="str">
        <f>'Required Info to Submit'!J31</f>
        <v/>
      </c>
      <c r="N353" s="1296"/>
      <c r="O353" s="138"/>
      <c r="P353" s="1296"/>
      <c r="Q353" s="1296"/>
      <c r="R353" s="1296"/>
      <c r="S353" s="1296"/>
      <c r="T353" s="1296"/>
      <c r="U353" s="1296"/>
      <c r="V353" s="1296"/>
      <c r="W353" s="1296"/>
      <c r="X353" s="1296"/>
      <c r="Y353" s="1296"/>
      <c r="Z353" s="1296"/>
      <c r="AA353" s="1296"/>
      <c r="AB353" s="1296"/>
      <c r="AC353" s="1296"/>
      <c r="AD353" s="1296"/>
      <c r="AE353" s="1296"/>
      <c r="AF353" s="1296"/>
      <c r="AG353" s="1296"/>
      <c r="AH353" s="1296"/>
      <c r="AI353" s="1296"/>
      <c r="AJ353" s="1296"/>
      <c r="AK353" s="1296"/>
      <c r="AL353" s="1296"/>
      <c r="AM353" s="1296"/>
      <c r="AN353" s="1296"/>
      <c r="AO353" s="1296"/>
      <c r="AP353" s="1296"/>
      <c r="AQ353" s="1296"/>
      <c r="AR353" s="1296"/>
      <c r="AS353" s="1296"/>
      <c r="AT353" s="1296"/>
      <c r="AU353" s="1296"/>
      <c r="AV353" s="1296"/>
      <c r="AW353" s="1296"/>
      <c r="AX353" s="1296"/>
      <c r="AY353" s="1296"/>
      <c r="AZ353" s="1296"/>
      <c r="BA353" s="1296"/>
      <c r="BB353" s="1296"/>
      <c r="BC353" s="1296"/>
      <c r="BD353" s="1296"/>
      <c r="BE353" s="1296"/>
      <c r="BF353" s="1296"/>
      <c r="BG353" s="1296"/>
      <c r="BH353" s="1296"/>
      <c r="BI353" s="1296"/>
      <c r="BJ353" s="1296"/>
      <c r="BK353" s="1296"/>
      <c r="BL353" s="1296"/>
      <c r="BM353" s="1296"/>
      <c r="BN353" s="1296"/>
      <c r="BO353" s="1296"/>
      <c r="BP353" s="1296"/>
      <c r="BQ353" s="1296"/>
      <c r="BR353" s="1296"/>
      <c r="BS353" s="1296"/>
      <c r="BT353" s="1296"/>
      <c r="BU353" s="1296"/>
      <c r="BV353" s="1296"/>
      <c r="BW353" s="1296"/>
      <c r="BX353" s="1296"/>
      <c r="BY353" s="1296"/>
      <c r="BZ353" s="1296"/>
      <c r="CA353" s="1296"/>
      <c r="CB353" s="1296"/>
      <c r="CC353" s="1296"/>
      <c r="CD353" s="1296"/>
      <c r="CE353" s="1296"/>
      <c r="CF353" s="1296"/>
      <c r="CG353" s="1296"/>
      <c r="CH353" s="1296"/>
      <c r="CI353" s="1296"/>
      <c r="CJ353" s="1296"/>
      <c r="CK353" s="1296"/>
    </row>
    <row r="354" spans="1:89" ht="15.75" thickBot="1" x14ac:dyDescent="0.3">
      <c r="A354" s="1296"/>
      <c r="B354" s="1722"/>
      <c r="C354" s="1321">
        <v>10</v>
      </c>
      <c r="D354" s="1322" t="s">
        <v>1856</v>
      </c>
      <c r="E354" s="1322" t="s">
        <v>1444</v>
      </c>
      <c r="F354" s="1281" t="str">
        <f>'Required Info to Submit'!E32</f>
        <v/>
      </c>
      <c r="G354" s="1403" t="str">
        <f>IF(F354="","",'Required Info to Submit'!K32)</f>
        <v/>
      </c>
      <c r="H354" s="1404" t="str">
        <f>IF(F354="","",'Required Info to Submit'!L32)</f>
        <v/>
      </c>
      <c r="I354" s="1282" t="str">
        <f>'Required Info to Submit'!F32</f>
        <v/>
      </c>
      <c r="J354" s="1282" t="str">
        <f>'Required Info to Submit'!G32</f>
        <v/>
      </c>
      <c r="K354" s="1282" t="str">
        <f>'Required Info to Submit'!H32</f>
        <v/>
      </c>
      <c r="L354" s="1282" t="str">
        <f>'Required Info to Submit'!I32</f>
        <v/>
      </c>
      <c r="M354" s="1282" t="str">
        <f>'Required Info to Submit'!J32</f>
        <v/>
      </c>
      <c r="N354" s="1296"/>
      <c r="O354" s="138"/>
      <c r="P354" s="1296"/>
      <c r="Q354" s="1296"/>
      <c r="R354" s="1296"/>
      <c r="S354" s="1296"/>
      <c r="T354" s="1296"/>
      <c r="U354" s="1296"/>
      <c r="V354" s="1296"/>
      <c r="W354" s="1296"/>
      <c r="X354" s="1296"/>
      <c r="Y354" s="1296"/>
      <c r="Z354" s="1296"/>
      <c r="AA354" s="1296"/>
      <c r="AB354" s="1296"/>
      <c r="AC354" s="1296"/>
      <c r="AD354" s="1296"/>
      <c r="AE354" s="1296"/>
      <c r="AF354" s="1296"/>
      <c r="AG354" s="1296"/>
      <c r="AH354" s="1296"/>
      <c r="AI354" s="1296"/>
      <c r="AJ354" s="1296"/>
      <c r="AK354" s="1296"/>
      <c r="AL354" s="1296"/>
      <c r="AM354" s="1296"/>
      <c r="AN354" s="1296"/>
      <c r="AO354" s="1296"/>
      <c r="AP354" s="1296"/>
      <c r="AQ354" s="1296"/>
      <c r="AR354" s="1296"/>
      <c r="AS354" s="1296"/>
      <c r="AT354" s="1296"/>
      <c r="AU354" s="1296"/>
      <c r="AV354" s="1296"/>
      <c r="AW354" s="1296"/>
      <c r="AX354" s="1296"/>
      <c r="AY354" s="1296"/>
      <c r="AZ354" s="1296"/>
      <c r="BA354" s="1296"/>
      <c r="BB354" s="1296"/>
      <c r="BC354" s="1296"/>
      <c r="BD354" s="1296"/>
      <c r="BE354" s="1296"/>
      <c r="BF354" s="1296"/>
      <c r="BG354" s="1296"/>
      <c r="BH354" s="1296"/>
      <c r="BI354" s="1296"/>
      <c r="BJ354" s="1296"/>
      <c r="BK354" s="1296"/>
      <c r="BL354" s="1296"/>
      <c r="BM354" s="1296"/>
      <c r="BN354" s="1296"/>
      <c r="BO354" s="1296"/>
      <c r="BP354" s="1296"/>
      <c r="BQ354" s="1296"/>
      <c r="BR354" s="1296"/>
      <c r="BS354" s="1296"/>
      <c r="BT354" s="1296"/>
      <c r="BU354" s="1296"/>
      <c r="BV354" s="1296"/>
      <c r="BW354" s="1296"/>
      <c r="BX354" s="1296"/>
      <c r="BY354" s="1296"/>
      <c r="BZ354" s="1296"/>
      <c r="CA354" s="1296"/>
      <c r="CB354" s="1296"/>
      <c r="CC354" s="1296"/>
      <c r="CD354" s="1296"/>
      <c r="CE354" s="1296"/>
      <c r="CF354" s="1296"/>
      <c r="CG354" s="1296"/>
      <c r="CH354" s="1296"/>
      <c r="CI354" s="1296"/>
      <c r="CJ354" s="1296"/>
      <c r="CK354" s="1296"/>
    </row>
    <row r="355" spans="1:89" ht="30" x14ac:dyDescent="0.25">
      <c r="A355" s="1296"/>
      <c r="B355" s="1719" t="s">
        <v>1893</v>
      </c>
      <c r="C355" s="1323" t="s">
        <v>1494</v>
      </c>
      <c r="D355" s="1324" t="s">
        <v>1419</v>
      </c>
      <c r="E355" s="1323" t="s">
        <v>1497</v>
      </c>
      <c r="F355" s="1325" t="s">
        <v>1141</v>
      </c>
      <c r="G355" s="1323" t="s">
        <v>1140</v>
      </c>
      <c r="H355" s="1323" t="s">
        <v>1691</v>
      </c>
      <c r="I355" s="1296"/>
      <c r="J355" s="1296"/>
      <c r="K355" s="1296"/>
      <c r="L355" s="1296"/>
      <c r="M355" s="1296"/>
      <c r="N355" s="1296"/>
      <c r="O355" s="138"/>
      <c r="P355" s="1296"/>
      <c r="Q355" s="1296"/>
      <c r="R355" s="1296"/>
      <c r="S355" s="1296"/>
      <c r="T355" s="1296"/>
      <c r="U355" s="1296"/>
      <c r="V355" s="1296"/>
      <c r="W355" s="1296"/>
      <c r="X355" s="1296"/>
      <c r="Y355" s="1296"/>
      <c r="Z355" s="1296"/>
      <c r="AA355" s="1296"/>
      <c r="AB355" s="1296"/>
      <c r="AC355" s="1296"/>
      <c r="AD355" s="1296"/>
      <c r="AE355" s="1296"/>
      <c r="AF355" s="1296"/>
      <c r="AG355" s="1296"/>
      <c r="AH355" s="1296"/>
      <c r="AI355" s="1296"/>
      <c r="AJ355" s="1296"/>
      <c r="AK355" s="1296"/>
      <c r="AL355" s="1296"/>
      <c r="AM355" s="1296"/>
      <c r="AN355" s="1296"/>
      <c r="AO355" s="1296"/>
      <c r="AP355" s="1296"/>
      <c r="AQ355" s="1296"/>
      <c r="AR355" s="1296"/>
      <c r="AS355" s="1296"/>
      <c r="AT355" s="1296"/>
      <c r="AU355" s="1296"/>
      <c r="AV355" s="1296"/>
      <c r="AW355" s="1296"/>
      <c r="AX355" s="1296"/>
      <c r="AY355" s="1296"/>
      <c r="AZ355" s="1296"/>
      <c r="BA355" s="1296"/>
      <c r="BB355" s="1296"/>
      <c r="BC355" s="1296"/>
      <c r="BD355" s="1296"/>
      <c r="BE355" s="1296"/>
      <c r="BF355" s="1296"/>
      <c r="BG355" s="1296"/>
      <c r="BH355" s="1296"/>
      <c r="BI355" s="1296"/>
      <c r="BJ355" s="1296"/>
      <c r="BK355" s="1296"/>
      <c r="BL355" s="1296"/>
      <c r="BM355" s="1296"/>
      <c r="BN355" s="1296"/>
      <c r="BO355" s="1296"/>
      <c r="BP355" s="1296"/>
      <c r="BQ355" s="1296"/>
      <c r="BR355" s="1296"/>
      <c r="BS355" s="1296"/>
      <c r="BT355" s="1296"/>
      <c r="BU355" s="1296"/>
      <c r="BV355" s="1296"/>
      <c r="BW355" s="1296"/>
      <c r="BX355" s="1296"/>
      <c r="BY355" s="1296"/>
      <c r="BZ355" s="1296"/>
      <c r="CA355" s="1296"/>
      <c r="CB355" s="1296"/>
      <c r="CC355" s="1296"/>
      <c r="CD355" s="1296"/>
      <c r="CE355" s="1296"/>
      <c r="CF355" s="1296"/>
      <c r="CG355" s="1296"/>
      <c r="CH355" s="1296"/>
      <c r="CI355" s="1296"/>
      <c r="CJ355" s="1296"/>
      <c r="CK355" s="1296"/>
    </row>
    <row r="356" spans="1:89" ht="15.75" thickBot="1" x14ac:dyDescent="0.3">
      <c r="A356" s="1296"/>
      <c r="B356" s="1725"/>
      <c r="C356" s="1329" t="str" cm="1">
        <f t="array" aca="1" ref="C356" ca="1">IF(ISBLANK(INDIRECT("'Incentives Worksheet'!L"&amp;'Configurable Tab'!H30+6)),"",INDIRECT("'Incentives Worksheet'!L"&amp;'Configurable Tab'!H30+6))</f>
        <v/>
      </c>
      <c r="D356" s="1328" t="str" cm="1">
        <f t="array" aca="1" ref="D356" ca="1">IF(ISBLANK(INDIRECT("'Incentives Worksheet'!R"&amp;'Configurable Tab'!H30+9)),"",INDIRECT("'Incentives Worksheet'!R"&amp;'Configurable Tab'!H30+9))</f>
        <v/>
      </c>
      <c r="E356" s="1329" t="str" cm="1">
        <f t="array" aca="1" ref="E356" ca="1">IF(ISBLANK(INDIRECT("'Incentives Worksheet'!H"&amp;'Configurable Tab'!H30+9)),"",INDIRECT("'Incentives Worksheet'!H"&amp;'Configurable Tab'!H30+9))</f>
        <v/>
      </c>
      <c r="F356" s="1330" t="str" cm="1">
        <f t="array" aca="1" ref="F356" ca="1">IF(ISBLANK(INDIRECT("'Incentives Worksheet'!L"&amp;'Configurable Tab'!H30+9)),"",INDIRECT("'Incentives Worksheet'!L"&amp;'Configurable Tab'!H30+9))</f>
        <v/>
      </c>
      <c r="G356" s="1329" t="str" cm="1">
        <f t="array" aca="1" ref="G356" ca="1">IF(ISBLANK(INDIRECT("'Incentives Worksheet'!P"&amp;'Configurable Tab'!H30+9)),"",INDIRECT("'Incentives Worksheet'!P"&amp;'Configurable Tab'!H30+9))</f>
        <v/>
      </c>
      <c r="H356" s="1329" t="str" cm="1">
        <f t="array" aca="1" ref="H356" ca="1">IF(ISBLANK(INDIRECT("'Incentives Worksheet'!J"&amp;'Configurable Tab'!H30+6)),"",INDIRECT("'Incentives Worksheet'!J"&amp;'Configurable Tab'!H30+6))</f>
        <v/>
      </c>
      <c r="I356" s="256"/>
      <c r="J356" s="256"/>
      <c r="K356" s="256"/>
      <c r="L356" s="256"/>
      <c r="M356" s="256"/>
      <c r="N356" s="256"/>
      <c r="O356" s="257"/>
      <c r="P356" s="1296"/>
      <c r="Q356" s="1296"/>
      <c r="R356" s="1296"/>
      <c r="S356" s="1296"/>
      <c r="T356" s="1296"/>
      <c r="U356" s="1296"/>
      <c r="V356" s="1296"/>
      <c r="W356" s="1296"/>
      <c r="X356" s="1296"/>
      <c r="Y356" s="1296"/>
      <c r="Z356" s="1296"/>
      <c r="AA356" s="1296"/>
      <c r="AB356" s="1296"/>
      <c r="AC356" s="1296"/>
      <c r="AD356" s="1296"/>
      <c r="AE356" s="1296"/>
      <c r="AF356" s="1296"/>
      <c r="AG356" s="1296"/>
      <c r="AH356" s="1296"/>
      <c r="AI356" s="1296"/>
      <c r="AJ356" s="1296"/>
      <c r="AK356" s="1296"/>
      <c r="AL356" s="1296"/>
      <c r="AM356" s="1296"/>
      <c r="AN356" s="1296"/>
      <c r="AO356" s="1296"/>
      <c r="AP356" s="1296"/>
      <c r="AQ356" s="1296"/>
      <c r="AR356" s="1296"/>
      <c r="AS356" s="1296"/>
      <c r="AT356" s="1296"/>
      <c r="AU356" s="1296"/>
      <c r="AV356" s="1296"/>
      <c r="AW356" s="1296"/>
      <c r="AX356" s="1296"/>
      <c r="AY356" s="1296"/>
      <c r="AZ356" s="1296"/>
      <c r="BA356" s="1296"/>
      <c r="BB356" s="1296"/>
      <c r="BC356" s="1296"/>
      <c r="BD356" s="1296"/>
      <c r="BE356" s="1296"/>
      <c r="BF356" s="1296"/>
      <c r="BG356" s="1296"/>
      <c r="BH356" s="1296"/>
      <c r="BI356" s="1296"/>
      <c r="BJ356" s="1296"/>
      <c r="BK356" s="1296"/>
      <c r="BL356" s="1296"/>
      <c r="BM356" s="1296"/>
      <c r="BN356" s="1296"/>
      <c r="BO356" s="1296"/>
      <c r="BP356" s="1296"/>
      <c r="BQ356" s="1296"/>
      <c r="BR356" s="1296"/>
      <c r="BS356" s="1296"/>
      <c r="BT356" s="1296"/>
      <c r="BU356" s="1296"/>
      <c r="BV356" s="1296"/>
      <c r="BW356" s="1296"/>
      <c r="BX356" s="1296"/>
      <c r="BY356" s="1296"/>
      <c r="BZ356" s="1296"/>
      <c r="CA356" s="1296"/>
      <c r="CB356" s="1296"/>
      <c r="CC356" s="1296"/>
      <c r="CD356" s="1296"/>
      <c r="CE356" s="1296"/>
      <c r="CF356" s="1296"/>
      <c r="CG356" s="1296"/>
      <c r="CH356" s="1296"/>
      <c r="CI356" s="1296"/>
      <c r="CJ356" s="1296"/>
      <c r="CK356" s="1296"/>
    </row>
    <row r="357" spans="1:89" x14ac:dyDescent="0.25">
      <c r="A357" s="1296"/>
      <c r="B357" s="1296"/>
      <c r="C357" s="1296"/>
      <c r="D357" s="1296"/>
      <c r="E357" s="1296"/>
      <c r="F357" s="1296"/>
      <c r="G357" s="1296"/>
      <c r="H357" s="1296"/>
      <c r="I357" s="1296"/>
      <c r="J357" s="1296"/>
      <c r="K357" s="1296"/>
      <c r="L357" s="1296"/>
      <c r="M357" s="1296"/>
      <c r="N357" s="1296"/>
      <c r="O357" s="1296"/>
      <c r="P357" s="1296"/>
      <c r="Q357" s="1296"/>
      <c r="R357" s="1296"/>
      <c r="S357" s="1296"/>
      <c r="T357" s="1296"/>
      <c r="U357" s="1296"/>
      <c r="V357" s="1296"/>
      <c r="W357" s="1296"/>
      <c r="X357" s="1296"/>
      <c r="Y357" s="1296"/>
      <c r="Z357" s="1296"/>
      <c r="AA357" s="1296"/>
      <c r="AB357" s="1296"/>
      <c r="AC357" s="1296"/>
      <c r="AD357" s="1296"/>
      <c r="AE357" s="1296"/>
      <c r="AF357" s="1296"/>
      <c r="AG357" s="1296"/>
      <c r="AH357" s="1296"/>
      <c r="AI357" s="1296"/>
      <c r="AJ357" s="1296"/>
      <c r="AK357" s="1296"/>
      <c r="AL357" s="1296"/>
      <c r="AM357" s="1296"/>
      <c r="AN357" s="1296"/>
      <c r="AO357" s="1296"/>
      <c r="AP357" s="1296"/>
      <c r="AQ357" s="1296"/>
      <c r="AR357" s="1296"/>
      <c r="AS357" s="1296"/>
      <c r="AT357" s="1296"/>
      <c r="AU357" s="1296"/>
      <c r="AV357" s="1296"/>
      <c r="AW357" s="1296"/>
      <c r="AX357" s="1296"/>
      <c r="AY357" s="1296"/>
      <c r="AZ357" s="1296"/>
      <c r="BA357" s="1296"/>
      <c r="BB357" s="1296"/>
      <c r="BC357" s="1296"/>
      <c r="BD357" s="1296"/>
      <c r="BE357" s="1296"/>
      <c r="BF357" s="1296"/>
      <c r="BG357" s="1296"/>
      <c r="BH357" s="1296"/>
      <c r="BI357" s="1296"/>
      <c r="BJ357" s="1296"/>
      <c r="BK357" s="1296"/>
      <c r="BL357" s="1296"/>
      <c r="BM357" s="1296"/>
      <c r="BN357" s="1296"/>
      <c r="BO357" s="1296"/>
      <c r="BP357" s="1296"/>
      <c r="BQ357" s="1296"/>
      <c r="BR357" s="1296"/>
      <c r="BS357" s="1296"/>
      <c r="BT357" s="1296"/>
      <c r="BU357" s="1296"/>
      <c r="BV357" s="1296"/>
      <c r="BW357" s="1296"/>
      <c r="BX357" s="1296"/>
      <c r="BY357" s="1296"/>
      <c r="BZ357" s="1296"/>
      <c r="CA357" s="1296"/>
      <c r="CB357" s="1296"/>
      <c r="CC357" s="1296"/>
      <c r="CD357" s="1296"/>
      <c r="CE357" s="1296"/>
      <c r="CF357" s="1296"/>
      <c r="CG357" s="1296"/>
      <c r="CH357" s="1296"/>
      <c r="CI357" s="1296"/>
      <c r="CJ357" s="1296"/>
      <c r="CK357" s="1296"/>
    </row>
    <row r="358" spans="1:89" ht="15.75" thickBot="1" x14ac:dyDescent="0.3">
      <c r="A358" s="1296"/>
      <c r="B358" s="1296"/>
      <c r="C358" s="1296"/>
      <c r="D358" s="1296"/>
      <c r="E358" s="1296"/>
      <c r="F358" s="1296"/>
      <c r="G358" s="1296"/>
      <c r="H358" s="1296"/>
      <c r="I358" s="1296"/>
      <c r="J358" s="1296"/>
      <c r="K358" s="1296"/>
      <c r="L358" s="1296"/>
      <c r="M358" s="1296"/>
      <c r="N358" s="1296"/>
      <c r="O358" s="1296"/>
      <c r="P358" s="1296"/>
      <c r="Q358" s="1296"/>
      <c r="R358" s="1296"/>
      <c r="S358" s="1296"/>
      <c r="T358" s="1296"/>
      <c r="U358" s="1296"/>
      <c r="V358" s="1296"/>
      <c r="W358" s="1296"/>
      <c r="X358" s="1296"/>
      <c r="Y358" s="1296"/>
      <c r="Z358" s="1296"/>
      <c r="AA358" s="1296"/>
      <c r="AB358" s="1296"/>
      <c r="AC358" s="1296"/>
      <c r="AD358" s="1296"/>
      <c r="AE358" s="1296"/>
      <c r="AF358" s="1296"/>
      <c r="AG358" s="1296"/>
      <c r="AH358" s="1296"/>
      <c r="AI358" s="1296"/>
      <c r="AJ358" s="1296"/>
      <c r="AK358" s="1296"/>
      <c r="AL358" s="1296"/>
      <c r="AM358" s="1296"/>
      <c r="AN358" s="1296"/>
      <c r="AO358" s="1296"/>
      <c r="AP358" s="1296"/>
      <c r="AQ358" s="1296"/>
      <c r="AR358" s="1296"/>
      <c r="AS358" s="1296"/>
      <c r="AT358" s="1296"/>
      <c r="AU358" s="1296"/>
      <c r="AV358" s="1296"/>
      <c r="AW358" s="1296"/>
      <c r="AX358" s="1296"/>
      <c r="AY358" s="1296"/>
      <c r="AZ358" s="1296"/>
      <c r="BA358" s="1296"/>
      <c r="BB358" s="1296"/>
      <c r="BC358" s="1296"/>
      <c r="BD358" s="1296"/>
      <c r="BE358" s="1296"/>
      <c r="BF358" s="1296"/>
      <c r="BG358" s="1296"/>
      <c r="BH358" s="1296"/>
      <c r="BI358" s="1296"/>
      <c r="BJ358" s="1296"/>
      <c r="BK358" s="1296"/>
      <c r="BL358" s="1296"/>
      <c r="BM358" s="1296"/>
      <c r="BN358" s="1296"/>
      <c r="BO358" s="1296"/>
      <c r="BP358" s="1296"/>
      <c r="BQ358" s="1296"/>
      <c r="BR358" s="1296"/>
      <c r="BS358" s="1296"/>
      <c r="BT358" s="1296"/>
      <c r="BU358" s="1296"/>
      <c r="BV358" s="1296"/>
      <c r="BW358" s="1296"/>
      <c r="BX358" s="1296"/>
      <c r="BY358" s="1296"/>
      <c r="BZ358" s="1296"/>
      <c r="CA358" s="1296"/>
      <c r="CB358" s="1296"/>
      <c r="CC358" s="1296"/>
      <c r="CD358" s="1296"/>
      <c r="CE358" s="1296"/>
      <c r="CF358" s="1296"/>
      <c r="CG358" s="1296"/>
      <c r="CH358" s="1296"/>
      <c r="CI358" s="1296"/>
      <c r="CJ358" s="1296"/>
      <c r="CK358" s="1296"/>
    </row>
    <row r="359" spans="1:89" ht="45.75" thickBot="1" x14ac:dyDescent="0.3">
      <c r="A359" s="1296"/>
      <c r="B359" s="1182"/>
      <c r="C359" s="1177" t="s">
        <v>1400</v>
      </c>
      <c r="D359" s="1177" t="s">
        <v>1510</v>
      </c>
      <c r="E359" s="1177" t="s">
        <v>767</v>
      </c>
      <c r="F359" s="1177" t="s">
        <v>1515</v>
      </c>
      <c r="G359" s="1178" t="s">
        <v>1835</v>
      </c>
      <c r="H359" s="1178" t="s">
        <v>1414</v>
      </c>
      <c r="I359" s="1178" t="s">
        <v>1398</v>
      </c>
      <c r="J359" s="1177" t="s">
        <v>1399</v>
      </c>
      <c r="K359" s="1177" t="s">
        <v>722</v>
      </c>
      <c r="L359" s="1177" t="s">
        <v>723</v>
      </c>
      <c r="M359" s="1178" t="s">
        <v>1514</v>
      </c>
      <c r="N359" s="1296"/>
      <c r="O359" s="1296"/>
      <c r="P359" s="1296"/>
      <c r="Q359" s="1347"/>
      <c r="R359" s="1296"/>
      <c r="S359" s="1296"/>
      <c r="T359" s="1182"/>
      <c r="U359" s="1177" t="s">
        <v>1400</v>
      </c>
      <c r="V359" s="1177" t="s">
        <v>1510</v>
      </c>
      <c r="W359" s="1177" t="s">
        <v>767</v>
      </c>
      <c r="X359" s="1177" t="s">
        <v>1515</v>
      </c>
      <c r="Y359" s="1178" t="s">
        <v>1835</v>
      </c>
      <c r="Z359" s="1178" t="s">
        <v>1414</v>
      </c>
      <c r="AA359" s="1178" t="s">
        <v>1398</v>
      </c>
      <c r="AB359" s="1177" t="s">
        <v>1399</v>
      </c>
      <c r="AC359" s="1177" t="s">
        <v>722</v>
      </c>
      <c r="AD359" s="1177" t="s">
        <v>723</v>
      </c>
      <c r="AE359" s="1178" t="s">
        <v>1514</v>
      </c>
      <c r="AF359" s="1296"/>
      <c r="AG359" s="1296"/>
      <c r="AH359" s="1296"/>
      <c r="AI359" s="1296"/>
      <c r="AJ359" s="1296"/>
      <c r="AK359" s="1296"/>
      <c r="AL359" s="1296"/>
      <c r="AM359" s="1296"/>
      <c r="AN359" s="1296"/>
      <c r="AO359" s="1296"/>
      <c r="AP359" s="1296"/>
      <c r="AQ359" s="1296"/>
      <c r="AR359" s="1296"/>
      <c r="AS359" s="1296"/>
      <c r="AT359" s="1296"/>
      <c r="AU359" s="1296"/>
      <c r="AV359" s="1296"/>
      <c r="AW359" s="1296"/>
      <c r="AX359" s="1296"/>
      <c r="AY359" s="1296"/>
      <c r="AZ359" s="1296"/>
      <c r="BA359" s="1296"/>
      <c r="BB359" s="1296"/>
      <c r="BC359" s="1296"/>
      <c r="BD359" s="1296"/>
      <c r="BE359" s="1296"/>
      <c r="BF359" s="1296"/>
      <c r="BG359" s="1296"/>
      <c r="BH359" s="1296"/>
      <c r="BI359" s="1296"/>
      <c r="BJ359" s="1296"/>
      <c r="BK359" s="1296"/>
      <c r="BL359" s="1296"/>
      <c r="BM359" s="1296"/>
      <c r="BN359" s="1296"/>
      <c r="BO359" s="1296"/>
      <c r="BP359" s="1296"/>
      <c r="BQ359" s="1296"/>
      <c r="BR359" s="1296"/>
      <c r="BS359" s="1296"/>
      <c r="BT359" s="1296"/>
      <c r="BU359" s="1296"/>
      <c r="BV359" s="1296"/>
      <c r="BW359" s="1296"/>
      <c r="BX359" s="1296"/>
      <c r="BY359" s="1296"/>
      <c r="BZ359" s="1296"/>
      <c r="CA359" s="1296"/>
      <c r="CB359" s="1296"/>
      <c r="CC359" s="1296"/>
      <c r="CD359" s="1296"/>
      <c r="CE359" s="1296"/>
      <c r="CF359" s="1296"/>
      <c r="CG359" s="1296"/>
      <c r="CH359" s="1296"/>
      <c r="CI359" s="1296"/>
    </row>
    <row r="360" spans="1:89" ht="60.75" thickBot="1" x14ac:dyDescent="0.3">
      <c r="A360" s="1296"/>
      <c r="B360" s="1320" t="s">
        <v>1837</v>
      </c>
      <c r="C360" s="1185" t="s">
        <v>1633</v>
      </c>
      <c r="D360" s="1313">
        <v>501</v>
      </c>
      <c r="E360" s="1298" t="s">
        <v>1894</v>
      </c>
      <c r="F360" s="1298" t="s">
        <v>1625</v>
      </c>
      <c r="G360" s="1181" t="str" cm="1">
        <f t="array" aca="1" ref="G360" ca="1">IF(INDIRECT("'Incentives Worksheet'!R"&amp;'Configurable Tab'!H31+3)="USF Calendar","Fiscal",INDIRECT("'Incentives Worksheet'!R"&amp;'Configurable Tab'!H31+3))</f>
        <v>Calendar</v>
      </c>
      <c r="H360" s="1181" t="str" cm="1">
        <f t="array" aca="1" ref="H360" ca="1">IF(ISBLANK(INDIRECT("'Incentives Worksheet'!L"&amp;'Configurable Tab'!H31+3)),"",INDIRECT("'Incentives Worksheet'!L"&amp;'Configurable Tab'!H31+3))</f>
        <v/>
      </c>
      <c r="I360" s="1181" t="str" cm="1">
        <f t="array" aca="1" ref="I360" ca="1">IF(ISBLANK(INDIRECT("'Incentives Worksheet'!J"&amp;'Configurable Tab'!H31+3)),"",INDIRECT("'Incentives Worksheet'!J"&amp;'Configurable Tab'!H31+3))</f>
        <v/>
      </c>
      <c r="J360" s="1181" t="str" cm="1">
        <f t="array" aca="1" ref="J360" ca="1">IF(ISBLANK(INDIRECT("'Incentives Worksheet'!N"&amp;'Configurable Tab'!H31+3)),"",INDIRECT("'Incentives Worksheet'!N"&amp;'Configurable Tab'!H31+3))</f>
        <v/>
      </c>
      <c r="K360" s="1314" t="str" cm="1">
        <f t="array" aca="1" ref="K360" ca="1">INDIRECT("'Incentives Worksheet'!D"&amp;'Configurable Tab'!H31+6)</f>
        <v/>
      </c>
      <c r="L360" s="1314" t="str" cm="1">
        <f t="array" aca="1" ref="L360" ca="1">INDIRECT("'Incentives Worksheet'!D"&amp;'Configurable Tab'!H31+8)</f>
        <v/>
      </c>
      <c r="M360" s="1181" t="str" cm="1">
        <f t="array" aca="1" ref="M360" ca="1">INDIRECT("'Incentives Worksheet'!D"&amp;'Configurable Tab'!H31+10)</f>
        <v>Yes</v>
      </c>
      <c r="N360" s="1296"/>
      <c r="O360" s="1296"/>
      <c r="P360" s="1296"/>
      <c r="Q360" s="1347"/>
      <c r="R360" s="1296"/>
      <c r="S360" s="1296"/>
      <c r="T360" s="1320" t="s">
        <v>1837</v>
      </c>
      <c r="U360" s="1185" t="s">
        <v>1633</v>
      </c>
      <c r="V360" s="1313">
        <v>502</v>
      </c>
      <c r="W360" s="1298" t="s">
        <v>1894</v>
      </c>
      <c r="X360" s="1298" t="s">
        <v>1625</v>
      </c>
      <c r="Y360" s="1181" t="str" cm="1">
        <f t="array" aca="1" ref="Y360" ca="1">IF(INDIRECT("'Incentives Worksheet'!R"&amp;'Configurable Tab'!H32+3)="USF Calendar","Fiscal",INDIRECT("'Incentives Worksheet'!R"&amp;'Configurable Tab'!H32+3))</f>
        <v>Calendar</v>
      </c>
      <c r="Z360" s="1181" t="str" cm="1">
        <f t="array" aca="1" ref="Z360" ca="1">IF(ISBLANK(INDIRECT("'Incentives Worksheet'!L"&amp;'Configurable Tab'!H32+3)),"",INDIRECT("'Incentives Worksheet'!L"&amp;'Configurable Tab'!H32+3))</f>
        <v/>
      </c>
      <c r="AA360" s="1181" t="str" cm="1">
        <f t="array" aca="1" ref="AA360" ca="1">IF(ISBLANK(INDIRECT("'Incentives Worksheet'!J"&amp;'Configurable Tab'!H32+3)),"",INDIRECT("'Incentives Worksheet'!J"&amp;'Configurable Tab'!H32+3))</f>
        <v/>
      </c>
      <c r="AB360" s="1181" t="str" cm="1">
        <f t="array" aca="1" ref="AB360" ca="1">IF(ISBLANK(INDIRECT("'Incentives Worksheet'!N"&amp;'Configurable Tab'!H32+3)),"",INDIRECT("'Incentives Worksheet'!N"&amp;'Configurable Tab'!H32+3))</f>
        <v/>
      </c>
      <c r="AC360" s="1314" t="str" cm="1">
        <f t="array" aca="1" ref="AC360" ca="1">INDIRECT("'Incentives Worksheet'!D"&amp;'Configurable Tab'!H32+6)</f>
        <v/>
      </c>
      <c r="AD360" s="1314" t="str" cm="1">
        <f t="array" aca="1" ref="AD360" ca="1">INDIRECT("'Incentives Worksheet'!D"&amp;'Configurable Tab'!H32+8)</f>
        <v/>
      </c>
      <c r="AE360" s="1181" t="str" cm="1">
        <f t="array" aca="1" ref="AE360" ca="1">INDIRECT("'Incentives Worksheet'!D"&amp;'Configurable Tab'!H32+10)</f>
        <v>Yes</v>
      </c>
      <c r="AF360" s="1296"/>
      <c r="AG360" s="1296"/>
      <c r="AH360" s="1296"/>
      <c r="AI360" s="1296"/>
      <c r="AJ360" s="1296"/>
      <c r="AK360" s="1296"/>
      <c r="AL360" s="1296"/>
      <c r="AM360" s="1296"/>
      <c r="AN360" s="1296"/>
      <c r="AO360" s="1296"/>
      <c r="AP360" s="1296"/>
      <c r="AQ360" s="1296"/>
      <c r="AR360" s="1296"/>
      <c r="AS360" s="1296"/>
      <c r="AT360" s="1296"/>
      <c r="AU360" s="1296"/>
      <c r="AV360" s="1296"/>
      <c r="AW360" s="1296"/>
      <c r="AX360" s="1296"/>
      <c r="AY360" s="1296"/>
      <c r="AZ360" s="1296"/>
      <c r="BA360" s="1296"/>
      <c r="BB360" s="1296"/>
      <c r="BC360" s="1296"/>
      <c r="BD360" s="1296"/>
      <c r="BE360" s="1296"/>
      <c r="BF360" s="1296"/>
      <c r="BG360" s="1296"/>
      <c r="BH360" s="1296"/>
      <c r="BI360" s="1296"/>
      <c r="BJ360" s="1296"/>
      <c r="BK360" s="1296"/>
      <c r="BL360" s="1296"/>
      <c r="BM360" s="1296"/>
      <c r="BN360" s="1296"/>
      <c r="BO360" s="1296"/>
      <c r="BP360" s="1296"/>
      <c r="BQ360" s="1296"/>
      <c r="BR360" s="1296"/>
      <c r="BS360" s="1296"/>
      <c r="BT360" s="1296"/>
      <c r="BU360" s="1296"/>
      <c r="BV360" s="1296"/>
      <c r="BW360" s="1296"/>
      <c r="BX360" s="1296"/>
      <c r="BY360" s="1296"/>
      <c r="BZ360" s="1296"/>
      <c r="CA360" s="1296"/>
      <c r="CB360" s="1296"/>
      <c r="CC360" s="1296"/>
      <c r="CD360" s="1296"/>
      <c r="CE360" s="1296"/>
      <c r="CF360" s="1296"/>
      <c r="CG360" s="1296"/>
      <c r="CH360" s="1296"/>
      <c r="CI360" s="1296"/>
    </row>
    <row r="361" spans="1:89" ht="45.75" thickBot="1" x14ac:dyDescent="0.3">
      <c r="A361" s="1296"/>
      <c r="B361" s="1719" t="s">
        <v>1885</v>
      </c>
      <c r="C361" s="1210" t="s">
        <v>1886</v>
      </c>
      <c r="D361" s="1177" t="s">
        <v>1887</v>
      </c>
      <c r="E361" s="1178" t="s">
        <v>728</v>
      </c>
      <c r="F361" s="1177" t="s">
        <v>1888</v>
      </c>
      <c r="G361" s="1177" t="s">
        <v>1892</v>
      </c>
      <c r="H361" s="1296"/>
      <c r="I361" s="1296"/>
      <c r="J361" s="1296"/>
      <c r="K361" s="1296"/>
      <c r="L361" s="1296"/>
      <c r="M361" s="138"/>
      <c r="N361" s="1296"/>
      <c r="O361" s="1296"/>
      <c r="P361" s="1296"/>
      <c r="Q361" s="1347"/>
      <c r="R361" s="1296"/>
      <c r="S361" s="1296"/>
      <c r="T361" s="1719" t="s">
        <v>1885</v>
      </c>
      <c r="U361" s="1210" t="s">
        <v>1886</v>
      </c>
      <c r="V361" s="1177" t="s">
        <v>1887</v>
      </c>
      <c r="W361" s="1178" t="s">
        <v>728</v>
      </c>
      <c r="X361" s="1177" t="s">
        <v>1888</v>
      </c>
      <c r="Y361" s="1177" t="s">
        <v>1824</v>
      </c>
      <c r="Z361" s="1177" t="s">
        <v>1892</v>
      </c>
      <c r="AA361" s="1296"/>
      <c r="AB361" s="1296"/>
      <c r="AC361" s="1296"/>
      <c r="AD361" s="1296"/>
      <c r="AE361" s="138"/>
      <c r="AF361" s="1296"/>
      <c r="AG361" s="1296"/>
      <c r="AH361" s="1296"/>
      <c r="AI361" s="1296"/>
      <c r="AJ361" s="1296"/>
      <c r="AK361" s="1296"/>
      <c r="AL361" s="1296"/>
      <c r="AM361" s="1296"/>
      <c r="AN361" s="1296"/>
      <c r="AO361" s="1296"/>
      <c r="AP361" s="1296"/>
      <c r="AQ361" s="1296"/>
      <c r="AR361" s="1296"/>
      <c r="AS361" s="1296"/>
      <c r="AT361" s="1296"/>
      <c r="AU361" s="1296"/>
      <c r="AV361" s="1296"/>
      <c r="AW361" s="1296"/>
      <c r="AX361" s="1296"/>
      <c r="AY361" s="1296"/>
      <c r="AZ361" s="1296"/>
      <c r="BA361" s="1296"/>
      <c r="BB361" s="1296"/>
      <c r="BC361" s="1296"/>
      <c r="BD361" s="1296"/>
      <c r="BE361" s="1296"/>
      <c r="BF361" s="1296"/>
      <c r="BG361" s="1296"/>
      <c r="BH361" s="1296"/>
      <c r="BI361" s="1296"/>
      <c r="BJ361" s="1296"/>
      <c r="BK361" s="1296"/>
      <c r="BL361" s="1296"/>
      <c r="BM361" s="1296"/>
      <c r="BN361" s="1296"/>
      <c r="BO361" s="1296"/>
      <c r="BP361" s="1296"/>
      <c r="BQ361" s="1296"/>
      <c r="BR361" s="1296"/>
      <c r="BS361" s="1296"/>
      <c r="BT361" s="1296"/>
      <c r="BU361" s="1296"/>
      <c r="BV361" s="1296"/>
      <c r="BW361" s="1296"/>
      <c r="BX361" s="1296"/>
      <c r="BY361" s="1296"/>
      <c r="BZ361" s="1296"/>
      <c r="CA361" s="1296"/>
      <c r="CB361" s="1296"/>
      <c r="CC361" s="1296"/>
      <c r="CD361" s="1296"/>
      <c r="CE361" s="1296"/>
      <c r="CF361" s="1296"/>
      <c r="CG361" s="1296"/>
      <c r="CH361" s="1296"/>
      <c r="CI361" s="1296"/>
    </row>
    <row r="362" spans="1:89" ht="15.75" thickBot="1" x14ac:dyDescent="0.3">
      <c r="A362" s="1296"/>
      <c r="B362" s="1725"/>
      <c r="C362" s="1246" t="str" cm="1">
        <f t="array" aca="1" ref="C362" ca="1">INDIRECT("'Incentives Worksheet'!R"&amp;'Configurable Tab'!H31+6)</f>
        <v>Pre Pay</v>
      </c>
      <c r="D362" s="1246" t="str" cm="1">
        <f t="array" aca="1" ref="D362" ca="1">INDIRECT("'Incentives Worksheet'!T"&amp;'Configurable Tab'!H31+6)</f>
        <v>Sales</v>
      </c>
      <c r="E362" s="1279" t="str" cm="1">
        <f t="array" aca="1" ref="E362" ca="1">IF(INDIRECT("'Incentives Worksheet'!H"&amp;'Configurable Tab'!H31+6)=0,"",INDIRECT("'Incentives Worksheet'!H"&amp;'Configurable Tab'!H31+6))</f>
        <v/>
      </c>
      <c r="F362" s="1246" t="s">
        <v>1138</v>
      </c>
      <c r="G362" s="1279" t="str">
        <f>IFERROR(IF('Tracking &amp; Profitability'!E6*'Tracking &amp; Profitability'!E5=0,"",'Tracking &amp; Profitability'!E6*'Tracking &amp; Profitability'!E5),"")</f>
        <v/>
      </c>
      <c r="H362" s="1296"/>
      <c r="I362" s="1296"/>
      <c r="J362" s="1296"/>
      <c r="K362" s="1296"/>
      <c r="L362" s="1296"/>
      <c r="M362" s="138"/>
      <c r="N362" s="1296"/>
      <c r="O362" s="1296"/>
      <c r="P362" s="1296"/>
      <c r="Q362" s="1347"/>
      <c r="R362" s="1296"/>
      <c r="S362" s="1296"/>
      <c r="T362" s="1725"/>
      <c r="U362" s="1246" t="str" cm="1">
        <f t="array" aca="1" ref="U362" ca="1">INDIRECT("'Incentives Worksheet'!R"&amp;'Configurable Tab'!H32+6)</f>
        <v>Pre Pay</v>
      </c>
      <c r="V362" s="1246" t="str" cm="1">
        <f t="array" aca="1" ref="V362" ca="1">INDIRECT("'Incentives Worksheet'!T"&amp;'Configurable Tab'!H32+6)</f>
        <v>Sales</v>
      </c>
      <c r="W362" s="1279" t="str" cm="1">
        <f t="array" aca="1" ref="W362" ca="1">IF(INDIRECT("'Incentives Worksheet'!H"&amp;'Configurable Tab'!H32+6)=0,"",INDIRECT("'Incentives Worksheet'!H"&amp;'Configurable Tab'!H32+6))</f>
        <v/>
      </c>
      <c r="X362" s="1246" t="s">
        <v>1138</v>
      </c>
      <c r="Y362" s="1246"/>
      <c r="Z362" s="1279">
        <f>IFERROR('Tracking &amp; Profitability'!E6*'Tracking &amp; Profitability'!E5,0)</f>
        <v>0</v>
      </c>
      <c r="AA362" s="1296"/>
      <c r="AB362" s="1296"/>
      <c r="AC362" s="1296"/>
      <c r="AD362" s="1296"/>
      <c r="AE362" s="138"/>
      <c r="AF362" s="1296"/>
      <c r="AG362" s="1296"/>
      <c r="AH362" s="1296"/>
      <c r="AI362" s="1296"/>
      <c r="AJ362" s="1296"/>
      <c r="AK362" s="1296"/>
      <c r="AL362" s="1296"/>
      <c r="AM362" s="1296"/>
      <c r="AN362" s="1296"/>
      <c r="AO362" s="1296"/>
      <c r="AP362" s="1296"/>
      <c r="AQ362" s="1296"/>
      <c r="AR362" s="1296"/>
      <c r="AS362" s="1296"/>
      <c r="AT362" s="1296"/>
      <c r="AU362" s="1296"/>
      <c r="AV362" s="1296"/>
      <c r="AW362" s="1296"/>
      <c r="AX362" s="1296"/>
      <c r="AY362" s="1296"/>
      <c r="AZ362" s="1296"/>
      <c r="BA362" s="1296"/>
      <c r="BB362" s="1296"/>
      <c r="BC362" s="1296"/>
      <c r="BD362" s="1296"/>
      <c r="BE362" s="1296"/>
      <c r="BF362" s="1296"/>
      <c r="BG362" s="1296"/>
      <c r="BH362" s="1296"/>
      <c r="BI362" s="1296"/>
      <c r="BJ362" s="1296"/>
      <c r="BK362" s="1296"/>
      <c r="BL362" s="1296"/>
      <c r="BM362" s="1296"/>
      <c r="BN362" s="1296"/>
      <c r="BO362" s="1296"/>
      <c r="BP362" s="1296"/>
      <c r="BQ362" s="1296"/>
      <c r="BR362" s="1296"/>
      <c r="BS362" s="1296"/>
      <c r="BT362" s="1296"/>
      <c r="BU362" s="1296"/>
      <c r="BV362" s="1296"/>
      <c r="BW362" s="1296"/>
      <c r="BX362" s="1296"/>
      <c r="BY362" s="1296"/>
      <c r="BZ362" s="1296"/>
      <c r="CA362" s="1296"/>
      <c r="CB362" s="1296"/>
      <c r="CC362" s="1296"/>
      <c r="CD362" s="1296"/>
      <c r="CE362" s="1296"/>
      <c r="CF362" s="1296"/>
      <c r="CG362" s="1296"/>
      <c r="CH362" s="1296"/>
      <c r="CI362" s="1296"/>
    </row>
    <row r="363" spans="1:89" ht="15.75" customHeight="1" thickBot="1" x14ac:dyDescent="0.3">
      <c r="A363" s="1296"/>
      <c r="B363" s="1719" t="s">
        <v>1852</v>
      </c>
      <c r="C363" s="1258" t="s">
        <v>1853</v>
      </c>
      <c r="D363" s="1200" t="s">
        <v>1843</v>
      </c>
      <c r="E363" s="1200" t="s">
        <v>131</v>
      </c>
      <c r="F363" s="1200" t="s">
        <v>1844</v>
      </c>
      <c r="G363" s="1200" t="s">
        <v>1854</v>
      </c>
      <c r="H363" s="1201" t="s">
        <v>1855</v>
      </c>
      <c r="I363" s="1202" t="s">
        <v>767</v>
      </c>
      <c r="J363" s="1202" t="s">
        <v>768</v>
      </c>
      <c r="K363" s="1202" t="s">
        <v>769</v>
      </c>
      <c r="L363" s="1202" t="s">
        <v>770</v>
      </c>
      <c r="M363" s="1202" t="s">
        <v>204</v>
      </c>
      <c r="N363" s="1296"/>
      <c r="O363" s="1296"/>
      <c r="P363" s="1296"/>
      <c r="Q363" s="1347"/>
      <c r="R363" s="1296"/>
      <c r="S363" s="1296"/>
      <c r="T363" s="1719" t="s">
        <v>1852</v>
      </c>
      <c r="U363" s="1258" t="s">
        <v>1853</v>
      </c>
      <c r="V363" s="1200" t="s">
        <v>1843</v>
      </c>
      <c r="W363" s="1200" t="s">
        <v>131</v>
      </c>
      <c r="X363" s="1200" t="s">
        <v>1844</v>
      </c>
      <c r="Y363" s="1200" t="s">
        <v>1854</v>
      </c>
      <c r="Z363" s="1201" t="s">
        <v>1855</v>
      </c>
      <c r="AA363" s="1202" t="s">
        <v>767</v>
      </c>
      <c r="AB363" s="1202" t="s">
        <v>768</v>
      </c>
      <c r="AC363" s="1202" t="s">
        <v>769</v>
      </c>
      <c r="AD363" s="1202" t="s">
        <v>770</v>
      </c>
      <c r="AE363" s="1202" t="s">
        <v>204</v>
      </c>
      <c r="AF363" s="1296"/>
      <c r="AG363" s="1296"/>
      <c r="AH363" s="1296"/>
      <c r="AI363" s="1296"/>
      <c r="AJ363" s="1296"/>
      <c r="AK363" s="1296"/>
      <c r="AL363" s="1296"/>
      <c r="AM363" s="1296"/>
      <c r="AN363" s="1296"/>
      <c r="AO363" s="1296"/>
      <c r="AP363" s="1296"/>
      <c r="AQ363" s="1296"/>
      <c r="AR363" s="1296"/>
      <c r="AS363" s="1296"/>
      <c r="AT363" s="1296"/>
      <c r="AU363" s="1296"/>
      <c r="AV363" s="1296"/>
      <c r="AW363" s="1296"/>
      <c r="AX363" s="1296"/>
      <c r="AY363" s="1296"/>
      <c r="AZ363" s="1296"/>
      <c r="BA363" s="1296"/>
      <c r="BB363" s="1296"/>
      <c r="BC363" s="1296"/>
      <c r="BD363" s="1296"/>
      <c r="BE363" s="1296"/>
      <c r="BF363" s="1296"/>
      <c r="BG363" s="1296"/>
      <c r="BH363" s="1296"/>
      <c r="BI363" s="1296"/>
      <c r="BJ363" s="1296"/>
      <c r="BK363" s="1296"/>
      <c r="BL363" s="1296"/>
      <c r="BM363" s="1296"/>
      <c r="BN363" s="1296"/>
      <c r="BO363" s="1296"/>
      <c r="BP363" s="1296"/>
      <c r="BQ363" s="1296"/>
      <c r="BR363" s="1296"/>
      <c r="BS363" s="1296"/>
      <c r="BT363" s="1296"/>
      <c r="BU363" s="1296"/>
      <c r="BV363" s="1296"/>
      <c r="BW363" s="1296"/>
      <c r="BX363" s="1296"/>
      <c r="BY363" s="1296"/>
      <c r="BZ363" s="1296"/>
      <c r="CA363" s="1296"/>
      <c r="CB363" s="1296"/>
      <c r="CC363" s="1296"/>
      <c r="CD363" s="1296"/>
      <c r="CE363" s="1296"/>
      <c r="CF363" s="1296"/>
      <c r="CG363" s="1296"/>
      <c r="CH363" s="1296"/>
    </row>
    <row r="364" spans="1:89" x14ac:dyDescent="0.25">
      <c r="A364" s="1296"/>
      <c r="B364" s="1721"/>
      <c r="C364" s="1199">
        <v>1</v>
      </c>
      <c r="D364" s="1196" t="s">
        <v>1856</v>
      </c>
      <c r="E364" s="1196" t="s">
        <v>1444</v>
      </c>
      <c r="F364" s="1196" t="str">
        <f>'Required Info to Submit'!E23</f>
        <v/>
      </c>
      <c r="G364" s="1393" t="str">
        <f>IF(F364="","",'Required Info to Submit'!K23)</f>
        <v/>
      </c>
      <c r="H364" s="1394" t="str">
        <f>IF(F364="","",'Required Info to Submit'!L23)</f>
        <v/>
      </c>
      <c r="I364" s="1196" t="str">
        <f>'Required Info to Submit'!F23</f>
        <v/>
      </c>
      <c r="J364" s="1196" t="str">
        <f>'Required Info to Submit'!G23</f>
        <v/>
      </c>
      <c r="K364" s="1196" t="str">
        <f>'Required Info to Submit'!H23</f>
        <v/>
      </c>
      <c r="L364" s="1196" t="str">
        <f>'Required Info to Submit'!I23</f>
        <v/>
      </c>
      <c r="M364" s="1196" t="str">
        <f>'Required Info to Submit'!J23</f>
        <v/>
      </c>
      <c r="N364" s="1296"/>
      <c r="O364" s="1296"/>
      <c r="P364" s="1296"/>
      <c r="Q364" s="1347"/>
      <c r="R364" s="1296"/>
      <c r="S364" s="1296"/>
      <c r="T364" s="1723"/>
      <c r="U364" s="1199">
        <v>1</v>
      </c>
      <c r="V364" s="1196" t="s">
        <v>1856</v>
      </c>
      <c r="W364" s="1196" t="s">
        <v>1444</v>
      </c>
      <c r="X364" s="1196" t="str">
        <f>'Required Info to Submit'!E23</f>
        <v/>
      </c>
      <c r="Y364" s="1393" t="str">
        <f>IF(X364="","",'Required Info to Submit'!K23)</f>
        <v/>
      </c>
      <c r="Z364" s="1394" t="str">
        <f>IF(X364="","",'Required Info to Submit'!L23)</f>
        <v/>
      </c>
      <c r="AA364" s="1196" t="str">
        <f>'Required Info to Submit'!F23</f>
        <v/>
      </c>
      <c r="AB364" s="1196" t="str">
        <f>'Required Info to Submit'!G23</f>
        <v/>
      </c>
      <c r="AC364" s="1196" t="str">
        <f>'Required Info to Submit'!H23</f>
        <v/>
      </c>
      <c r="AD364" s="1196" t="str">
        <f>'Required Info to Submit'!I23</f>
        <v/>
      </c>
      <c r="AE364" s="1196" t="str">
        <f>'Required Info to Submit'!J23</f>
        <v/>
      </c>
      <c r="AF364" s="1296"/>
      <c r="AG364" s="1296"/>
      <c r="AH364" s="1296"/>
      <c r="AI364" s="1296"/>
      <c r="AJ364" s="1296"/>
      <c r="AK364" s="1296"/>
      <c r="AL364" s="1296"/>
      <c r="AM364" s="1296"/>
      <c r="AN364" s="1296"/>
      <c r="AO364" s="1296"/>
      <c r="AP364" s="1296"/>
      <c r="AQ364" s="1296"/>
      <c r="AR364" s="1296"/>
      <c r="AS364" s="1296"/>
      <c r="AT364" s="1296"/>
      <c r="AU364" s="1296"/>
      <c r="AV364" s="1296"/>
      <c r="AW364" s="1296"/>
      <c r="AX364" s="1296"/>
      <c r="AY364" s="1296"/>
      <c r="AZ364" s="1296"/>
      <c r="BA364" s="1296"/>
      <c r="BB364" s="1296"/>
      <c r="BC364" s="1296"/>
      <c r="BD364" s="1296"/>
      <c r="BE364" s="1296"/>
      <c r="BF364" s="1296"/>
      <c r="BG364" s="1296"/>
      <c r="BH364" s="1296"/>
      <c r="BI364" s="1296"/>
      <c r="BJ364" s="1296"/>
      <c r="BK364" s="1296"/>
      <c r="BL364" s="1296"/>
      <c r="BM364" s="1296"/>
      <c r="BN364" s="1296"/>
      <c r="BO364" s="1296"/>
      <c r="BP364" s="1296"/>
      <c r="BQ364" s="1296"/>
      <c r="BR364" s="1296"/>
      <c r="BS364" s="1296"/>
      <c r="BT364" s="1296"/>
      <c r="BU364" s="1296"/>
      <c r="BV364" s="1296"/>
      <c r="BW364" s="1296"/>
      <c r="BX364" s="1296"/>
      <c r="BY364" s="1296"/>
      <c r="BZ364" s="1296"/>
      <c r="CA364" s="1296"/>
      <c r="CB364" s="1296"/>
      <c r="CC364" s="1296"/>
      <c r="CD364" s="1296"/>
      <c r="CE364" s="1296"/>
      <c r="CF364" s="1296"/>
      <c r="CG364" s="1296"/>
      <c r="CH364" s="1296"/>
    </row>
    <row r="365" spans="1:89" x14ac:dyDescent="0.25">
      <c r="A365" s="1296"/>
      <c r="B365" s="1721"/>
      <c r="C365" s="1205">
        <v>2</v>
      </c>
      <c r="D365" s="1196" t="s">
        <v>1856</v>
      </c>
      <c r="E365" s="1196" t="s">
        <v>1444</v>
      </c>
      <c r="F365" s="1196" t="str">
        <f>'Required Info to Submit'!E24</f>
        <v/>
      </c>
      <c r="G365" s="1393" t="str">
        <f>IF(F365="","",'Required Info to Submit'!K24)</f>
        <v/>
      </c>
      <c r="H365" s="1394" t="str">
        <f>IF(F365="","",'Required Info to Submit'!L24)</f>
        <v/>
      </c>
      <c r="I365" s="1196" t="str">
        <f>'Required Info to Submit'!F24</f>
        <v/>
      </c>
      <c r="J365" s="1196" t="str">
        <f>'Required Info to Submit'!G24</f>
        <v/>
      </c>
      <c r="K365" s="1196" t="str">
        <f>'Required Info to Submit'!H24</f>
        <v/>
      </c>
      <c r="L365" s="1196" t="str">
        <f>'Required Info to Submit'!I24</f>
        <v/>
      </c>
      <c r="M365" s="1196" t="str">
        <f>'Required Info to Submit'!J24</f>
        <v/>
      </c>
      <c r="N365" s="1296"/>
      <c r="O365" s="1296"/>
      <c r="P365" s="1296"/>
      <c r="Q365" s="1347"/>
      <c r="R365" s="1296"/>
      <c r="S365" s="1296"/>
      <c r="T365" s="1723"/>
      <c r="U365" s="1205">
        <v>2</v>
      </c>
      <c r="V365" s="1196" t="s">
        <v>1856</v>
      </c>
      <c r="W365" s="1196" t="s">
        <v>1444</v>
      </c>
      <c r="X365" s="1196" t="str">
        <f>'Required Info to Submit'!E24</f>
        <v/>
      </c>
      <c r="Y365" s="1393" t="str">
        <f>IF(X365="","",'Required Info to Submit'!K24)</f>
        <v/>
      </c>
      <c r="Z365" s="1394" t="str">
        <f>IF(X365="","",'Required Info to Submit'!L24)</f>
        <v/>
      </c>
      <c r="AA365" s="1196" t="str">
        <f>'Required Info to Submit'!F24</f>
        <v/>
      </c>
      <c r="AB365" s="1196" t="str">
        <f>'Required Info to Submit'!G24</f>
        <v/>
      </c>
      <c r="AC365" s="1196" t="str">
        <f>'Required Info to Submit'!H24</f>
        <v/>
      </c>
      <c r="AD365" s="1196" t="str">
        <f>'Required Info to Submit'!I24</f>
        <v/>
      </c>
      <c r="AE365" s="1196" t="str">
        <f>'Required Info to Submit'!J24</f>
        <v/>
      </c>
      <c r="AF365" s="1296"/>
      <c r="AG365" s="1296"/>
      <c r="AH365" s="1296"/>
      <c r="AI365" s="1296"/>
      <c r="AJ365" s="1296"/>
      <c r="AK365" s="1296"/>
      <c r="AL365" s="1296"/>
      <c r="AM365" s="1296"/>
      <c r="AN365" s="1296"/>
      <c r="AO365" s="1296"/>
      <c r="AP365" s="1296"/>
      <c r="AQ365" s="1296"/>
      <c r="AR365" s="1296"/>
      <c r="AS365" s="1296"/>
      <c r="AT365" s="1296"/>
      <c r="AU365" s="1296"/>
      <c r="AV365" s="1296"/>
      <c r="AW365" s="1296"/>
      <c r="AX365" s="1296"/>
      <c r="AY365" s="1296"/>
      <c r="AZ365" s="1296"/>
      <c r="BA365" s="1296"/>
      <c r="BB365" s="1296"/>
      <c r="BC365" s="1296"/>
      <c r="BD365" s="1296"/>
      <c r="BE365" s="1296"/>
      <c r="BF365" s="1296"/>
      <c r="BG365" s="1296"/>
      <c r="BH365" s="1296"/>
      <c r="BI365" s="1296"/>
      <c r="BJ365" s="1296"/>
      <c r="BK365" s="1296"/>
      <c r="BL365" s="1296"/>
      <c r="BM365" s="1296"/>
      <c r="BN365" s="1296"/>
      <c r="BO365" s="1296"/>
      <c r="BP365" s="1296"/>
      <c r="BQ365" s="1296"/>
      <c r="BR365" s="1296"/>
      <c r="BS365" s="1296"/>
      <c r="BT365" s="1296"/>
      <c r="BU365" s="1296"/>
      <c r="BV365" s="1296"/>
      <c r="BW365" s="1296"/>
      <c r="BX365" s="1296"/>
      <c r="BY365" s="1296"/>
      <c r="BZ365" s="1296"/>
      <c r="CA365" s="1296"/>
      <c r="CB365" s="1296"/>
      <c r="CC365" s="1296"/>
      <c r="CD365" s="1296"/>
      <c r="CE365" s="1296"/>
      <c r="CF365" s="1296"/>
      <c r="CG365" s="1296"/>
      <c r="CH365" s="1296"/>
    </row>
    <row r="366" spans="1:89" x14ac:dyDescent="0.25">
      <c r="A366" s="1296"/>
      <c r="B366" s="1721"/>
      <c r="C366" s="1205">
        <v>3</v>
      </c>
      <c r="D366" s="1196" t="s">
        <v>1856</v>
      </c>
      <c r="E366" s="1196" t="s">
        <v>1444</v>
      </c>
      <c r="F366" s="1196" t="str">
        <f>'Required Info to Submit'!E25</f>
        <v/>
      </c>
      <c r="G366" s="1393" t="str">
        <f>IF(F366="","",'Required Info to Submit'!K25)</f>
        <v/>
      </c>
      <c r="H366" s="1394" t="str">
        <f>IF(F366="","",'Required Info to Submit'!L25)</f>
        <v/>
      </c>
      <c r="I366" s="1196" t="str">
        <f>'Required Info to Submit'!F25</f>
        <v/>
      </c>
      <c r="J366" s="1196" t="str">
        <f>'Required Info to Submit'!G25</f>
        <v/>
      </c>
      <c r="K366" s="1196" t="str">
        <f>'Required Info to Submit'!H25</f>
        <v/>
      </c>
      <c r="L366" s="1196" t="str">
        <f>'Required Info to Submit'!I25</f>
        <v/>
      </c>
      <c r="M366" s="1196" t="str">
        <f>'Required Info to Submit'!J25</f>
        <v/>
      </c>
      <c r="N366" s="1296"/>
      <c r="O366" s="1296"/>
      <c r="P366" s="1296"/>
      <c r="Q366" s="1347"/>
      <c r="R366" s="1296"/>
      <c r="S366" s="1296"/>
      <c r="T366" s="1723"/>
      <c r="U366" s="1205">
        <v>3</v>
      </c>
      <c r="V366" s="1196" t="s">
        <v>1856</v>
      </c>
      <c r="W366" s="1196" t="s">
        <v>1444</v>
      </c>
      <c r="X366" s="1196" t="str">
        <f>'Required Info to Submit'!E25</f>
        <v/>
      </c>
      <c r="Y366" s="1393" t="str">
        <f>IF(X366="","",'Required Info to Submit'!K25)</f>
        <v/>
      </c>
      <c r="Z366" s="1394" t="str">
        <f>IF(X366="","",'Required Info to Submit'!L25)</f>
        <v/>
      </c>
      <c r="AA366" s="1196" t="str">
        <f>'Required Info to Submit'!F25</f>
        <v/>
      </c>
      <c r="AB366" s="1196" t="str">
        <f>'Required Info to Submit'!G25</f>
        <v/>
      </c>
      <c r="AC366" s="1196" t="str">
        <f>'Required Info to Submit'!H25</f>
        <v/>
      </c>
      <c r="AD366" s="1196" t="str">
        <f>'Required Info to Submit'!I25</f>
        <v/>
      </c>
      <c r="AE366" s="1196" t="str">
        <f>'Required Info to Submit'!J25</f>
        <v/>
      </c>
      <c r="AF366" s="1296"/>
      <c r="AG366" s="1296"/>
      <c r="AH366" s="1296"/>
      <c r="AI366" s="1296"/>
      <c r="AJ366" s="1296"/>
      <c r="AK366" s="1296"/>
      <c r="AL366" s="1296"/>
      <c r="AM366" s="1296"/>
      <c r="AN366" s="1296"/>
      <c r="AO366" s="1296"/>
      <c r="AP366" s="1296"/>
      <c r="AQ366" s="1296"/>
      <c r="AR366" s="1296"/>
      <c r="AS366" s="1296"/>
      <c r="AT366" s="1296"/>
      <c r="AU366" s="1296"/>
      <c r="AV366" s="1296"/>
      <c r="AW366" s="1296"/>
      <c r="AX366" s="1296"/>
      <c r="AY366" s="1296"/>
      <c r="AZ366" s="1296"/>
      <c r="BA366" s="1296"/>
      <c r="BB366" s="1296"/>
      <c r="BC366" s="1296"/>
      <c r="BD366" s="1296"/>
      <c r="BE366" s="1296"/>
      <c r="BF366" s="1296"/>
      <c r="BG366" s="1296"/>
      <c r="BH366" s="1296"/>
      <c r="BI366" s="1296"/>
      <c r="BJ366" s="1296"/>
      <c r="BK366" s="1296"/>
      <c r="BL366" s="1296"/>
      <c r="BM366" s="1296"/>
      <c r="BN366" s="1296"/>
      <c r="BO366" s="1296"/>
      <c r="BP366" s="1296"/>
      <c r="BQ366" s="1296"/>
      <c r="BR366" s="1296"/>
      <c r="BS366" s="1296"/>
      <c r="BT366" s="1296"/>
      <c r="BU366" s="1296"/>
      <c r="BV366" s="1296"/>
      <c r="BW366" s="1296"/>
      <c r="BX366" s="1296"/>
      <c r="BY366" s="1296"/>
      <c r="BZ366" s="1296"/>
      <c r="CA366" s="1296"/>
      <c r="CB366" s="1296"/>
      <c r="CC366" s="1296"/>
      <c r="CD366" s="1296"/>
      <c r="CE366" s="1296"/>
      <c r="CF366" s="1296"/>
      <c r="CG366" s="1296"/>
      <c r="CH366" s="1296"/>
    </row>
    <row r="367" spans="1:89" x14ac:dyDescent="0.25">
      <c r="A367" s="1296"/>
      <c r="B367" s="1721"/>
      <c r="C367" s="1205">
        <v>4</v>
      </c>
      <c r="D367" s="1196" t="s">
        <v>1856</v>
      </c>
      <c r="E367" s="1196" t="s">
        <v>1444</v>
      </c>
      <c r="F367" s="1196" t="str">
        <f>'Required Info to Submit'!E26</f>
        <v/>
      </c>
      <c r="G367" s="1393" t="str">
        <f>IF(F367="","",'Required Info to Submit'!K26)</f>
        <v/>
      </c>
      <c r="H367" s="1394" t="str">
        <f>IF(F367="","",'Required Info to Submit'!L26)</f>
        <v/>
      </c>
      <c r="I367" s="1196" t="str">
        <f>'Required Info to Submit'!F26</f>
        <v/>
      </c>
      <c r="J367" s="1196" t="str">
        <f>'Required Info to Submit'!G26</f>
        <v/>
      </c>
      <c r="K367" s="1196" t="str">
        <f>'Required Info to Submit'!H26</f>
        <v/>
      </c>
      <c r="L367" s="1196" t="str">
        <f>'Required Info to Submit'!I26</f>
        <v/>
      </c>
      <c r="M367" s="1196" t="str">
        <f>'Required Info to Submit'!J26</f>
        <v/>
      </c>
      <c r="N367" s="1296"/>
      <c r="O367" s="1296"/>
      <c r="P367" s="1296"/>
      <c r="Q367" s="1347"/>
      <c r="R367" s="1296"/>
      <c r="S367" s="1296"/>
      <c r="T367" s="1723"/>
      <c r="U367" s="1205">
        <v>4</v>
      </c>
      <c r="V367" s="1196" t="s">
        <v>1856</v>
      </c>
      <c r="W367" s="1196" t="s">
        <v>1444</v>
      </c>
      <c r="X367" s="1196" t="str">
        <f>'Required Info to Submit'!E26</f>
        <v/>
      </c>
      <c r="Y367" s="1393" t="str">
        <f>IF(X367="","",'Required Info to Submit'!K26)</f>
        <v/>
      </c>
      <c r="Z367" s="1394" t="str">
        <f>IF(X367="","",'Required Info to Submit'!L26)</f>
        <v/>
      </c>
      <c r="AA367" s="1196" t="str">
        <f>'Required Info to Submit'!F26</f>
        <v/>
      </c>
      <c r="AB367" s="1196" t="str">
        <f>'Required Info to Submit'!G26</f>
        <v/>
      </c>
      <c r="AC367" s="1196" t="str">
        <f>'Required Info to Submit'!H26</f>
        <v/>
      </c>
      <c r="AD367" s="1196" t="str">
        <f>'Required Info to Submit'!I26</f>
        <v/>
      </c>
      <c r="AE367" s="1196" t="str">
        <f>'Required Info to Submit'!J26</f>
        <v/>
      </c>
      <c r="AF367" s="1296"/>
      <c r="AG367" s="1296"/>
      <c r="AH367" s="1296"/>
      <c r="AI367" s="1296"/>
      <c r="AJ367" s="1296"/>
      <c r="AK367" s="1296"/>
      <c r="AL367" s="1296"/>
      <c r="AM367" s="1296"/>
      <c r="AN367" s="1296"/>
      <c r="AO367" s="1296"/>
      <c r="AP367" s="1296"/>
      <c r="AQ367" s="1296"/>
      <c r="AR367" s="1296"/>
      <c r="AS367" s="1296"/>
      <c r="AT367" s="1296"/>
      <c r="AU367" s="1296"/>
      <c r="AV367" s="1296"/>
      <c r="AW367" s="1296"/>
      <c r="AX367" s="1296"/>
      <c r="AY367" s="1296"/>
      <c r="AZ367" s="1296"/>
      <c r="BA367" s="1296"/>
      <c r="BB367" s="1296"/>
      <c r="BC367" s="1296"/>
      <c r="BD367" s="1296"/>
      <c r="BE367" s="1296"/>
      <c r="BF367" s="1296"/>
      <c r="BG367" s="1296"/>
      <c r="BH367" s="1296"/>
      <c r="BI367" s="1296"/>
      <c r="BJ367" s="1296"/>
      <c r="BK367" s="1296"/>
      <c r="BL367" s="1296"/>
      <c r="BM367" s="1296"/>
      <c r="BN367" s="1296"/>
      <c r="BO367" s="1296"/>
      <c r="BP367" s="1296"/>
      <c r="BQ367" s="1296"/>
      <c r="BR367" s="1296"/>
      <c r="BS367" s="1296"/>
      <c r="BT367" s="1296"/>
      <c r="BU367" s="1296"/>
      <c r="BV367" s="1296"/>
      <c r="BW367" s="1296"/>
      <c r="BX367" s="1296"/>
      <c r="BY367" s="1296"/>
      <c r="BZ367" s="1296"/>
      <c r="CA367" s="1296"/>
      <c r="CB367" s="1296"/>
      <c r="CC367" s="1296"/>
      <c r="CD367" s="1296"/>
      <c r="CE367" s="1296"/>
      <c r="CF367" s="1296"/>
      <c r="CG367" s="1296"/>
      <c r="CH367" s="1296"/>
    </row>
    <row r="368" spans="1:89" x14ac:dyDescent="0.25">
      <c r="A368" s="1296"/>
      <c r="B368" s="1721"/>
      <c r="C368" s="1205">
        <v>5</v>
      </c>
      <c r="D368" s="1196" t="s">
        <v>1856</v>
      </c>
      <c r="E368" s="1196" t="s">
        <v>1444</v>
      </c>
      <c r="F368" s="1196" t="str">
        <f>'Required Info to Submit'!E27</f>
        <v/>
      </c>
      <c r="G368" s="1393" t="str">
        <f>IF(F368="","",'Required Info to Submit'!K27)</f>
        <v/>
      </c>
      <c r="H368" s="1394" t="str">
        <f>IF(F368="","",'Required Info to Submit'!L27)</f>
        <v/>
      </c>
      <c r="I368" s="1196" t="str">
        <f>'Required Info to Submit'!F27</f>
        <v/>
      </c>
      <c r="J368" s="1196" t="str">
        <f>'Required Info to Submit'!G27</f>
        <v/>
      </c>
      <c r="K368" s="1196" t="str">
        <f>'Required Info to Submit'!H27</f>
        <v/>
      </c>
      <c r="L368" s="1196" t="str">
        <f>'Required Info to Submit'!I27</f>
        <v/>
      </c>
      <c r="M368" s="1196" t="str">
        <f>'Required Info to Submit'!J27</f>
        <v/>
      </c>
      <c r="N368" s="1296"/>
      <c r="O368" s="1296"/>
      <c r="P368" s="1296"/>
      <c r="Q368" s="1347"/>
      <c r="R368" s="1296"/>
      <c r="S368" s="1296"/>
      <c r="T368" s="1723"/>
      <c r="U368" s="1205">
        <v>5</v>
      </c>
      <c r="V368" s="1196" t="s">
        <v>1856</v>
      </c>
      <c r="W368" s="1196" t="s">
        <v>1444</v>
      </c>
      <c r="X368" s="1196" t="str">
        <f>'Required Info to Submit'!E27</f>
        <v/>
      </c>
      <c r="Y368" s="1393" t="str">
        <f>IF(X368="","",'Required Info to Submit'!K27)</f>
        <v/>
      </c>
      <c r="Z368" s="1394" t="str">
        <f>IF(X368="","",'Required Info to Submit'!L27)</f>
        <v/>
      </c>
      <c r="AA368" s="1196" t="str">
        <f>'Required Info to Submit'!F27</f>
        <v/>
      </c>
      <c r="AB368" s="1196" t="str">
        <f>'Required Info to Submit'!G27</f>
        <v/>
      </c>
      <c r="AC368" s="1196" t="str">
        <f>'Required Info to Submit'!H27</f>
        <v/>
      </c>
      <c r="AD368" s="1196" t="str">
        <f>'Required Info to Submit'!I27</f>
        <v/>
      </c>
      <c r="AE368" s="1196" t="str">
        <f>'Required Info to Submit'!J27</f>
        <v/>
      </c>
      <c r="AF368" s="1296"/>
      <c r="AG368" s="1296"/>
      <c r="AH368" s="1296"/>
      <c r="AI368" s="1296"/>
      <c r="AJ368" s="1296"/>
      <c r="AK368" s="1296"/>
      <c r="AL368" s="1296"/>
      <c r="AM368" s="1296"/>
      <c r="AN368" s="1296"/>
      <c r="AO368" s="1296"/>
      <c r="AP368" s="1296"/>
      <c r="AQ368" s="1296"/>
      <c r="AR368" s="1296"/>
      <c r="AS368" s="1296"/>
      <c r="AT368" s="1296"/>
      <c r="AU368" s="1296"/>
      <c r="AV368" s="1296"/>
      <c r="AW368" s="1296"/>
      <c r="AX368" s="1296"/>
      <c r="AY368" s="1296"/>
      <c r="AZ368" s="1296"/>
      <c r="BA368" s="1296"/>
      <c r="BB368" s="1296"/>
      <c r="BC368" s="1296"/>
      <c r="BD368" s="1296"/>
      <c r="BE368" s="1296"/>
      <c r="BF368" s="1296"/>
      <c r="BG368" s="1296"/>
      <c r="BH368" s="1296"/>
      <c r="BI368" s="1296"/>
      <c r="BJ368" s="1296"/>
      <c r="BK368" s="1296"/>
      <c r="BL368" s="1296"/>
      <c r="BM368" s="1296"/>
      <c r="BN368" s="1296"/>
      <c r="BO368" s="1296"/>
      <c r="BP368" s="1296"/>
      <c r="BQ368" s="1296"/>
      <c r="BR368" s="1296"/>
      <c r="BS368" s="1296"/>
      <c r="BT368" s="1296"/>
      <c r="BU368" s="1296"/>
      <c r="BV368" s="1296"/>
      <c r="BW368" s="1296"/>
      <c r="BX368" s="1296"/>
      <c r="BY368" s="1296"/>
      <c r="BZ368" s="1296"/>
      <c r="CA368" s="1296"/>
      <c r="CB368" s="1296"/>
      <c r="CC368" s="1296"/>
      <c r="CD368" s="1296"/>
      <c r="CE368" s="1296"/>
      <c r="CF368" s="1296"/>
      <c r="CG368" s="1296"/>
      <c r="CH368" s="1296"/>
    </row>
    <row r="369" spans="1:89" x14ac:dyDescent="0.25">
      <c r="A369" s="1296"/>
      <c r="B369" s="1721"/>
      <c r="C369" s="1205">
        <v>6</v>
      </c>
      <c r="D369" s="1196" t="s">
        <v>1856</v>
      </c>
      <c r="E369" s="1196" t="s">
        <v>1444</v>
      </c>
      <c r="F369" s="1196" t="str">
        <f>'Required Info to Submit'!E28</f>
        <v/>
      </c>
      <c r="G369" s="1393" t="str">
        <f>IF(F369="","",'Required Info to Submit'!K28)</f>
        <v/>
      </c>
      <c r="H369" s="1394" t="str">
        <f>IF(F369="","",'Required Info to Submit'!L28)</f>
        <v/>
      </c>
      <c r="I369" s="1196" t="str">
        <f>'Required Info to Submit'!F28</f>
        <v/>
      </c>
      <c r="J369" s="1196" t="str">
        <f>'Required Info to Submit'!G28</f>
        <v/>
      </c>
      <c r="K369" s="1196" t="str">
        <f>'Required Info to Submit'!H28</f>
        <v/>
      </c>
      <c r="L369" s="1196" t="str">
        <f>'Required Info to Submit'!I28</f>
        <v/>
      </c>
      <c r="M369" s="1196" t="str">
        <f>'Required Info to Submit'!J28</f>
        <v/>
      </c>
      <c r="N369" s="1296"/>
      <c r="O369" s="1296"/>
      <c r="P369" s="1296"/>
      <c r="Q369" s="1347"/>
      <c r="R369" s="1296"/>
      <c r="S369" s="1296"/>
      <c r="T369" s="1723"/>
      <c r="U369" s="1205">
        <v>6</v>
      </c>
      <c r="V369" s="1196" t="s">
        <v>1856</v>
      </c>
      <c r="W369" s="1196" t="s">
        <v>1444</v>
      </c>
      <c r="X369" s="1196" t="str">
        <f>'Required Info to Submit'!E28</f>
        <v/>
      </c>
      <c r="Y369" s="1393" t="str">
        <f>IF(X369="","",'Required Info to Submit'!K28)</f>
        <v/>
      </c>
      <c r="Z369" s="1394" t="str">
        <f>IF(X369="","",'Required Info to Submit'!L28)</f>
        <v/>
      </c>
      <c r="AA369" s="1196" t="str">
        <f>'Required Info to Submit'!F28</f>
        <v/>
      </c>
      <c r="AB369" s="1196" t="str">
        <f>'Required Info to Submit'!G28</f>
        <v/>
      </c>
      <c r="AC369" s="1196" t="str">
        <f>'Required Info to Submit'!H28</f>
        <v/>
      </c>
      <c r="AD369" s="1196" t="str">
        <f>'Required Info to Submit'!I28</f>
        <v/>
      </c>
      <c r="AE369" s="1196" t="str">
        <f>'Required Info to Submit'!J28</f>
        <v/>
      </c>
      <c r="AF369" s="1296"/>
      <c r="AG369" s="1296"/>
      <c r="AH369" s="1296"/>
      <c r="AI369" s="1296"/>
      <c r="AJ369" s="1296"/>
      <c r="AK369" s="1296"/>
      <c r="AL369" s="1296"/>
      <c r="AM369" s="1296"/>
      <c r="AN369" s="1296"/>
      <c r="AO369" s="1296"/>
      <c r="AP369" s="1296"/>
      <c r="AQ369" s="1296"/>
      <c r="AR369" s="1296"/>
      <c r="AS369" s="1296"/>
      <c r="AT369" s="1296"/>
      <c r="AU369" s="1296"/>
      <c r="AV369" s="1296"/>
      <c r="AW369" s="1296"/>
      <c r="AX369" s="1296"/>
      <c r="AY369" s="1296"/>
      <c r="AZ369" s="1296"/>
      <c r="BA369" s="1296"/>
      <c r="BB369" s="1296"/>
      <c r="BC369" s="1296"/>
      <c r="BD369" s="1296"/>
      <c r="BE369" s="1296"/>
      <c r="BF369" s="1296"/>
      <c r="BG369" s="1296"/>
      <c r="BH369" s="1296"/>
      <c r="BI369" s="1296"/>
      <c r="BJ369" s="1296"/>
      <c r="BK369" s="1296"/>
      <c r="BL369" s="1296"/>
      <c r="BM369" s="1296"/>
      <c r="BN369" s="1296"/>
      <c r="BO369" s="1296"/>
      <c r="BP369" s="1296"/>
      <c r="BQ369" s="1296"/>
      <c r="BR369" s="1296"/>
      <c r="BS369" s="1296"/>
      <c r="BT369" s="1296"/>
      <c r="BU369" s="1296"/>
      <c r="BV369" s="1296"/>
      <c r="BW369" s="1296"/>
      <c r="BX369" s="1296"/>
      <c r="BY369" s="1296"/>
      <c r="BZ369" s="1296"/>
      <c r="CA369" s="1296"/>
      <c r="CB369" s="1296"/>
      <c r="CC369" s="1296"/>
      <c r="CD369" s="1296"/>
      <c r="CE369" s="1296"/>
      <c r="CF369" s="1296"/>
      <c r="CG369" s="1296"/>
      <c r="CH369" s="1296"/>
    </row>
    <row r="370" spans="1:89" x14ac:dyDescent="0.25">
      <c r="A370" s="1296"/>
      <c r="B370" s="1721"/>
      <c r="C370" s="1205">
        <v>7</v>
      </c>
      <c r="D370" s="1196" t="s">
        <v>1856</v>
      </c>
      <c r="E370" s="1196" t="s">
        <v>1444</v>
      </c>
      <c r="F370" s="1196" t="str">
        <f>'Required Info to Submit'!E29</f>
        <v/>
      </c>
      <c r="G370" s="1393" t="str">
        <f>IF(F370="","",'Required Info to Submit'!K29)</f>
        <v/>
      </c>
      <c r="H370" s="1394" t="str">
        <f>IF(F370="","",'Required Info to Submit'!L29)</f>
        <v/>
      </c>
      <c r="I370" s="1196" t="str">
        <f>'Required Info to Submit'!F29</f>
        <v/>
      </c>
      <c r="J370" s="1196" t="str">
        <f>'Required Info to Submit'!G29</f>
        <v/>
      </c>
      <c r="K370" s="1196" t="str">
        <f>'Required Info to Submit'!H29</f>
        <v/>
      </c>
      <c r="L370" s="1196" t="str">
        <f>'Required Info to Submit'!I29</f>
        <v/>
      </c>
      <c r="M370" s="1196" t="str">
        <f>'Required Info to Submit'!J29</f>
        <v/>
      </c>
      <c r="N370" s="1296"/>
      <c r="O370" s="1296"/>
      <c r="P370" s="1296"/>
      <c r="Q370" s="1347"/>
      <c r="R370" s="1296"/>
      <c r="S370" s="1296"/>
      <c r="T370" s="1723"/>
      <c r="U370" s="1205">
        <v>7</v>
      </c>
      <c r="V370" s="1196" t="s">
        <v>1856</v>
      </c>
      <c r="W370" s="1196" t="s">
        <v>1444</v>
      </c>
      <c r="X370" s="1196" t="str">
        <f>'Required Info to Submit'!E29</f>
        <v/>
      </c>
      <c r="Y370" s="1393" t="str">
        <f>IF(X370="","",'Required Info to Submit'!K29)</f>
        <v/>
      </c>
      <c r="Z370" s="1394" t="str">
        <f>IF(X370="","",'Required Info to Submit'!L29)</f>
        <v/>
      </c>
      <c r="AA370" s="1196" t="str">
        <f>'Required Info to Submit'!F29</f>
        <v/>
      </c>
      <c r="AB370" s="1196" t="str">
        <f>'Required Info to Submit'!G29</f>
        <v/>
      </c>
      <c r="AC370" s="1196" t="str">
        <f>'Required Info to Submit'!H29</f>
        <v/>
      </c>
      <c r="AD370" s="1196" t="str">
        <f>'Required Info to Submit'!I29</f>
        <v/>
      </c>
      <c r="AE370" s="1196" t="str">
        <f>'Required Info to Submit'!J29</f>
        <v/>
      </c>
      <c r="AF370" s="1296"/>
      <c r="AG370" s="1296"/>
      <c r="AH370" s="1296"/>
      <c r="AI370" s="1296"/>
      <c r="AJ370" s="1296"/>
      <c r="AK370" s="1296"/>
      <c r="AL370" s="1296"/>
      <c r="AM370" s="1296"/>
      <c r="AN370" s="1296"/>
      <c r="AO370" s="1296"/>
      <c r="AP370" s="1296"/>
      <c r="AQ370" s="1296"/>
      <c r="AR370" s="1296"/>
      <c r="AS370" s="1296"/>
      <c r="AT370" s="1296"/>
      <c r="AU370" s="1296"/>
      <c r="AV370" s="1296"/>
      <c r="AW370" s="1296"/>
      <c r="AX370" s="1296"/>
      <c r="AY370" s="1296"/>
      <c r="AZ370" s="1296"/>
      <c r="BA370" s="1296"/>
      <c r="BB370" s="1296"/>
      <c r="BC370" s="1296"/>
      <c r="BD370" s="1296"/>
      <c r="BE370" s="1296"/>
      <c r="BF370" s="1296"/>
      <c r="BG370" s="1296"/>
      <c r="BH370" s="1296"/>
      <c r="BI370" s="1296"/>
      <c r="BJ370" s="1296"/>
      <c r="BK370" s="1296"/>
      <c r="BL370" s="1296"/>
      <c r="BM370" s="1296"/>
      <c r="BN370" s="1296"/>
      <c r="BO370" s="1296"/>
      <c r="BP370" s="1296"/>
      <c r="BQ370" s="1296"/>
      <c r="BR370" s="1296"/>
      <c r="BS370" s="1296"/>
      <c r="BT370" s="1296"/>
      <c r="BU370" s="1296"/>
      <c r="BV370" s="1296"/>
      <c r="BW370" s="1296"/>
      <c r="BX370" s="1296"/>
      <c r="BY370" s="1296"/>
      <c r="BZ370" s="1296"/>
      <c r="CA370" s="1296"/>
      <c r="CB370" s="1296"/>
      <c r="CC370" s="1296"/>
      <c r="CD370" s="1296"/>
      <c r="CE370" s="1296"/>
      <c r="CF370" s="1296"/>
      <c r="CG370" s="1296"/>
      <c r="CH370" s="1296"/>
    </row>
    <row r="371" spans="1:89" x14ac:dyDescent="0.25">
      <c r="A371" s="1296"/>
      <c r="B371" s="1721"/>
      <c r="C371" s="1205">
        <v>8</v>
      </c>
      <c r="D371" s="1196" t="s">
        <v>1856</v>
      </c>
      <c r="E371" s="1196" t="s">
        <v>1444</v>
      </c>
      <c r="F371" s="1196" t="str">
        <f>'Required Info to Submit'!E30</f>
        <v/>
      </c>
      <c r="G371" s="1393" t="str">
        <f>IF(F371="","",'Required Info to Submit'!K30)</f>
        <v/>
      </c>
      <c r="H371" s="1394" t="str">
        <f>IF(F371="","",'Required Info to Submit'!L30)</f>
        <v/>
      </c>
      <c r="I371" s="1196" t="str">
        <f>'Required Info to Submit'!F30</f>
        <v/>
      </c>
      <c r="J371" s="1196" t="str">
        <f>'Required Info to Submit'!G30</f>
        <v/>
      </c>
      <c r="K371" s="1196" t="str">
        <f>'Required Info to Submit'!H30</f>
        <v/>
      </c>
      <c r="L371" s="1196" t="str">
        <f>'Required Info to Submit'!I30</f>
        <v/>
      </c>
      <c r="M371" s="1196" t="str">
        <f>'Required Info to Submit'!J30</f>
        <v/>
      </c>
      <c r="N371" s="1296"/>
      <c r="O371" s="1296"/>
      <c r="P371" s="1296"/>
      <c r="Q371" s="1347"/>
      <c r="R371" s="1296"/>
      <c r="S371" s="1296"/>
      <c r="T371" s="1723"/>
      <c r="U371" s="1205">
        <v>8</v>
      </c>
      <c r="V371" s="1196" t="s">
        <v>1856</v>
      </c>
      <c r="W371" s="1196" t="s">
        <v>1444</v>
      </c>
      <c r="X371" s="1196" t="str">
        <f>'Required Info to Submit'!E30</f>
        <v/>
      </c>
      <c r="Y371" s="1393" t="str">
        <f>IF(X371="","",'Required Info to Submit'!K30)</f>
        <v/>
      </c>
      <c r="Z371" s="1394" t="str">
        <f>IF(X371="","",'Required Info to Submit'!L30)</f>
        <v/>
      </c>
      <c r="AA371" s="1196" t="str">
        <f>'Required Info to Submit'!F30</f>
        <v/>
      </c>
      <c r="AB371" s="1196" t="str">
        <f>'Required Info to Submit'!G30</f>
        <v/>
      </c>
      <c r="AC371" s="1196" t="str">
        <f>'Required Info to Submit'!H30</f>
        <v/>
      </c>
      <c r="AD371" s="1196" t="str">
        <f>'Required Info to Submit'!I30</f>
        <v/>
      </c>
      <c r="AE371" s="1196" t="str">
        <f>'Required Info to Submit'!J30</f>
        <v/>
      </c>
      <c r="AF371" s="1296"/>
      <c r="AG371" s="1296"/>
      <c r="AH371" s="1296"/>
      <c r="AI371" s="1296"/>
      <c r="AJ371" s="1296"/>
      <c r="AK371" s="1296"/>
      <c r="AL371" s="1296"/>
      <c r="AM371" s="1296"/>
      <c r="AN371" s="1296"/>
      <c r="AO371" s="1296"/>
      <c r="AP371" s="1296"/>
      <c r="AQ371" s="1296"/>
      <c r="AR371" s="1296"/>
      <c r="AS371" s="1296"/>
      <c r="AT371" s="1296"/>
      <c r="AU371" s="1296"/>
      <c r="AV371" s="1296"/>
      <c r="AW371" s="1296"/>
      <c r="AX371" s="1296"/>
      <c r="AY371" s="1296"/>
      <c r="AZ371" s="1296"/>
      <c r="BA371" s="1296"/>
      <c r="BB371" s="1296"/>
      <c r="BC371" s="1296"/>
      <c r="BD371" s="1296"/>
      <c r="BE371" s="1296"/>
      <c r="BF371" s="1296"/>
      <c r="BG371" s="1296"/>
      <c r="BH371" s="1296"/>
      <c r="BI371" s="1296"/>
      <c r="BJ371" s="1296"/>
      <c r="BK371" s="1296"/>
      <c r="BL371" s="1296"/>
      <c r="BM371" s="1296"/>
      <c r="BN371" s="1296"/>
      <c r="BO371" s="1296"/>
      <c r="BP371" s="1296"/>
      <c r="BQ371" s="1296"/>
      <c r="BR371" s="1296"/>
      <c r="BS371" s="1296"/>
      <c r="BT371" s="1296"/>
      <c r="BU371" s="1296"/>
      <c r="BV371" s="1296"/>
      <c r="BW371" s="1296"/>
      <c r="BX371" s="1296"/>
      <c r="BY371" s="1296"/>
      <c r="BZ371" s="1296"/>
      <c r="CA371" s="1296"/>
      <c r="CB371" s="1296"/>
      <c r="CC371" s="1296"/>
      <c r="CD371" s="1296"/>
      <c r="CE371" s="1296"/>
      <c r="CF371" s="1296"/>
      <c r="CG371" s="1296"/>
      <c r="CH371" s="1296"/>
    </row>
    <row r="372" spans="1:89" x14ac:dyDescent="0.25">
      <c r="A372" s="1296"/>
      <c r="B372" s="1721"/>
      <c r="C372" s="1205">
        <v>9</v>
      </c>
      <c r="D372" s="1196" t="s">
        <v>1856</v>
      </c>
      <c r="E372" s="1196" t="s">
        <v>1444</v>
      </c>
      <c r="F372" s="1196" t="str">
        <f>'Required Info to Submit'!E31</f>
        <v/>
      </c>
      <c r="G372" s="1393" t="str">
        <f>IF(F372="","",'Required Info to Submit'!K31)</f>
        <v/>
      </c>
      <c r="H372" s="1394" t="str">
        <f>IF(F372="","",'Required Info to Submit'!L31)</f>
        <v/>
      </c>
      <c r="I372" s="1196" t="str">
        <f>'Required Info to Submit'!F31</f>
        <v/>
      </c>
      <c r="J372" s="1196" t="str">
        <f>'Required Info to Submit'!G31</f>
        <v/>
      </c>
      <c r="K372" s="1196" t="str">
        <f>'Required Info to Submit'!H31</f>
        <v/>
      </c>
      <c r="L372" s="1196" t="str">
        <f>'Required Info to Submit'!I31</f>
        <v/>
      </c>
      <c r="M372" s="1196" t="str">
        <f>'Required Info to Submit'!J31</f>
        <v/>
      </c>
      <c r="N372" s="1296"/>
      <c r="O372" s="1296"/>
      <c r="P372" s="1296"/>
      <c r="Q372" s="1347"/>
      <c r="R372" s="1296"/>
      <c r="S372" s="1296"/>
      <c r="T372" s="1723"/>
      <c r="U372" s="1205">
        <v>9</v>
      </c>
      <c r="V372" s="1196" t="s">
        <v>1856</v>
      </c>
      <c r="W372" s="1196" t="s">
        <v>1444</v>
      </c>
      <c r="X372" s="1196" t="str">
        <f>'Required Info to Submit'!E31</f>
        <v/>
      </c>
      <c r="Y372" s="1393" t="str">
        <f>IF(X372="","",'Required Info to Submit'!K31)</f>
        <v/>
      </c>
      <c r="Z372" s="1394" t="str">
        <f>IF(X372="","",'Required Info to Submit'!L31)</f>
        <v/>
      </c>
      <c r="AA372" s="1196" t="str">
        <f>'Required Info to Submit'!F31</f>
        <v/>
      </c>
      <c r="AB372" s="1196" t="str">
        <f>'Required Info to Submit'!G31</f>
        <v/>
      </c>
      <c r="AC372" s="1196" t="str">
        <f>'Required Info to Submit'!H31</f>
        <v/>
      </c>
      <c r="AD372" s="1196" t="str">
        <f>'Required Info to Submit'!I31</f>
        <v/>
      </c>
      <c r="AE372" s="1196" t="str">
        <f>'Required Info to Submit'!J31</f>
        <v/>
      </c>
      <c r="AF372" s="1296"/>
      <c r="AG372" s="1296"/>
      <c r="AH372" s="1296"/>
      <c r="AI372" s="1296"/>
      <c r="AJ372" s="1296"/>
      <c r="AK372" s="1296"/>
      <c r="AL372" s="1296"/>
      <c r="AM372" s="1296"/>
      <c r="AN372" s="1296"/>
      <c r="AO372" s="1296"/>
      <c r="AP372" s="1296"/>
      <c r="AQ372" s="1296"/>
      <c r="AR372" s="1296"/>
      <c r="AS372" s="1296"/>
      <c r="AT372" s="1296"/>
      <c r="AU372" s="1296"/>
      <c r="AV372" s="1296"/>
      <c r="AW372" s="1296"/>
      <c r="AX372" s="1296"/>
      <c r="AY372" s="1296"/>
      <c r="AZ372" s="1296"/>
      <c r="BA372" s="1296"/>
      <c r="BB372" s="1296"/>
      <c r="BC372" s="1296"/>
      <c r="BD372" s="1296"/>
      <c r="BE372" s="1296"/>
      <c r="BF372" s="1296"/>
      <c r="BG372" s="1296"/>
      <c r="BH372" s="1296"/>
      <c r="BI372" s="1296"/>
      <c r="BJ372" s="1296"/>
      <c r="BK372" s="1296"/>
      <c r="BL372" s="1296"/>
      <c r="BM372" s="1296"/>
      <c r="BN372" s="1296"/>
      <c r="BO372" s="1296"/>
      <c r="BP372" s="1296"/>
      <c r="BQ372" s="1296"/>
      <c r="BR372" s="1296"/>
      <c r="BS372" s="1296"/>
      <c r="BT372" s="1296"/>
      <c r="BU372" s="1296"/>
      <c r="BV372" s="1296"/>
      <c r="BW372" s="1296"/>
      <c r="BX372" s="1296"/>
      <c r="BY372" s="1296"/>
      <c r="BZ372" s="1296"/>
      <c r="CA372" s="1296"/>
      <c r="CB372" s="1296"/>
      <c r="CC372" s="1296"/>
      <c r="CD372" s="1296"/>
      <c r="CE372" s="1296"/>
      <c r="CF372" s="1296"/>
      <c r="CG372" s="1296"/>
      <c r="CH372" s="1296"/>
    </row>
    <row r="373" spans="1:89" ht="15.75" thickBot="1" x14ac:dyDescent="0.3">
      <c r="A373" s="1296"/>
      <c r="B373" s="1722"/>
      <c r="C373" s="1207">
        <v>10</v>
      </c>
      <c r="D373" s="1198" t="s">
        <v>1856</v>
      </c>
      <c r="E373" s="1198" t="s">
        <v>1444</v>
      </c>
      <c r="F373" s="1198" t="str">
        <f>'Required Info to Submit'!E32</f>
        <v/>
      </c>
      <c r="G373" s="1395" t="str">
        <f>IF(F373="","",'Required Info to Submit'!K32)</f>
        <v/>
      </c>
      <c r="H373" s="1395" t="str">
        <f>IF(F373="","",'Required Info to Submit'!L32)</f>
        <v/>
      </c>
      <c r="I373" s="1198" t="str">
        <f>'Required Info to Submit'!F32</f>
        <v/>
      </c>
      <c r="J373" s="1198" t="str">
        <f>'Required Info to Submit'!G32</f>
        <v/>
      </c>
      <c r="K373" s="1198" t="str">
        <f>'Required Info to Submit'!H32</f>
        <v/>
      </c>
      <c r="L373" s="1198" t="str">
        <f>'Required Info to Submit'!I32</f>
        <v/>
      </c>
      <c r="M373" s="1198" t="str">
        <f>'Required Info to Submit'!J32</f>
        <v/>
      </c>
      <c r="N373" s="1296"/>
      <c r="O373" s="1296"/>
      <c r="P373" s="1296"/>
      <c r="Q373" s="1347"/>
      <c r="R373" s="1296"/>
      <c r="S373" s="1296"/>
      <c r="T373" s="1724"/>
      <c r="U373" s="1207">
        <v>10</v>
      </c>
      <c r="V373" s="1198" t="s">
        <v>1856</v>
      </c>
      <c r="W373" s="1198" t="s">
        <v>1444</v>
      </c>
      <c r="X373" s="1198" t="str">
        <f>'Required Info to Submit'!E32</f>
        <v/>
      </c>
      <c r="Y373" s="1395" t="str">
        <f>IF(X373="","",'Required Info to Submit'!K32)</f>
        <v/>
      </c>
      <c r="Z373" s="1395" t="str">
        <f>IF(X373="","",'Required Info to Submit'!L32)</f>
        <v/>
      </c>
      <c r="AA373" s="1198" t="str">
        <f>'Required Info to Submit'!F32</f>
        <v/>
      </c>
      <c r="AB373" s="1198" t="str">
        <f>'Required Info to Submit'!G32</f>
        <v/>
      </c>
      <c r="AC373" s="1198" t="str">
        <f>'Required Info to Submit'!H32</f>
        <v/>
      </c>
      <c r="AD373" s="1198" t="str">
        <f>'Required Info to Submit'!I32</f>
        <v/>
      </c>
      <c r="AE373" s="1198" t="str">
        <f>'Required Info to Submit'!J32</f>
        <v/>
      </c>
      <c r="AF373" s="1296"/>
      <c r="AG373" s="1296"/>
      <c r="AH373" s="1296"/>
      <c r="AI373" s="1296"/>
      <c r="AJ373" s="1296"/>
      <c r="AK373" s="1296"/>
      <c r="AL373" s="1296"/>
      <c r="AM373" s="1296"/>
      <c r="AN373" s="1296"/>
      <c r="AO373" s="1296"/>
      <c r="AP373" s="1296"/>
      <c r="AQ373" s="1296"/>
      <c r="AR373" s="1296"/>
      <c r="AS373" s="1296"/>
      <c r="AT373" s="1296"/>
      <c r="AU373" s="1296"/>
      <c r="AV373" s="1296"/>
      <c r="AW373" s="1296"/>
      <c r="AX373" s="1296"/>
      <c r="AY373" s="1296"/>
      <c r="AZ373" s="1296"/>
      <c r="BA373" s="1296"/>
      <c r="BB373" s="1296"/>
      <c r="BC373" s="1296"/>
      <c r="BD373" s="1296"/>
      <c r="BE373" s="1296"/>
      <c r="BF373" s="1296"/>
      <c r="BG373" s="1296"/>
      <c r="BH373" s="1296"/>
      <c r="BI373" s="1296"/>
      <c r="BJ373" s="1296"/>
      <c r="BK373" s="1296"/>
      <c r="BL373" s="1296"/>
      <c r="BM373" s="1296"/>
      <c r="BN373" s="1296"/>
      <c r="BO373" s="1296"/>
      <c r="BP373" s="1296"/>
      <c r="BQ373" s="1296"/>
      <c r="BR373" s="1296"/>
      <c r="BS373" s="1296"/>
      <c r="BT373" s="1296"/>
      <c r="BU373" s="1296"/>
      <c r="BV373" s="1296"/>
      <c r="BW373" s="1296"/>
      <c r="BX373" s="1296"/>
      <c r="BY373" s="1296"/>
      <c r="BZ373" s="1296"/>
      <c r="CA373" s="1296"/>
      <c r="CB373" s="1296"/>
      <c r="CC373" s="1296"/>
      <c r="CD373" s="1296"/>
      <c r="CE373" s="1296"/>
      <c r="CF373" s="1296"/>
      <c r="CG373" s="1296"/>
      <c r="CH373" s="1296"/>
    </row>
    <row r="374" spans="1:89" x14ac:dyDescent="0.25">
      <c r="A374" s="1296"/>
      <c r="B374" s="1296"/>
      <c r="C374" s="1296"/>
      <c r="D374" s="1296"/>
      <c r="E374" s="1296"/>
      <c r="F374" s="1296"/>
      <c r="G374" s="1296"/>
      <c r="H374" s="1296"/>
      <c r="I374" s="1296"/>
      <c r="J374" s="1296"/>
      <c r="K374" s="1296"/>
      <c r="L374" s="1296"/>
      <c r="M374" s="1296"/>
      <c r="N374" s="1296"/>
      <c r="O374" s="1296"/>
      <c r="P374" s="1296"/>
      <c r="Q374" s="1296"/>
      <c r="R374" s="1296"/>
      <c r="S374" s="1296"/>
      <c r="T374" s="1296"/>
      <c r="U374" s="1296"/>
      <c r="V374" s="1296"/>
      <c r="W374" s="1296"/>
      <c r="X374" s="1296"/>
      <c r="Y374" s="1296"/>
      <c r="Z374" s="1296"/>
      <c r="AA374" s="1296"/>
      <c r="AB374" s="1296"/>
      <c r="AC374" s="1296"/>
      <c r="AD374" s="1296"/>
      <c r="AE374" s="1296"/>
      <c r="AF374" s="1296"/>
      <c r="AG374" s="1296"/>
      <c r="AH374" s="1296"/>
      <c r="AI374" s="1296"/>
      <c r="AJ374" s="1296"/>
      <c r="AK374" s="1296"/>
      <c r="AL374" s="1296"/>
      <c r="AM374" s="1296"/>
      <c r="AN374" s="1296"/>
      <c r="AO374" s="1296"/>
      <c r="AP374" s="1296"/>
      <c r="AQ374" s="1296"/>
      <c r="AR374" s="1296"/>
      <c r="AS374" s="1296"/>
      <c r="AT374" s="1296"/>
      <c r="AU374" s="1296"/>
      <c r="AV374" s="1296"/>
      <c r="AW374" s="1296"/>
      <c r="AX374" s="1296"/>
      <c r="AY374" s="1296"/>
      <c r="AZ374" s="1296"/>
      <c r="BA374" s="1296"/>
      <c r="BB374" s="1296"/>
      <c r="BC374" s="1296"/>
      <c r="BD374" s="1296"/>
      <c r="BE374" s="1296"/>
      <c r="BF374" s="1296"/>
      <c r="BG374" s="1296"/>
      <c r="BH374" s="1296"/>
      <c r="BI374" s="1296"/>
      <c r="BJ374" s="1296"/>
      <c r="BK374" s="1296"/>
      <c r="BL374" s="1296"/>
      <c r="BM374" s="1296"/>
      <c r="BN374" s="1296"/>
      <c r="BO374" s="1296"/>
      <c r="BP374" s="1296"/>
      <c r="BQ374" s="1296"/>
      <c r="BR374" s="1296"/>
      <c r="BS374" s="1296"/>
      <c r="BT374" s="1296"/>
      <c r="BU374" s="1296"/>
      <c r="BV374" s="1296"/>
      <c r="BW374" s="1296"/>
      <c r="BX374" s="1296"/>
      <c r="BY374" s="1296"/>
      <c r="BZ374" s="1296"/>
      <c r="CA374" s="1296"/>
      <c r="CB374" s="1296"/>
      <c r="CC374" s="1296"/>
      <c r="CD374" s="1296"/>
      <c r="CE374" s="1296"/>
      <c r="CF374" s="1296"/>
      <c r="CG374" s="1296"/>
      <c r="CH374" s="1296"/>
      <c r="CI374" s="1296"/>
      <c r="CJ374" s="1296"/>
      <c r="CK374" s="1296"/>
    </row>
    <row r="375" spans="1:89" ht="15.75" thickBot="1" x14ac:dyDescent="0.3">
      <c r="A375" s="1296"/>
      <c r="B375" s="1296"/>
      <c r="C375" s="1296"/>
      <c r="D375" s="1296"/>
      <c r="E375" s="1296"/>
      <c r="F375" s="1296"/>
      <c r="G375" s="1296"/>
      <c r="H375" s="1296"/>
      <c r="I375" s="1296"/>
      <c r="J375" s="1296"/>
      <c r="K375" s="1296"/>
      <c r="L375" s="1296"/>
      <c r="M375" s="1296"/>
      <c r="N375" s="1296"/>
      <c r="O375" s="1296"/>
      <c r="P375" s="1296"/>
      <c r="Q375" s="1296"/>
      <c r="R375" s="1296"/>
      <c r="S375" s="1296"/>
      <c r="T375" s="1296"/>
      <c r="U375" s="1296"/>
      <c r="V375" s="1296"/>
      <c r="W375" s="1296"/>
      <c r="X375" s="1296"/>
      <c r="Y375" s="1296"/>
      <c r="Z375" s="1296"/>
      <c r="AA375" s="1296"/>
      <c r="AB375" s="1296"/>
      <c r="AC375" s="1296"/>
      <c r="AD375" s="1296"/>
      <c r="AE375" s="1296"/>
      <c r="AF375" s="1296"/>
      <c r="AG375" s="1296"/>
      <c r="AH375" s="1296"/>
      <c r="AI375" s="1296"/>
      <c r="AJ375" s="1296"/>
      <c r="AK375" s="1296"/>
      <c r="AL375" s="1296"/>
      <c r="AM375" s="1296"/>
      <c r="AN375" s="1296"/>
      <c r="AO375" s="1296"/>
      <c r="AP375" s="1296"/>
      <c r="AQ375" s="1296"/>
      <c r="AR375" s="1296"/>
      <c r="AS375" s="1296"/>
      <c r="AT375" s="1296"/>
      <c r="AU375" s="1296"/>
      <c r="AV375" s="1296"/>
      <c r="AW375" s="1296"/>
      <c r="AX375" s="1296"/>
      <c r="AY375" s="1296"/>
      <c r="AZ375" s="1296"/>
      <c r="BA375" s="1296"/>
      <c r="BB375" s="1296"/>
      <c r="BC375" s="1296"/>
      <c r="BD375" s="1296"/>
      <c r="BE375" s="1296"/>
      <c r="BF375" s="1296"/>
      <c r="BG375" s="1296"/>
      <c r="BH375" s="1296"/>
      <c r="BI375" s="1296"/>
      <c r="BJ375" s="1296"/>
      <c r="BK375" s="1296"/>
      <c r="BL375" s="1296"/>
      <c r="BM375" s="1296"/>
      <c r="BN375" s="1296"/>
      <c r="BO375" s="1296"/>
      <c r="BP375" s="1296"/>
      <c r="BQ375" s="1296"/>
      <c r="BR375" s="1296"/>
      <c r="BS375" s="1296"/>
      <c r="BT375" s="1296"/>
      <c r="BU375" s="1296"/>
      <c r="BV375" s="1296"/>
      <c r="BW375" s="1296"/>
      <c r="BX375" s="1296"/>
      <c r="BY375" s="1296"/>
      <c r="BZ375" s="1296"/>
      <c r="CA375" s="1296"/>
      <c r="CB375" s="1296"/>
      <c r="CC375" s="1296"/>
      <c r="CD375" s="1296"/>
      <c r="CE375" s="1296"/>
      <c r="CF375" s="1296"/>
      <c r="CG375" s="1296"/>
      <c r="CH375" s="1296"/>
      <c r="CI375" s="1296"/>
      <c r="CJ375" s="1296"/>
      <c r="CK375" s="1296"/>
    </row>
    <row r="376" spans="1:89" ht="30.75" thickBot="1" x14ac:dyDescent="0.3">
      <c r="A376" s="1296"/>
      <c r="B376" s="1182"/>
      <c r="C376" s="1177" t="s">
        <v>1400</v>
      </c>
      <c r="D376" s="1177" t="s">
        <v>1510</v>
      </c>
      <c r="E376" s="1177" t="s">
        <v>766</v>
      </c>
      <c r="F376" s="1177" t="s">
        <v>1189</v>
      </c>
      <c r="G376" s="1178" t="s">
        <v>1895</v>
      </c>
      <c r="H376" s="1178" t="s">
        <v>1398</v>
      </c>
      <c r="I376" s="1178" t="s">
        <v>1414</v>
      </c>
      <c r="J376" s="1177" t="s">
        <v>1399</v>
      </c>
      <c r="K376" s="1178" t="s">
        <v>1896</v>
      </c>
      <c r="L376" s="1177" t="s">
        <v>1834</v>
      </c>
      <c r="M376" s="1177" t="s">
        <v>1835</v>
      </c>
      <c r="N376" s="1178" t="s">
        <v>1514</v>
      </c>
      <c r="O376" s="1296"/>
      <c r="P376" s="1296"/>
      <c r="Q376" s="1296"/>
      <c r="R376" s="1296"/>
      <c r="S376" s="1296"/>
      <c r="T376" s="1182"/>
      <c r="U376" s="1177" t="s">
        <v>1400</v>
      </c>
      <c r="V376" s="1177" t="s">
        <v>1510</v>
      </c>
      <c r="W376" s="1177" t="s">
        <v>766</v>
      </c>
      <c r="X376" s="1177" t="s">
        <v>1189</v>
      </c>
      <c r="Y376" s="1178" t="s">
        <v>1895</v>
      </c>
      <c r="Z376" s="1178" t="s">
        <v>1398</v>
      </c>
      <c r="AA376" s="1178" t="s">
        <v>1414</v>
      </c>
      <c r="AB376" s="1177" t="s">
        <v>1399</v>
      </c>
      <c r="AC376" s="1178" t="s">
        <v>1896</v>
      </c>
      <c r="AD376" s="1177" t="s">
        <v>1834</v>
      </c>
      <c r="AE376" s="1177" t="s">
        <v>1835</v>
      </c>
      <c r="AF376" s="1178" t="s">
        <v>1514</v>
      </c>
      <c r="AG376" s="1296"/>
      <c r="AH376" s="1296"/>
      <c r="AI376" s="1296"/>
      <c r="AJ376" s="1296"/>
      <c r="AK376" s="1296"/>
      <c r="AL376" s="1296"/>
      <c r="AM376" s="1296"/>
      <c r="AN376" s="1296"/>
      <c r="AO376" s="1296"/>
      <c r="AP376" s="1296"/>
      <c r="AQ376" s="1296"/>
      <c r="AR376" s="1296"/>
      <c r="AS376" s="1296"/>
      <c r="AT376" s="1296"/>
      <c r="AU376" s="1296"/>
      <c r="AV376" s="1296"/>
      <c r="AW376" s="1296"/>
      <c r="AX376" s="1296"/>
      <c r="AY376" s="1296"/>
      <c r="AZ376" s="1296"/>
      <c r="BA376" s="1296"/>
      <c r="BB376" s="1296"/>
      <c r="BC376" s="1296"/>
      <c r="BD376" s="1296"/>
      <c r="BE376" s="1296"/>
      <c r="BF376" s="1296"/>
      <c r="BG376" s="1296"/>
      <c r="BH376" s="1296"/>
      <c r="BI376" s="1296"/>
      <c r="BJ376" s="1296"/>
      <c r="BK376" s="1296"/>
      <c r="BL376" s="1296"/>
      <c r="BM376" s="1296"/>
      <c r="BN376" s="1296"/>
      <c r="BO376" s="1296"/>
      <c r="BP376" s="1296"/>
      <c r="BQ376" s="1296"/>
      <c r="BR376" s="1296"/>
      <c r="BS376" s="1296"/>
      <c r="BT376" s="1296"/>
      <c r="BU376" s="1296"/>
      <c r="BV376" s="1296"/>
      <c r="BW376" s="1296"/>
      <c r="BX376" s="1296"/>
      <c r="BY376" s="1296"/>
      <c r="BZ376" s="1296"/>
      <c r="CA376" s="1296"/>
      <c r="CB376" s="1296"/>
      <c r="CC376" s="1296"/>
      <c r="CD376" s="1296"/>
      <c r="CE376" s="1296"/>
      <c r="CF376" s="1296"/>
      <c r="CG376" s="1296"/>
      <c r="CH376" s="1296"/>
      <c r="CI376" s="1296"/>
      <c r="CJ376" s="1296"/>
      <c r="CK376" s="1296"/>
    </row>
    <row r="377" spans="1:89" ht="30.75" thickBot="1" x14ac:dyDescent="0.3">
      <c r="A377" s="1296"/>
      <c r="B377" s="1320" t="s">
        <v>1897</v>
      </c>
      <c r="C377" s="1185" t="s">
        <v>1636</v>
      </c>
      <c r="D377" s="1313">
        <v>5601</v>
      </c>
      <c r="E377" s="1331" t="str" cm="1">
        <f t="array" aca="1" ref="E377" ca="1">INDIRECT("'Incentives Worksheet'!D"&amp;'Configurable Tab'!H33+6)</f>
        <v/>
      </c>
      <c r="F377" s="1332" t="str" cm="1">
        <f t="array" aca="1" ref="F377" ca="1">INDIRECT("'Incentives Worksheet'!D"&amp;'Configurable Tab'!H33+8)</f>
        <v/>
      </c>
      <c r="G377" s="1298" cm="1">
        <f t="array" aca="1" ref="G377" ca="1">IF(ISBLANK(INDIRECT("'Incentives Worksheet'!H"&amp;'Configurable Tab'!H33+6)),"",INDIRECT("'Incentives Worksheet'!H"&amp;'Configurable Tab'!H33+6))</f>
        <v>0</v>
      </c>
      <c r="H377" s="1181" t="str" cm="1">
        <f t="array" aca="1" ref="H377" ca="1">IF(ISBLANK(INDIRECT("'Incentives Worksheet'!J"&amp;'Configurable Tab'!H33+3)),"",INDIRECT("'Incentives Worksheet'!J"&amp;'Configurable Tab'!H33+3))</f>
        <v/>
      </c>
      <c r="I377" s="1181" t="str" cm="1">
        <f t="array" aca="1" ref="I377" ca="1">IF(ISBLANK(INDIRECT("'Incentives Worksheet'!L"&amp;'Configurable Tab'!H33+3)),"",INDIRECT("'Incentives Worksheet'!L"&amp;'Configurable Tab'!H33+3))</f>
        <v/>
      </c>
      <c r="J377" s="1181" t="str" cm="1">
        <f t="array" aca="1" ref="J377" ca="1">IF(ISBLANK(INDIRECT("'Incentives Worksheet'!N"&amp;'Configurable Tab'!H33+3)),"",INDIRECT("'Incentives Worksheet'!N"&amp;'Configurable Tab'!H33+3))</f>
        <v/>
      </c>
      <c r="K377" s="1333" t="str" cm="1">
        <f t="array" aca="1" ref="K377" ca="1">IF(INDIRECT("'Incentives Worksheet'!H"&amp;'Configurable Tab'!H33+12)=0,"",INDIRECT("'Incentives Worksheet'!H"&amp;'Configurable Tab'!H33+12))</f>
        <v/>
      </c>
      <c r="L377" s="1181" t="str" cm="1">
        <f t="array" aca="1" ref="L377" ca="1">IF(ISBLANK(INDIRECT("'Incentives Worksheet'!H"&amp;'Configurable Tab'!H33+3)),"",INDIRECT("'Incentives Worksheet'!H"&amp;'Configurable Tab'!H33+3))</f>
        <v/>
      </c>
      <c r="M377" s="1181" t="str" cm="1">
        <f t="array" aca="1" ref="M377" ca="1">IF(INDIRECT("'Incentives Worksheet'!R"&amp;'Configurable Tab'!H33+3)="USF Calendar","Fiscal",INDIRECT("'Incentives Worksheet'!R"&amp;'Configurable Tab'!H33+3))</f>
        <v>Calendar</v>
      </c>
      <c r="N377" s="1181" t="str" cm="1">
        <f t="array" aca="1" ref="N377" ca="1">INDIRECT("'Incentives Worksheet'!D"&amp;'Configurable Tab'!H33+10)</f>
        <v>Yes</v>
      </c>
      <c r="O377" s="1296"/>
      <c r="P377" s="1296"/>
      <c r="Q377" s="1296"/>
      <c r="R377" s="1296"/>
      <c r="S377" s="1296"/>
      <c r="T377" s="1320" t="s">
        <v>1897</v>
      </c>
      <c r="U377" s="1185" t="s">
        <v>1636</v>
      </c>
      <c r="V377" s="1313">
        <v>5602</v>
      </c>
      <c r="W377" s="1331" t="str" cm="1">
        <f t="array" aca="1" ref="W377" ca="1">INDIRECT("'Incentives Worksheet'!D"&amp;'Configurable Tab'!H34+6)</f>
        <v/>
      </c>
      <c r="X377" s="1332" t="str" cm="1">
        <f t="array" aca="1" ref="X377" ca="1">INDIRECT("'Incentives Worksheet'!D"&amp;'Configurable Tab'!H34+8)</f>
        <v/>
      </c>
      <c r="Y377" s="1298" cm="1">
        <f t="array" aca="1" ref="Y377" ca="1">IF(ISBLANK(INDIRECT("'Incentives Worksheet'!H"&amp;'Configurable Tab'!H34+6)),"",INDIRECT("'Incentives Worksheet'!H"&amp;'Configurable Tab'!H34+6))</f>
        <v>0</v>
      </c>
      <c r="Z377" s="1181" t="str" cm="1">
        <f t="array" aca="1" ref="Z377" ca="1">IF(ISBLANK(INDIRECT("'Incentives Worksheet'!J"&amp;'Configurable Tab'!H34+3)),"",INDIRECT("'Incentives Worksheet'!J"&amp;'Configurable Tab'!H34+3))</f>
        <v/>
      </c>
      <c r="AA377" s="1181" t="str" cm="1">
        <f t="array" aca="1" ref="AA377" ca="1">IF(ISBLANK(INDIRECT("'Incentives Worksheet'!L"&amp;'Configurable Tab'!H34+3)),"",INDIRECT("'Incentives Worksheet'!L"&amp;'Configurable Tab'!H34+3))</f>
        <v/>
      </c>
      <c r="AB377" s="1181" t="str" cm="1">
        <f t="array" aca="1" ref="AB377" ca="1">IF(ISBLANK(INDIRECT("'Incentives Worksheet'!N"&amp;'Configurable Tab'!H34+3)),"",INDIRECT("'Incentives Worksheet'!N"&amp;'Configurable Tab'!H34+3))</f>
        <v/>
      </c>
      <c r="AC377" s="1181" t="str" cm="1">
        <f t="array" aca="1" ref="AC377" ca="1">IF(INDIRECT("'Incentives Worksheet'!H"&amp;'Configurable Tab'!H34+12)=0,"",INDIRECT("'Incentives Worksheet'!H"&amp;'Configurable Tab'!H34+12))</f>
        <v/>
      </c>
      <c r="AD377" s="1181" t="str" cm="1">
        <f t="array" aca="1" ref="AD377" ca="1">IF(ISBLANK(INDIRECT("'Incentives Worksheet'!H"&amp;'Configurable Tab'!H34+3)),"",INDIRECT("'Incentives Worksheet'!H"&amp;'Configurable Tab'!H34+3))</f>
        <v/>
      </c>
      <c r="AE377" s="1181" t="str" cm="1">
        <f t="array" aca="1" ref="AE377" ca="1">IF(INDIRECT("'Incentives Worksheet'!R"&amp;'Configurable Tab'!H34+3)="USF Calendar","Fiscal",INDIRECT("'Incentives Worksheet'!R"&amp;'Configurable Tab'!H34+3))</f>
        <v>Calendar</v>
      </c>
      <c r="AF377" s="1181" t="str" cm="1">
        <f t="array" aca="1" ref="AF377" ca="1">INDIRECT("'Incentives Worksheet'!D"&amp;'Configurable Tab'!H34+10)</f>
        <v>Yes</v>
      </c>
      <c r="AG377" s="1296"/>
      <c r="AH377" s="1296"/>
      <c r="AI377" s="1296"/>
      <c r="AJ377" s="1296"/>
      <c r="AK377" s="1296"/>
      <c r="AL377" s="1296"/>
      <c r="AM377" s="1296"/>
      <c r="AN377" s="1296"/>
      <c r="AO377" s="1296"/>
      <c r="AP377" s="1296"/>
      <c r="AQ377" s="1296"/>
      <c r="AR377" s="1296"/>
      <c r="AS377" s="1296"/>
      <c r="AT377" s="1296"/>
      <c r="AU377" s="1296"/>
      <c r="AV377" s="1296"/>
      <c r="AW377" s="1296"/>
      <c r="AX377" s="1296"/>
      <c r="AY377" s="1296"/>
      <c r="AZ377" s="1296"/>
      <c r="BA377" s="1296"/>
      <c r="BB377" s="1296"/>
      <c r="BC377" s="1296"/>
      <c r="BD377" s="1296"/>
      <c r="BE377" s="1296"/>
      <c r="BF377" s="1296"/>
      <c r="BG377" s="1296"/>
      <c r="BH377" s="1296"/>
      <c r="BI377" s="1296"/>
      <c r="BJ377" s="1296"/>
      <c r="BK377" s="1296"/>
      <c r="BL377" s="1296"/>
      <c r="BM377" s="1296"/>
      <c r="BN377" s="1296"/>
      <c r="BO377" s="1296"/>
      <c r="BP377" s="1296"/>
      <c r="BQ377" s="1296"/>
      <c r="BR377" s="1296"/>
      <c r="BS377" s="1296"/>
      <c r="BT377" s="1296"/>
      <c r="BU377" s="1296"/>
      <c r="BV377" s="1296"/>
      <c r="BW377" s="1296"/>
      <c r="BX377" s="1296"/>
      <c r="BY377" s="1296"/>
      <c r="BZ377" s="1296"/>
      <c r="CA377" s="1296"/>
      <c r="CB377" s="1296"/>
      <c r="CC377" s="1296"/>
      <c r="CD377" s="1296"/>
      <c r="CE377" s="1296"/>
      <c r="CF377" s="1296"/>
      <c r="CG377" s="1296"/>
      <c r="CH377" s="1296"/>
      <c r="CI377" s="1296"/>
      <c r="CJ377" s="1296"/>
      <c r="CK377" s="1296"/>
    </row>
    <row r="378" spans="1:89" ht="30.75" thickBot="1" x14ac:dyDescent="0.3">
      <c r="A378" s="1296"/>
      <c r="B378" s="1719" t="s">
        <v>1898</v>
      </c>
      <c r="C378" s="1334" t="s">
        <v>1500</v>
      </c>
      <c r="D378" s="1334" t="s">
        <v>728</v>
      </c>
      <c r="E378" s="1334" t="s">
        <v>1501</v>
      </c>
      <c r="F378" s="1296"/>
      <c r="G378" s="1183" t="s">
        <v>1824</v>
      </c>
      <c r="H378" s="1183" t="s">
        <v>1892</v>
      </c>
      <c r="I378" s="1296"/>
      <c r="J378" s="1296"/>
      <c r="K378" s="1296"/>
      <c r="L378" s="1296"/>
      <c r="M378" s="1296"/>
      <c r="N378" s="138"/>
      <c r="O378" s="1296"/>
      <c r="P378" s="1296"/>
      <c r="Q378" s="1296"/>
      <c r="R378" s="1296"/>
      <c r="S378" s="1296"/>
      <c r="T378" s="1719" t="s">
        <v>1898</v>
      </c>
      <c r="U378" s="1334" t="s">
        <v>1500</v>
      </c>
      <c r="V378" s="1334" t="s">
        <v>728</v>
      </c>
      <c r="W378" s="1334" t="s">
        <v>1501</v>
      </c>
      <c r="X378" s="1296"/>
      <c r="Y378" s="1183" t="s">
        <v>1824</v>
      </c>
      <c r="Z378" s="1183" t="s">
        <v>1892</v>
      </c>
      <c r="AA378" s="1296"/>
      <c r="AB378" s="1296"/>
      <c r="AC378" s="1296"/>
      <c r="AD378" s="1296"/>
      <c r="AE378" s="1296"/>
      <c r="AF378" s="138"/>
      <c r="AG378" s="1296"/>
      <c r="AH378" s="1296"/>
      <c r="AI378" s="1296"/>
      <c r="AJ378" s="1296"/>
      <c r="AK378" s="1296"/>
      <c r="AL378" s="1296"/>
      <c r="AM378" s="1296"/>
      <c r="AN378" s="1296"/>
      <c r="AO378" s="1296"/>
      <c r="AP378" s="1296"/>
      <c r="AQ378" s="1296"/>
      <c r="AR378" s="1296"/>
      <c r="AS378" s="1296"/>
      <c r="AT378" s="1296"/>
      <c r="AU378" s="1296"/>
      <c r="AV378" s="1296"/>
      <c r="AW378" s="1296"/>
      <c r="AX378" s="1296"/>
      <c r="AY378" s="1296"/>
      <c r="AZ378" s="1296"/>
      <c r="BA378" s="1296"/>
      <c r="BB378" s="1296"/>
      <c r="BC378" s="1296"/>
      <c r="BD378" s="1296"/>
      <c r="BE378" s="1296"/>
      <c r="BF378" s="1296"/>
      <c r="BG378" s="1296"/>
      <c r="BH378" s="1296"/>
      <c r="BI378" s="1296"/>
      <c r="BJ378" s="1296"/>
      <c r="BK378" s="1296"/>
      <c r="BL378" s="1296"/>
      <c r="BM378" s="1296"/>
      <c r="BN378" s="1296"/>
      <c r="BO378" s="1296"/>
      <c r="BP378" s="1296"/>
      <c r="BQ378" s="1296"/>
      <c r="BR378" s="1296"/>
      <c r="BS378" s="1296"/>
      <c r="BT378" s="1296"/>
      <c r="BU378" s="1296"/>
      <c r="BV378" s="1296"/>
      <c r="BW378" s="1296"/>
      <c r="BX378" s="1296"/>
      <c r="BY378" s="1296"/>
      <c r="BZ378" s="1296"/>
      <c r="CA378" s="1296"/>
      <c r="CB378" s="1296"/>
      <c r="CC378" s="1296"/>
      <c r="CD378" s="1296"/>
      <c r="CE378" s="1296"/>
      <c r="CF378" s="1296"/>
      <c r="CG378" s="1296"/>
      <c r="CH378" s="1296"/>
      <c r="CI378" s="1296"/>
      <c r="CJ378" s="1296"/>
      <c r="CK378" s="1296"/>
    </row>
    <row r="379" spans="1:89" x14ac:dyDescent="0.25">
      <c r="A379" s="1296"/>
      <c r="B379" s="1720"/>
      <c r="C379" s="1335" cm="1">
        <f t="array" aca="1" ref="C379" ca="1">INDIRECT("'Incentives Worksheet'!J"&amp;'Configurable Tab'!H33+6)</f>
        <v>1</v>
      </c>
      <c r="D379" s="1336" t="str" cm="1">
        <f t="array" aca="1" ref="D379" ca="1">IF(INDIRECT("'Incentives Worksheet'!L"&amp;'Configurable Tab'!H33+6)=0,"",INDIRECT("'Incentives Worksheet'!L"&amp;'Configurable Tab'!H33+6))</f>
        <v/>
      </c>
      <c r="E379" s="1336" t="str" cm="1">
        <f t="array" aca="1" ref="E379" ca="1">IF(INDIRECT("'Incentives Worksheet'!N"&amp;'Configurable Tab'!H33+6)=0,"",INDIRECT("'Incentives Worksheet'!N"&amp;'Configurable Tab'!H33+6))</f>
        <v/>
      </c>
      <c r="F379" s="1296"/>
      <c r="G379" s="1183"/>
      <c r="H379" s="1183"/>
      <c r="I379" s="1296"/>
      <c r="J379" s="1296"/>
      <c r="K379" s="1296"/>
      <c r="L379" s="1296"/>
      <c r="M379" s="1296"/>
      <c r="N379" s="138"/>
      <c r="O379" s="1296"/>
      <c r="P379" s="1296"/>
      <c r="Q379" s="1296"/>
      <c r="R379" s="1296"/>
      <c r="S379" s="1296"/>
      <c r="T379" s="1720"/>
      <c r="U379" s="1337" cm="1">
        <f t="array" aca="1" ref="U379" ca="1">INDIRECT("'Incentives Worksheet'!J"&amp;'Configurable Tab'!H34+6)</f>
        <v>1</v>
      </c>
      <c r="V379" s="1336" t="str" cm="1">
        <f t="array" aca="1" ref="V379" ca="1">IF(INDIRECT("'Incentives Worksheet'!L"&amp;'Configurable Tab'!H34+6)=0,"",INDIRECT("'Incentives Worksheet'!L"&amp;'Configurable Tab'!H34+6))</f>
        <v/>
      </c>
      <c r="W379" s="1336" t="str" cm="1">
        <f t="array" aca="1" ref="W379" ca="1">IF(INDIRECT("'Incentives Worksheet'!N"&amp;'Configurable Tab'!H34+6)=0,"",INDIRECT("'Incentives Worksheet'!N"&amp;'Configurable Tab'!H34+6))</f>
        <v/>
      </c>
      <c r="X379" s="1296"/>
      <c r="Y379" s="1183"/>
      <c r="Z379" s="1183"/>
      <c r="AA379" s="1296"/>
      <c r="AB379" s="1296"/>
      <c r="AC379" s="1296"/>
      <c r="AD379" s="1296"/>
      <c r="AE379" s="1296"/>
      <c r="AF379" s="138"/>
      <c r="AG379" s="1296"/>
      <c r="AH379" s="1296"/>
      <c r="AI379" s="1296"/>
      <c r="AJ379" s="1296"/>
      <c r="AK379" s="1296"/>
      <c r="AL379" s="1296"/>
      <c r="AM379" s="1296"/>
      <c r="AN379" s="1296"/>
      <c r="AO379" s="1296"/>
      <c r="AP379" s="1296"/>
      <c r="AQ379" s="1296"/>
      <c r="AR379" s="1296"/>
      <c r="AS379" s="1296"/>
      <c r="AT379" s="1296"/>
      <c r="AU379" s="1296"/>
      <c r="AV379" s="1296"/>
      <c r="AW379" s="1296"/>
      <c r="AX379" s="1296"/>
      <c r="AY379" s="1296"/>
      <c r="AZ379" s="1296"/>
      <c r="BA379" s="1296"/>
      <c r="BB379" s="1296"/>
      <c r="BC379" s="1296"/>
      <c r="BD379" s="1296"/>
      <c r="BE379" s="1296"/>
      <c r="BF379" s="1296"/>
      <c r="BG379" s="1296"/>
      <c r="BH379" s="1296"/>
      <c r="BI379" s="1296"/>
      <c r="BJ379" s="1296"/>
      <c r="BK379" s="1296"/>
      <c r="BL379" s="1296"/>
      <c r="BM379" s="1296"/>
      <c r="BN379" s="1296"/>
      <c r="BO379" s="1296"/>
      <c r="BP379" s="1296"/>
      <c r="BQ379" s="1296"/>
      <c r="BR379" s="1296"/>
      <c r="BS379" s="1296"/>
      <c r="BT379" s="1296"/>
      <c r="BU379" s="1296"/>
      <c r="BV379" s="1296"/>
      <c r="BW379" s="1296"/>
      <c r="BX379" s="1296"/>
      <c r="BY379" s="1296"/>
      <c r="BZ379" s="1296"/>
      <c r="CA379" s="1296"/>
      <c r="CB379" s="1296"/>
      <c r="CC379" s="1296"/>
      <c r="CD379" s="1296"/>
      <c r="CE379" s="1296"/>
      <c r="CF379" s="1296"/>
      <c r="CG379" s="1296"/>
      <c r="CH379" s="1296"/>
      <c r="CI379" s="1296"/>
      <c r="CJ379" s="1296"/>
      <c r="CK379" s="1296"/>
    </row>
    <row r="380" spans="1:89" x14ac:dyDescent="0.25">
      <c r="A380" s="1296"/>
      <c r="B380" s="1720"/>
      <c r="C380" s="1278" cm="1">
        <f t="array" aca="1" ref="C380" ca="1">INDIRECT("'Incentives Worksheet'!J"&amp;'Configurable Tab'!H33+7)</f>
        <v>2</v>
      </c>
      <c r="D380" s="1355" t="str" cm="1">
        <f t="array" aca="1" ref="D380" ca="1">IF(INDIRECT("'Incentives Worksheet'!L"&amp;'Configurable Tab'!H33+7)=0,"",INDIRECT("'Incentives Worksheet'!L"&amp;'Configurable Tab'!H33+7))</f>
        <v/>
      </c>
      <c r="E380" s="1355" t="str" cm="1">
        <f t="array" aca="1" ref="E380" ca="1">IF(INDIRECT("'Incentives Worksheet'!N"&amp;'Configurable Tab'!H33+7)=0,"",INDIRECT("'Incentives Worksheet'!N"&amp;'Configurable Tab'!H33+7))</f>
        <v/>
      </c>
      <c r="F380" s="1296"/>
      <c r="G380" s="1183"/>
      <c r="H380" s="1183"/>
      <c r="I380" s="1296"/>
      <c r="J380" s="1296"/>
      <c r="K380" s="1296"/>
      <c r="L380" s="1296"/>
      <c r="M380" s="1296"/>
      <c r="N380" s="138"/>
      <c r="O380" s="1296"/>
      <c r="P380" s="1296"/>
      <c r="Q380" s="1296"/>
      <c r="R380" s="1296"/>
      <c r="S380" s="1296"/>
      <c r="T380" s="1720"/>
      <c r="U380" s="1232" cm="1">
        <f t="array" aca="1" ref="U380" ca="1">INDIRECT("'Incentives Worksheet'!J"&amp;'Configurable Tab'!H34+7)</f>
        <v>2</v>
      </c>
      <c r="V380" s="1355" t="str" cm="1">
        <f t="array" aca="1" ref="V380" ca="1">IF(INDIRECT("'Incentives Worksheet'!L"&amp;'Configurable Tab'!H34+7)=0,"",INDIRECT("'Incentives Worksheet'!L"&amp;'Configurable Tab'!H34+7))</f>
        <v/>
      </c>
      <c r="W380" s="1355" t="str" cm="1">
        <f t="array" aca="1" ref="W380" ca="1">IF(INDIRECT("'Incentives Worksheet'!N"&amp;'Configurable Tab'!H34+7)=0,"",INDIRECT("'Incentives Worksheet'!N"&amp;'Configurable Tab'!H34+7))</f>
        <v/>
      </c>
      <c r="X380" s="1296"/>
      <c r="Y380" s="1183"/>
      <c r="Z380" s="1183"/>
      <c r="AA380" s="1296"/>
      <c r="AB380" s="1296"/>
      <c r="AC380" s="1296"/>
      <c r="AD380" s="1296"/>
      <c r="AE380" s="1296"/>
      <c r="AF380" s="138"/>
      <c r="AG380" s="1296"/>
      <c r="AH380" s="1296"/>
      <c r="AI380" s="1296"/>
      <c r="AJ380" s="1296"/>
      <c r="AK380" s="1296"/>
      <c r="AL380" s="1296"/>
      <c r="AM380" s="1296"/>
      <c r="AN380" s="1296"/>
      <c r="AO380" s="1296"/>
      <c r="AP380" s="1296"/>
      <c r="AQ380" s="1296"/>
      <c r="AR380" s="1296"/>
      <c r="AS380" s="1296"/>
      <c r="AT380" s="1296"/>
      <c r="AU380" s="1296"/>
      <c r="AV380" s="1296"/>
      <c r="AW380" s="1296"/>
      <c r="AX380" s="1296"/>
      <c r="AY380" s="1296"/>
      <c r="AZ380" s="1296"/>
      <c r="BA380" s="1296"/>
      <c r="BB380" s="1296"/>
      <c r="BC380" s="1296"/>
      <c r="BD380" s="1296"/>
      <c r="BE380" s="1296"/>
      <c r="BF380" s="1296"/>
      <c r="BG380" s="1296"/>
      <c r="BH380" s="1296"/>
      <c r="BI380" s="1296"/>
      <c r="BJ380" s="1296"/>
      <c r="BK380" s="1296"/>
      <c r="BL380" s="1296"/>
      <c r="BM380" s="1296"/>
      <c r="BN380" s="1296"/>
      <c r="BO380" s="1296"/>
      <c r="BP380" s="1296"/>
      <c r="BQ380" s="1296"/>
      <c r="BR380" s="1296"/>
      <c r="BS380" s="1296"/>
      <c r="BT380" s="1296"/>
      <c r="BU380" s="1296"/>
      <c r="BV380" s="1296"/>
      <c r="BW380" s="1296"/>
      <c r="BX380" s="1296"/>
      <c r="BY380" s="1296"/>
      <c r="BZ380" s="1296"/>
      <c r="CA380" s="1296"/>
      <c r="CB380" s="1296"/>
      <c r="CC380" s="1296"/>
      <c r="CD380" s="1296"/>
      <c r="CE380" s="1296"/>
      <c r="CF380" s="1296"/>
      <c r="CG380" s="1296"/>
      <c r="CH380" s="1296"/>
      <c r="CI380" s="1296"/>
      <c r="CJ380" s="1296"/>
      <c r="CK380" s="1296"/>
    </row>
    <row r="381" spans="1:89" x14ac:dyDescent="0.25">
      <c r="A381" s="1296"/>
      <c r="B381" s="1720"/>
      <c r="C381" s="1278" cm="1">
        <f t="array" aca="1" ref="C381" ca="1">INDIRECT("'Incentives Worksheet'!J"&amp;'Configurable Tab'!H33+8)</f>
        <v>3</v>
      </c>
      <c r="D381" s="1355" t="str" cm="1">
        <f t="array" aca="1" ref="D381" ca="1">IF(INDIRECT("'Incentives Worksheet'!L"&amp;'Configurable Tab'!H33+8)=0,"",INDIRECT("'Incentives Worksheet'!L"&amp;'Configurable Tab'!H33+8))</f>
        <v/>
      </c>
      <c r="E381" s="1355" t="str" cm="1">
        <f t="array" aca="1" ref="E381" ca="1">IF(INDIRECT("'Incentives Worksheet'!N"&amp;'Configurable Tab'!H33+8)=0,"",INDIRECT("'Incentives Worksheet'!N"&amp;'Configurable Tab'!H33+8))</f>
        <v/>
      </c>
      <c r="F381" s="1296"/>
      <c r="G381" s="1183"/>
      <c r="H381" s="1183"/>
      <c r="I381" s="1296"/>
      <c r="J381" s="1296"/>
      <c r="K381" s="1296"/>
      <c r="L381" s="1296"/>
      <c r="M381" s="1296"/>
      <c r="N381" s="138"/>
      <c r="O381" s="1296"/>
      <c r="P381" s="1296"/>
      <c r="Q381" s="1296"/>
      <c r="R381" s="1296"/>
      <c r="S381" s="1296"/>
      <c r="T381" s="1720"/>
      <c r="U381" s="1232" cm="1">
        <f t="array" aca="1" ref="U381" ca="1">INDIRECT("'Incentives Worksheet'!J"&amp;'Configurable Tab'!H34+8)</f>
        <v>3</v>
      </c>
      <c r="V381" s="1355" t="str" cm="1">
        <f t="array" aca="1" ref="V381" ca="1">IF(INDIRECT("'Incentives Worksheet'!L"&amp;'Configurable Tab'!H34+8)=0,"",INDIRECT("'Incentives Worksheet'!L"&amp;'Configurable Tab'!H34+8))</f>
        <v/>
      </c>
      <c r="W381" s="1355" t="str" cm="1">
        <f t="array" aca="1" ref="W381" ca="1">IF(INDIRECT("'Incentives Worksheet'!N"&amp;'Configurable Tab'!H34+8)=0,"",INDIRECT("'Incentives Worksheet'!N"&amp;'Configurable Tab'!H34+8))</f>
        <v/>
      </c>
      <c r="X381" s="1296"/>
      <c r="Y381" s="1183"/>
      <c r="Z381" s="1183"/>
      <c r="AA381" s="1296"/>
      <c r="AB381" s="1296"/>
      <c r="AC381" s="1296"/>
      <c r="AD381" s="1296"/>
      <c r="AE381" s="1296"/>
      <c r="AF381" s="138"/>
      <c r="AG381" s="1296"/>
      <c r="AH381" s="1296"/>
      <c r="AI381" s="1296"/>
      <c r="AJ381" s="1296"/>
      <c r="AK381" s="1296"/>
      <c r="AL381" s="1296"/>
      <c r="AM381" s="1296"/>
      <c r="AN381" s="1296"/>
      <c r="AO381" s="1296"/>
      <c r="AP381" s="1296"/>
      <c r="AQ381" s="1296"/>
      <c r="AR381" s="1296"/>
      <c r="AS381" s="1296"/>
      <c r="AT381" s="1296"/>
      <c r="AU381" s="1296"/>
      <c r="AV381" s="1296"/>
      <c r="AW381" s="1296"/>
      <c r="AX381" s="1296"/>
      <c r="AY381" s="1296"/>
      <c r="AZ381" s="1296"/>
      <c r="BA381" s="1296"/>
      <c r="BB381" s="1296"/>
      <c r="BC381" s="1296"/>
      <c r="BD381" s="1296"/>
      <c r="BE381" s="1296"/>
      <c r="BF381" s="1296"/>
      <c r="BG381" s="1296"/>
      <c r="BH381" s="1296"/>
      <c r="BI381" s="1296"/>
      <c r="BJ381" s="1296"/>
      <c r="BK381" s="1296"/>
      <c r="BL381" s="1296"/>
      <c r="BM381" s="1296"/>
      <c r="BN381" s="1296"/>
      <c r="BO381" s="1296"/>
      <c r="BP381" s="1296"/>
      <c r="BQ381" s="1296"/>
      <c r="BR381" s="1296"/>
      <c r="BS381" s="1296"/>
      <c r="BT381" s="1296"/>
      <c r="BU381" s="1296"/>
      <c r="BV381" s="1296"/>
      <c r="BW381" s="1296"/>
      <c r="BX381" s="1296"/>
      <c r="BY381" s="1296"/>
      <c r="BZ381" s="1296"/>
      <c r="CA381" s="1296"/>
      <c r="CB381" s="1296"/>
      <c r="CC381" s="1296"/>
      <c r="CD381" s="1296"/>
      <c r="CE381" s="1296"/>
      <c r="CF381" s="1296"/>
      <c r="CG381" s="1296"/>
      <c r="CH381" s="1296"/>
      <c r="CI381" s="1296"/>
      <c r="CJ381" s="1296"/>
      <c r="CK381" s="1296"/>
    </row>
    <row r="382" spans="1:89" x14ac:dyDescent="0.25">
      <c r="A382" s="1296"/>
      <c r="B382" s="1720"/>
      <c r="C382" s="1278" cm="1">
        <f t="array" aca="1" ref="C382" ca="1">INDIRECT("'Incentives Worksheet'!J"&amp;'Configurable Tab'!H33+9)</f>
        <v>4</v>
      </c>
      <c r="D382" s="1355" t="str" cm="1">
        <f t="array" aca="1" ref="D382" ca="1">IF(INDIRECT("'Incentives Worksheet'!L"&amp;'Configurable Tab'!H33+9)=0,"",INDIRECT("'Incentives Worksheet'!L"&amp;'Configurable Tab'!H33+9))</f>
        <v/>
      </c>
      <c r="E382" s="1355" t="str" cm="1">
        <f t="array" aca="1" ref="E382" ca="1">IF(INDIRECT("'Incentives Worksheet'!N"&amp;'Configurable Tab'!H33+9)=0,"",INDIRECT("'Incentives Worksheet'!N"&amp;'Configurable Tab'!H33+9))</f>
        <v/>
      </c>
      <c r="F382" s="1296"/>
      <c r="G382" s="1183"/>
      <c r="H382" s="1183"/>
      <c r="I382" s="1296"/>
      <c r="J382" s="1296"/>
      <c r="K382" s="1296"/>
      <c r="L382" s="1296"/>
      <c r="M382" s="1296"/>
      <c r="N382" s="138"/>
      <c r="O382" s="1296"/>
      <c r="P382" s="1296"/>
      <c r="Q382" s="1296"/>
      <c r="R382" s="1296"/>
      <c r="S382" s="1296"/>
      <c r="T382" s="1720"/>
      <c r="U382" s="1232" cm="1">
        <f t="array" aca="1" ref="U382" ca="1">INDIRECT("'Incentives Worksheet'!J"&amp;'Configurable Tab'!H34+9)</f>
        <v>4</v>
      </c>
      <c r="V382" s="1355" t="str" cm="1">
        <f t="array" aca="1" ref="V382" ca="1">IF(INDIRECT("'Incentives Worksheet'!L"&amp;'Configurable Tab'!H34+9)=0,"",INDIRECT("'Incentives Worksheet'!L"&amp;'Configurable Tab'!H34+9))</f>
        <v/>
      </c>
      <c r="W382" s="1355" t="str" cm="1">
        <f t="array" aca="1" ref="W382" ca="1">IF(INDIRECT("'Incentives Worksheet'!N"&amp;'Configurable Tab'!H34+9)=0,"",INDIRECT("'Incentives Worksheet'!N"&amp;'Configurable Tab'!H34+9))</f>
        <v/>
      </c>
      <c r="X382" s="1296"/>
      <c r="Y382" s="1183"/>
      <c r="Z382" s="1183"/>
      <c r="AA382" s="1296"/>
      <c r="AB382" s="1296"/>
      <c r="AC382" s="1296"/>
      <c r="AD382" s="1296"/>
      <c r="AE382" s="1296"/>
      <c r="AF382" s="138"/>
      <c r="AG382" s="1296"/>
      <c r="AH382" s="1296"/>
      <c r="AI382" s="1296"/>
      <c r="AJ382" s="1296"/>
      <c r="AK382" s="1296"/>
      <c r="AL382" s="1296"/>
      <c r="AM382" s="1296"/>
      <c r="AN382" s="1296"/>
      <c r="AO382" s="1296"/>
      <c r="AP382" s="1296"/>
      <c r="AQ382" s="1296"/>
      <c r="AR382" s="1296"/>
      <c r="AS382" s="1296"/>
      <c r="AT382" s="1296"/>
      <c r="AU382" s="1296"/>
      <c r="AV382" s="1296"/>
      <c r="AW382" s="1296"/>
      <c r="AX382" s="1296"/>
      <c r="AY382" s="1296"/>
      <c r="AZ382" s="1296"/>
      <c r="BA382" s="1296"/>
      <c r="BB382" s="1296"/>
      <c r="BC382" s="1296"/>
      <c r="BD382" s="1296"/>
      <c r="BE382" s="1296"/>
      <c r="BF382" s="1296"/>
      <c r="BG382" s="1296"/>
      <c r="BH382" s="1296"/>
      <c r="BI382" s="1296"/>
      <c r="BJ382" s="1296"/>
      <c r="BK382" s="1296"/>
      <c r="BL382" s="1296"/>
      <c r="BM382" s="1296"/>
      <c r="BN382" s="1296"/>
      <c r="BO382" s="1296"/>
      <c r="BP382" s="1296"/>
      <c r="BQ382" s="1296"/>
      <c r="BR382" s="1296"/>
      <c r="BS382" s="1296"/>
      <c r="BT382" s="1296"/>
      <c r="BU382" s="1296"/>
      <c r="BV382" s="1296"/>
      <c r="BW382" s="1296"/>
      <c r="BX382" s="1296"/>
      <c r="BY382" s="1296"/>
      <c r="BZ382" s="1296"/>
      <c r="CA382" s="1296"/>
      <c r="CB382" s="1296"/>
      <c r="CC382" s="1296"/>
      <c r="CD382" s="1296"/>
      <c r="CE382" s="1296"/>
      <c r="CF382" s="1296"/>
      <c r="CG382" s="1296"/>
      <c r="CH382" s="1296"/>
      <c r="CI382" s="1296"/>
      <c r="CJ382" s="1296"/>
      <c r="CK382" s="1296"/>
    </row>
    <row r="383" spans="1:89" ht="15.75" thickBot="1" x14ac:dyDescent="0.3">
      <c r="A383" s="1296"/>
      <c r="B383" s="1721"/>
      <c r="C383" s="1198" cm="1">
        <f t="array" aca="1" ref="C383" ca="1">INDIRECT("'Incentives Worksheet'!J"&amp;'Configurable Tab'!H33+10)</f>
        <v>5</v>
      </c>
      <c r="D383" s="1275" t="str" cm="1">
        <f t="array" aca="1" ref="D383" ca="1">IF(INDIRECT("'Incentives Worksheet'!L"&amp;'Configurable Tab'!H33+10)=0,"",INDIRECT("'Incentives Worksheet'!L"&amp;'Configurable Tab'!H33+10))</f>
        <v/>
      </c>
      <c r="E383" s="1275" t="str" cm="1">
        <f t="array" aca="1" ref="E383" ca="1">IF(INDIRECT("'Incentives Worksheet'!N"&amp;'Configurable Tab'!H33+10)=0,"",INDIRECT("'Incentives Worksheet'!N"&amp;'Configurable Tab'!H33+10))</f>
        <v/>
      </c>
      <c r="F383" s="54"/>
      <c r="G383" s="54"/>
      <c r="H383" s="54"/>
      <c r="I383" s="1296"/>
      <c r="J383" s="1296"/>
      <c r="K383" s="1296"/>
      <c r="L383" s="1296"/>
      <c r="M383" s="1296"/>
      <c r="N383" s="138"/>
      <c r="O383" s="1296"/>
      <c r="P383" s="1296"/>
      <c r="Q383" s="1296"/>
      <c r="R383" s="1296"/>
      <c r="S383" s="1296"/>
      <c r="T383" s="1721"/>
      <c r="U383" s="1209" cm="1">
        <f t="array" aca="1" ref="U383" ca="1">INDIRECT("'Incentives Worksheet'!J"&amp;'Configurable Tab'!H34+10)</f>
        <v>5</v>
      </c>
      <c r="V383" s="1275" t="str" cm="1">
        <f t="array" aca="1" ref="V383" ca="1">IF(INDIRECT("'Incentives Worksheet'!L"&amp;'Configurable Tab'!H34+10)=0,"",INDIRECT("'Incentives Worksheet'!L"&amp;'Configurable Tab'!H34+10))</f>
        <v/>
      </c>
      <c r="W383" s="1275" t="str" cm="1">
        <f t="array" aca="1" ref="W383" ca="1">IF(INDIRECT("'Incentives Worksheet'!N"&amp;'Configurable Tab'!H34+10)=0,"",INDIRECT("'Incentives Worksheet'!N"&amp;'Configurable Tab'!H34+10))</f>
        <v/>
      </c>
      <c r="X383" s="54"/>
      <c r="Y383" s="54"/>
      <c r="Z383" s="54"/>
      <c r="AA383" s="1296"/>
      <c r="AB383" s="1296"/>
      <c r="AC383" s="1296"/>
      <c r="AD383" s="1296"/>
      <c r="AE383" s="1296"/>
      <c r="AF383" s="138"/>
      <c r="AG383" s="1296"/>
      <c r="AH383" s="1296"/>
      <c r="AI383" s="1296"/>
      <c r="AJ383" s="1296"/>
      <c r="AK383" s="1296"/>
      <c r="AL383" s="1296"/>
      <c r="AM383" s="1296"/>
      <c r="AN383" s="1296"/>
      <c r="AO383" s="1296"/>
      <c r="AP383" s="1296"/>
      <c r="AQ383" s="1296"/>
      <c r="AR383" s="1296"/>
      <c r="AS383" s="1296"/>
      <c r="AT383" s="1296"/>
      <c r="AU383" s="1296"/>
      <c r="AV383" s="1296"/>
      <c r="AW383" s="1296"/>
      <c r="AX383" s="1296"/>
      <c r="AY383" s="1296"/>
      <c r="AZ383" s="1296"/>
      <c r="BA383" s="1296"/>
      <c r="BB383" s="1296"/>
      <c r="BC383" s="1296"/>
      <c r="BD383" s="1296"/>
      <c r="BE383" s="1296"/>
      <c r="BF383" s="1296"/>
      <c r="BG383" s="1296"/>
      <c r="BH383" s="1296"/>
      <c r="BI383" s="1296"/>
      <c r="BJ383" s="1296"/>
      <c r="BK383" s="1296"/>
      <c r="BL383" s="1296"/>
      <c r="BM383" s="1296"/>
      <c r="BN383" s="1296"/>
      <c r="BO383" s="1296"/>
      <c r="BP383" s="1296"/>
      <c r="BQ383" s="1296"/>
      <c r="BR383" s="1296"/>
      <c r="BS383" s="1296"/>
      <c r="BT383" s="1296"/>
      <c r="BU383" s="1296"/>
      <c r="BV383" s="1296"/>
      <c r="BW383" s="1296"/>
      <c r="BX383" s="1296"/>
      <c r="BY383" s="1296"/>
      <c r="BZ383" s="1296"/>
      <c r="CA383" s="1296"/>
      <c r="CB383" s="1296"/>
      <c r="CC383" s="1296"/>
      <c r="CD383" s="1296"/>
      <c r="CE383" s="1296"/>
      <c r="CF383" s="1296"/>
      <c r="CG383" s="1296"/>
      <c r="CH383" s="1296"/>
      <c r="CI383" s="1296"/>
      <c r="CJ383" s="1296"/>
      <c r="CK383" s="1296"/>
    </row>
    <row r="384" spans="1:89" ht="15.75" thickBot="1" x14ac:dyDescent="0.3">
      <c r="A384" s="1296"/>
      <c r="B384" s="1719" t="s">
        <v>1899</v>
      </c>
      <c r="C384" s="1258" t="s">
        <v>1853</v>
      </c>
      <c r="D384" s="1338" t="s">
        <v>1843</v>
      </c>
      <c r="E384" s="1338" t="s">
        <v>131</v>
      </c>
      <c r="F384" s="1200" t="s">
        <v>1844</v>
      </c>
      <c r="G384" s="1200" t="s">
        <v>1854</v>
      </c>
      <c r="H384" s="1201" t="s">
        <v>1855</v>
      </c>
      <c r="I384" s="1202" t="s">
        <v>767</v>
      </c>
      <c r="J384" s="1339" t="s">
        <v>768</v>
      </c>
      <c r="K384" s="1202" t="s">
        <v>769</v>
      </c>
      <c r="L384" s="1202" t="s">
        <v>770</v>
      </c>
      <c r="M384" s="1202" t="s">
        <v>204</v>
      </c>
      <c r="N384" s="138"/>
      <c r="O384" s="1296"/>
      <c r="P384" s="1296"/>
      <c r="Q384" s="1296"/>
      <c r="R384" s="1296"/>
      <c r="S384" s="1296"/>
      <c r="T384" s="1719" t="s">
        <v>1899</v>
      </c>
      <c r="U384" s="1258" t="s">
        <v>1853</v>
      </c>
      <c r="V384" s="1338" t="s">
        <v>1843</v>
      </c>
      <c r="W384" s="1338" t="s">
        <v>131</v>
      </c>
      <c r="X384" s="1200" t="s">
        <v>1844</v>
      </c>
      <c r="Y384" s="1200" t="s">
        <v>1854</v>
      </c>
      <c r="Z384" s="1201" t="s">
        <v>1855</v>
      </c>
      <c r="AA384" s="1202" t="s">
        <v>767</v>
      </c>
      <c r="AB384" s="1339" t="s">
        <v>768</v>
      </c>
      <c r="AC384" s="1202" t="s">
        <v>769</v>
      </c>
      <c r="AD384" s="1202" t="s">
        <v>770</v>
      </c>
      <c r="AE384" s="1202" t="s">
        <v>204</v>
      </c>
      <c r="AF384" s="138"/>
      <c r="AG384" s="1296"/>
      <c r="AH384" s="1296"/>
      <c r="AI384" s="1296"/>
      <c r="AJ384" s="1296"/>
      <c r="AK384" s="1296"/>
      <c r="AL384" s="1296"/>
      <c r="AM384" s="1296"/>
      <c r="AN384" s="1296"/>
      <c r="AO384" s="1296"/>
      <c r="AP384" s="1296"/>
      <c r="AQ384" s="1296"/>
      <c r="AR384" s="1296"/>
      <c r="AS384" s="1296"/>
      <c r="AT384" s="1296"/>
      <c r="AU384" s="1296"/>
      <c r="AV384" s="1296"/>
      <c r="AW384" s="1296"/>
      <c r="AX384" s="1296"/>
      <c r="AY384" s="1296"/>
      <c r="AZ384" s="1296"/>
      <c r="BA384" s="1296"/>
      <c r="BB384" s="1296"/>
      <c r="BC384" s="1296"/>
      <c r="BD384" s="1296"/>
      <c r="BE384" s="1296"/>
      <c r="BF384" s="1296"/>
      <c r="BG384" s="1296"/>
      <c r="BH384" s="1296"/>
      <c r="BI384" s="1296"/>
      <c r="BJ384" s="1296"/>
      <c r="BK384" s="1296"/>
      <c r="BL384" s="1296"/>
      <c r="BM384" s="1296"/>
      <c r="BN384" s="1296"/>
      <c r="BO384" s="1296"/>
      <c r="BP384" s="1296"/>
      <c r="BQ384" s="1296"/>
      <c r="BR384" s="1296"/>
      <c r="BS384" s="1296"/>
      <c r="BT384" s="1296"/>
      <c r="BU384" s="1296"/>
      <c r="BV384" s="1296"/>
      <c r="BW384" s="1296"/>
      <c r="BX384" s="1296"/>
      <c r="BY384" s="1296"/>
      <c r="BZ384" s="1296"/>
      <c r="CA384" s="1296"/>
      <c r="CB384" s="1296"/>
      <c r="CC384" s="1296"/>
      <c r="CD384" s="1296"/>
      <c r="CE384" s="1296"/>
      <c r="CF384" s="1296"/>
      <c r="CG384" s="1296"/>
      <c r="CH384" s="1296"/>
      <c r="CI384" s="1296"/>
      <c r="CJ384" s="1296"/>
      <c r="CK384" s="1296"/>
    </row>
    <row r="385" spans="1:89" x14ac:dyDescent="0.25">
      <c r="A385" s="1296"/>
      <c r="B385" s="1721"/>
      <c r="C385" s="1199">
        <v>1</v>
      </c>
      <c r="D385" s="1196" t="s">
        <v>1856</v>
      </c>
      <c r="E385" s="1196" t="s">
        <v>1444</v>
      </c>
      <c r="F385" s="1196" t="str">
        <f>'Required Info to Submit'!E23</f>
        <v/>
      </c>
      <c r="G385" s="1393" t="str">
        <f>IF(F385="","",'Required Info to Submit'!K23)</f>
        <v/>
      </c>
      <c r="H385" s="1394" t="str">
        <f>IF(F385="","",'Required Info to Submit'!L23)</f>
        <v/>
      </c>
      <c r="I385" s="1196" t="str">
        <f>'Required Info to Submit'!F23</f>
        <v/>
      </c>
      <c r="J385" s="1340" t="str">
        <f>'Required Info to Submit'!G23</f>
        <v/>
      </c>
      <c r="K385" s="1196" t="str">
        <f>'Required Info to Submit'!H23</f>
        <v/>
      </c>
      <c r="L385" s="1196" t="str">
        <f>'Required Info to Submit'!I23</f>
        <v/>
      </c>
      <c r="M385" s="1196" t="str">
        <f>'Required Info to Submit'!J23</f>
        <v/>
      </c>
      <c r="N385" s="138"/>
      <c r="O385" s="1296"/>
      <c r="P385" s="1296"/>
      <c r="Q385" s="1296"/>
      <c r="R385" s="1296"/>
      <c r="S385" s="1296"/>
      <c r="T385" s="1721"/>
      <c r="U385" s="1199">
        <v>1</v>
      </c>
      <c r="V385" s="1196" t="s">
        <v>1856</v>
      </c>
      <c r="W385" s="1196" t="s">
        <v>1444</v>
      </c>
      <c r="X385" s="1196" t="str">
        <f>'Required Info to Submit'!E23</f>
        <v/>
      </c>
      <c r="Y385" s="1393" t="str">
        <f>IF(X385="","",'Required Info to Submit'!K23)</f>
        <v/>
      </c>
      <c r="Z385" s="1394" t="str">
        <f>IF(X385="","",'Required Info to Submit'!L23)</f>
        <v/>
      </c>
      <c r="AA385" s="1196" t="str">
        <f>'Required Info to Submit'!F23</f>
        <v/>
      </c>
      <c r="AB385" s="1340" t="str">
        <f>'Required Info to Submit'!G23</f>
        <v/>
      </c>
      <c r="AC385" s="1196" t="str">
        <f>'Required Info to Submit'!H23</f>
        <v/>
      </c>
      <c r="AD385" s="1196" t="str">
        <f>'Required Info to Submit'!I23</f>
        <v/>
      </c>
      <c r="AE385" s="1196" t="str">
        <f>'Required Info to Submit'!J23</f>
        <v/>
      </c>
      <c r="AF385" s="138"/>
      <c r="AG385" s="1296"/>
      <c r="AH385" s="1296"/>
      <c r="AI385" s="1296"/>
      <c r="AJ385" s="1296"/>
      <c r="AK385" s="1296"/>
      <c r="AL385" s="1296"/>
      <c r="AM385" s="1296"/>
      <c r="AN385" s="1296"/>
      <c r="AO385" s="1296"/>
      <c r="AP385" s="1296"/>
      <c r="AQ385" s="1296"/>
      <c r="AR385" s="1296"/>
      <c r="AS385" s="1296"/>
      <c r="AT385" s="1296"/>
      <c r="AU385" s="1296"/>
      <c r="AV385" s="1296"/>
      <c r="AW385" s="1296"/>
      <c r="AX385" s="1296"/>
      <c r="AY385" s="1296"/>
      <c r="AZ385" s="1296"/>
      <c r="BA385" s="1296"/>
      <c r="BB385" s="1296"/>
      <c r="BC385" s="1296"/>
      <c r="BD385" s="1296"/>
      <c r="BE385" s="1296"/>
      <c r="BF385" s="1296"/>
      <c r="BG385" s="1296"/>
      <c r="BH385" s="1296"/>
      <c r="BI385" s="1296"/>
      <c r="BJ385" s="1296"/>
      <c r="BK385" s="1296"/>
      <c r="BL385" s="1296"/>
      <c r="BM385" s="1296"/>
      <c r="BN385" s="1296"/>
      <c r="BO385" s="1296"/>
      <c r="BP385" s="1296"/>
      <c r="BQ385" s="1296"/>
      <c r="BR385" s="1296"/>
      <c r="BS385" s="1296"/>
      <c r="BT385" s="1296"/>
      <c r="BU385" s="1296"/>
      <c r="BV385" s="1296"/>
      <c r="BW385" s="1296"/>
      <c r="BX385" s="1296"/>
      <c r="BY385" s="1296"/>
      <c r="BZ385" s="1296"/>
      <c r="CA385" s="1296"/>
      <c r="CB385" s="1296"/>
      <c r="CC385" s="1296"/>
      <c r="CD385" s="1296"/>
      <c r="CE385" s="1296"/>
      <c r="CF385" s="1296"/>
      <c r="CG385" s="1296"/>
      <c r="CH385" s="1296"/>
      <c r="CI385" s="1296"/>
      <c r="CJ385" s="1296"/>
      <c r="CK385" s="1296"/>
    </row>
    <row r="386" spans="1:89" x14ac:dyDescent="0.25">
      <c r="A386" s="1296"/>
      <c r="B386" s="1721"/>
      <c r="C386" s="1205">
        <v>2</v>
      </c>
      <c r="D386" s="1196" t="s">
        <v>1856</v>
      </c>
      <c r="E386" s="1196" t="s">
        <v>1444</v>
      </c>
      <c r="F386" s="1196" t="str">
        <f>'Required Info to Submit'!E24</f>
        <v/>
      </c>
      <c r="G386" s="1393" t="str">
        <f>IF(F386="","",'Required Info to Submit'!K24)</f>
        <v/>
      </c>
      <c r="H386" s="1394" t="str">
        <f>IF(F386="","",'Required Info to Submit'!L24)</f>
        <v/>
      </c>
      <c r="I386" s="1196" t="str">
        <f>'Required Info to Submit'!F24</f>
        <v/>
      </c>
      <c r="J386" s="1340" t="str">
        <f>'Required Info to Submit'!G24</f>
        <v/>
      </c>
      <c r="K386" s="1196" t="str">
        <f>'Required Info to Submit'!H24</f>
        <v/>
      </c>
      <c r="L386" s="1196" t="str">
        <f>'Required Info to Submit'!I24</f>
        <v/>
      </c>
      <c r="M386" s="1196" t="str">
        <f>'Required Info to Submit'!J24</f>
        <v/>
      </c>
      <c r="N386" s="138"/>
      <c r="O386" s="1296"/>
      <c r="P386" s="1296"/>
      <c r="Q386" s="1296"/>
      <c r="R386" s="1296"/>
      <c r="S386" s="1296"/>
      <c r="T386" s="1721"/>
      <c r="U386" s="1205">
        <v>2</v>
      </c>
      <c r="V386" s="1196" t="s">
        <v>1856</v>
      </c>
      <c r="W386" s="1196" t="s">
        <v>1444</v>
      </c>
      <c r="X386" s="1196" t="str">
        <f>'Required Info to Submit'!E24</f>
        <v/>
      </c>
      <c r="Y386" s="1393" t="str">
        <f>IF(X386="","",'Required Info to Submit'!K24)</f>
        <v/>
      </c>
      <c r="Z386" s="1394" t="str">
        <f>IF(X386="","",'Required Info to Submit'!L24)</f>
        <v/>
      </c>
      <c r="AA386" s="1196" t="str">
        <f>'Required Info to Submit'!F24</f>
        <v/>
      </c>
      <c r="AB386" s="1340" t="str">
        <f>'Required Info to Submit'!G24</f>
        <v/>
      </c>
      <c r="AC386" s="1196" t="str">
        <f>'Required Info to Submit'!H24</f>
        <v/>
      </c>
      <c r="AD386" s="1196" t="str">
        <f>'Required Info to Submit'!I24</f>
        <v/>
      </c>
      <c r="AE386" s="1196" t="str">
        <f>'Required Info to Submit'!J24</f>
        <v/>
      </c>
      <c r="AF386" s="138"/>
      <c r="AG386" s="1296"/>
      <c r="AH386" s="1296"/>
      <c r="AI386" s="1296"/>
      <c r="AJ386" s="1296"/>
      <c r="AK386" s="1296"/>
      <c r="AL386" s="1296"/>
      <c r="AM386" s="1296"/>
      <c r="AN386" s="1296"/>
      <c r="AO386" s="1296"/>
      <c r="AP386" s="1296"/>
      <c r="AQ386" s="1296"/>
      <c r="AR386" s="1296"/>
      <c r="AS386" s="1296"/>
      <c r="AT386" s="1296"/>
      <c r="AU386" s="1296"/>
      <c r="AV386" s="1296"/>
      <c r="AW386" s="1296"/>
      <c r="AX386" s="1296"/>
      <c r="AY386" s="1296"/>
      <c r="AZ386" s="1296"/>
      <c r="BA386" s="1296"/>
      <c r="BB386" s="1296"/>
      <c r="BC386" s="1296"/>
      <c r="BD386" s="1296"/>
      <c r="BE386" s="1296"/>
      <c r="BF386" s="1296"/>
      <c r="BG386" s="1296"/>
      <c r="BH386" s="1296"/>
      <c r="BI386" s="1296"/>
      <c r="BJ386" s="1296"/>
      <c r="BK386" s="1296"/>
      <c r="BL386" s="1296"/>
      <c r="BM386" s="1296"/>
      <c r="BN386" s="1296"/>
      <c r="BO386" s="1296"/>
      <c r="BP386" s="1296"/>
      <c r="BQ386" s="1296"/>
      <c r="BR386" s="1296"/>
      <c r="BS386" s="1296"/>
      <c r="BT386" s="1296"/>
      <c r="BU386" s="1296"/>
      <c r="BV386" s="1296"/>
      <c r="BW386" s="1296"/>
      <c r="BX386" s="1296"/>
      <c r="BY386" s="1296"/>
      <c r="BZ386" s="1296"/>
      <c r="CA386" s="1296"/>
      <c r="CB386" s="1296"/>
      <c r="CC386" s="1296"/>
      <c r="CD386" s="1296"/>
      <c r="CE386" s="1296"/>
      <c r="CF386" s="1296"/>
      <c r="CG386" s="1296"/>
      <c r="CH386" s="1296"/>
      <c r="CI386" s="1296"/>
      <c r="CJ386" s="1296"/>
      <c r="CK386" s="1296"/>
    </row>
    <row r="387" spans="1:89" x14ac:dyDescent="0.25">
      <c r="A387" s="1296"/>
      <c r="B387" s="1721"/>
      <c r="C387" s="1205">
        <v>3</v>
      </c>
      <c r="D387" s="1196" t="s">
        <v>1856</v>
      </c>
      <c r="E387" s="1196" t="s">
        <v>1444</v>
      </c>
      <c r="F387" s="1196" t="str">
        <f>'Required Info to Submit'!E25</f>
        <v/>
      </c>
      <c r="G387" s="1393" t="str">
        <f>IF(F387="","",'Required Info to Submit'!K25)</f>
        <v/>
      </c>
      <c r="H387" s="1394" t="str">
        <f>IF(F387="","",'Required Info to Submit'!L25)</f>
        <v/>
      </c>
      <c r="I387" s="1196" t="str">
        <f>'Required Info to Submit'!F25</f>
        <v/>
      </c>
      <c r="J387" s="1340" t="str">
        <f>'Required Info to Submit'!G25</f>
        <v/>
      </c>
      <c r="K387" s="1196" t="str">
        <f>'Required Info to Submit'!H25</f>
        <v/>
      </c>
      <c r="L387" s="1196" t="str">
        <f>'Required Info to Submit'!I25</f>
        <v/>
      </c>
      <c r="M387" s="1196" t="str">
        <f>'Required Info to Submit'!J25</f>
        <v/>
      </c>
      <c r="N387" s="138"/>
      <c r="O387" s="1296"/>
      <c r="P387" s="1296"/>
      <c r="Q387" s="1296"/>
      <c r="R387" s="1296"/>
      <c r="S387" s="1296"/>
      <c r="T387" s="1721"/>
      <c r="U387" s="1205">
        <v>3</v>
      </c>
      <c r="V387" s="1196" t="s">
        <v>1856</v>
      </c>
      <c r="W387" s="1196" t="s">
        <v>1444</v>
      </c>
      <c r="X387" s="1196" t="str">
        <f>'Required Info to Submit'!E25</f>
        <v/>
      </c>
      <c r="Y387" s="1393" t="str">
        <f>IF(X387="","",'Required Info to Submit'!K25)</f>
        <v/>
      </c>
      <c r="Z387" s="1394" t="str">
        <f>IF(X387="","",'Required Info to Submit'!L25)</f>
        <v/>
      </c>
      <c r="AA387" s="1196" t="str">
        <f>'Required Info to Submit'!F25</f>
        <v/>
      </c>
      <c r="AB387" s="1340" t="str">
        <f>'Required Info to Submit'!G25</f>
        <v/>
      </c>
      <c r="AC387" s="1196" t="str">
        <f>'Required Info to Submit'!H25</f>
        <v/>
      </c>
      <c r="AD387" s="1196" t="str">
        <f>'Required Info to Submit'!I25</f>
        <v/>
      </c>
      <c r="AE387" s="1196" t="str">
        <f>'Required Info to Submit'!J25</f>
        <v/>
      </c>
      <c r="AF387" s="138"/>
      <c r="AG387" s="1296"/>
      <c r="AH387" s="1296"/>
      <c r="AI387" s="1296"/>
      <c r="AJ387" s="1296"/>
      <c r="AK387" s="1296"/>
      <c r="AL387" s="1296"/>
      <c r="AM387" s="1296"/>
      <c r="AN387" s="1296"/>
      <c r="AO387" s="1296"/>
      <c r="AP387" s="1296"/>
      <c r="AQ387" s="1296"/>
      <c r="AR387" s="1296"/>
      <c r="AS387" s="1296"/>
      <c r="AT387" s="1296"/>
      <c r="AU387" s="1296"/>
      <c r="AV387" s="1296"/>
      <c r="AW387" s="1296"/>
      <c r="AX387" s="1296"/>
      <c r="AY387" s="1296"/>
      <c r="AZ387" s="1296"/>
      <c r="BA387" s="1296"/>
      <c r="BB387" s="1296"/>
      <c r="BC387" s="1296"/>
      <c r="BD387" s="1296"/>
      <c r="BE387" s="1296"/>
      <c r="BF387" s="1296"/>
      <c r="BG387" s="1296"/>
      <c r="BH387" s="1296"/>
      <c r="BI387" s="1296"/>
      <c r="BJ387" s="1296"/>
      <c r="BK387" s="1296"/>
      <c r="BL387" s="1296"/>
      <c r="BM387" s="1296"/>
      <c r="BN387" s="1296"/>
      <c r="BO387" s="1296"/>
      <c r="BP387" s="1296"/>
      <c r="BQ387" s="1296"/>
      <c r="BR387" s="1296"/>
      <c r="BS387" s="1296"/>
      <c r="BT387" s="1296"/>
      <c r="BU387" s="1296"/>
      <c r="BV387" s="1296"/>
      <c r="BW387" s="1296"/>
      <c r="BX387" s="1296"/>
      <c r="BY387" s="1296"/>
      <c r="BZ387" s="1296"/>
      <c r="CA387" s="1296"/>
      <c r="CB387" s="1296"/>
      <c r="CC387" s="1296"/>
      <c r="CD387" s="1296"/>
      <c r="CE387" s="1296"/>
      <c r="CF387" s="1296"/>
      <c r="CG387" s="1296"/>
      <c r="CH387" s="1296"/>
      <c r="CI387" s="1296"/>
      <c r="CJ387" s="1296"/>
      <c r="CK387" s="1296"/>
    </row>
    <row r="388" spans="1:89" x14ac:dyDescent="0.25">
      <c r="A388" s="1296"/>
      <c r="B388" s="1721"/>
      <c r="C388" s="1205">
        <v>4</v>
      </c>
      <c r="D388" s="1196" t="s">
        <v>1856</v>
      </c>
      <c r="E388" s="1196" t="s">
        <v>1444</v>
      </c>
      <c r="F388" s="1196" t="str">
        <f>'Required Info to Submit'!E26</f>
        <v/>
      </c>
      <c r="G388" s="1393" t="str">
        <f>IF(F388="","",'Required Info to Submit'!K26)</f>
        <v/>
      </c>
      <c r="H388" s="1394" t="str">
        <f>IF(F388="","",'Required Info to Submit'!L26)</f>
        <v/>
      </c>
      <c r="I388" s="1196" t="str">
        <f>'Required Info to Submit'!F26</f>
        <v/>
      </c>
      <c r="J388" s="1340" t="str">
        <f>'Required Info to Submit'!G26</f>
        <v/>
      </c>
      <c r="K388" s="1196" t="str">
        <f>'Required Info to Submit'!H26</f>
        <v/>
      </c>
      <c r="L388" s="1196" t="str">
        <f>'Required Info to Submit'!I26</f>
        <v/>
      </c>
      <c r="M388" s="1196" t="str">
        <f>'Required Info to Submit'!J26</f>
        <v/>
      </c>
      <c r="N388" s="138"/>
      <c r="O388" s="1296"/>
      <c r="P388" s="1296"/>
      <c r="Q388" s="1296"/>
      <c r="R388" s="1296"/>
      <c r="S388" s="1296"/>
      <c r="T388" s="1721"/>
      <c r="U388" s="1205">
        <v>4</v>
      </c>
      <c r="V388" s="1196" t="s">
        <v>1856</v>
      </c>
      <c r="W388" s="1196" t="s">
        <v>1444</v>
      </c>
      <c r="X388" s="1196" t="str">
        <f>'Required Info to Submit'!E26</f>
        <v/>
      </c>
      <c r="Y388" s="1393" t="str">
        <f>IF(X388="","",'Required Info to Submit'!K26)</f>
        <v/>
      </c>
      <c r="Z388" s="1394" t="str">
        <f>IF(X388="","",'Required Info to Submit'!L26)</f>
        <v/>
      </c>
      <c r="AA388" s="1196" t="str">
        <f>'Required Info to Submit'!F26</f>
        <v/>
      </c>
      <c r="AB388" s="1340" t="str">
        <f>'Required Info to Submit'!G26</f>
        <v/>
      </c>
      <c r="AC388" s="1196" t="str">
        <f>'Required Info to Submit'!H26</f>
        <v/>
      </c>
      <c r="AD388" s="1196" t="str">
        <f>'Required Info to Submit'!I26</f>
        <v/>
      </c>
      <c r="AE388" s="1196" t="str">
        <f>'Required Info to Submit'!J26</f>
        <v/>
      </c>
      <c r="AF388" s="138"/>
      <c r="AG388" s="1296"/>
      <c r="AH388" s="1296"/>
      <c r="AI388" s="1296"/>
      <c r="AJ388" s="1296"/>
      <c r="AK388" s="1296"/>
      <c r="AL388" s="1296"/>
      <c r="AM388" s="1296"/>
      <c r="AN388" s="1296"/>
      <c r="AO388" s="1296"/>
      <c r="AP388" s="1296"/>
      <c r="AQ388" s="1296"/>
      <c r="AR388" s="1296"/>
      <c r="AS388" s="1296"/>
      <c r="AT388" s="1296"/>
      <c r="AU388" s="1296"/>
      <c r="AV388" s="1296"/>
      <c r="AW388" s="1296"/>
      <c r="AX388" s="1296"/>
      <c r="AY388" s="1296"/>
      <c r="AZ388" s="1296"/>
      <c r="BA388" s="1296"/>
      <c r="BB388" s="1296"/>
      <c r="BC388" s="1296"/>
      <c r="BD388" s="1296"/>
      <c r="BE388" s="1296"/>
      <c r="BF388" s="1296"/>
      <c r="BG388" s="1296"/>
      <c r="BH388" s="1296"/>
      <c r="BI388" s="1296"/>
      <c r="BJ388" s="1296"/>
      <c r="BK388" s="1296"/>
      <c r="BL388" s="1296"/>
      <c r="BM388" s="1296"/>
      <c r="BN388" s="1296"/>
      <c r="BO388" s="1296"/>
      <c r="BP388" s="1296"/>
      <c r="BQ388" s="1296"/>
      <c r="BR388" s="1296"/>
      <c r="BS388" s="1296"/>
      <c r="BT388" s="1296"/>
      <c r="BU388" s="1296"/>
      <c r="BV388" s="1296"/>
      <c r="BW388" s="1296"/>
      <c r="BX388" s="1296"/>
      <c r="BY388" s="1296"/>
      <c r="BZ388" s="1296"/>
      <c r="CA388" s="1296"/>
      <c r="CB388" s="1296"/>
      <c r="CC388" s="1296"/>
      <c r="CD388" s="1296"/>
      <c r="CE388" s="1296"/>
      <c r="CF388" s="1296"/>
      <c r="CG388" s="1296"/>
      <c r="CH388" s="1296"/>
      <c r="CI388" s="1296"/>
      <c r="CJ388" s="1296"/>
      <c r="CK388" s="1296"/>
    </row>
    <row r="389" spans="1:89" x14ac:dyDescent="0.25">
      <c r="A389" s="1296"/>
      <c r="B389" s="1721"/>
      <c r="C389" s="1205">
        <v>5</v>
      </c>
      <c r="D389" s="1196" t="s">
        <v>1856</v>
      </c>
      <c r="E389" s="1196" t="s">
        <v>1444</v>
      </c>
      <c r="F389" s="1196" t="str">
        <f>'Required Info to Submit'!E27</f>
        <v/>
      </c>
      <c r="G389" s="1393" t="str">
        <f>IF(F389="","",'Required Info to Submit'!K27)</f>
        <v/>
      </c>
      <c r="H389" s="1394" t="str">
        <f>IF(F389="","",'Required Info to Submit'!L27)</f>
        <v/>
      </c>
      <c r="I389" s="1196" t="str">
        <f>'Required Info to Submit'!F27</f>
        <v/>
      </c>
      <c r="J389" s="1340" t="str">
        <f>'Required Info to Submit'!G27</f>
        <v/>
      </c>
      <c r="K389" s="1196" t="str">
        <f>'Required Info to Submit'!H27</f>
        <v/>
      </c>
      <c r="L389" s="1196" t="str">
        <f>'Required Info to Submit'!I27</f>
        <v/>
      </c>
      <c r="M389" s="1196" t="str">
        <f>'Required Info to Submit'!J27</f>
        <v/>
      </c>
      <c r="N389" s="138"/>
      <c r="O389" s="1296"/>
      <c r="P389" s="1296"/>
      <c r="Q389" s="1296"/>
      <c r="R389" s="1296"/>
      <c r="S389" s="1296"/>
      <c r="T389" s="1721"/>
      <c r="U389" s="1205">
        <v>5</v>
      </c>
      <c r="V389" s="1196" t="s">
        <v>1856</v>
      </c>
      <c r="W389" s="1196" t="s">
        <v>1444</v>
      </c>
      <c r="X389" s="1196" t="str">
        <f>'Required Info to Submit'!E27</f>
        <v/>
      </c>
      <c r="Y389" s="1393" t="str">
        <f>IF(X389="","",'Required Info to Submit'!K27)</f>
        <v/>
      </c>
      <c r="Z389" s="1394" t="str">
        <f>IF(X389="","",'Required Info to Submit'!L27)</f>
        <v/>
      </c>
      <c r="AA389" s="1196" t="str">
        <f>'Required Info to Submit'!F27</f>
        <v/>
      </c>
      <c r="AB389" s="1340" t="str">
        <f>'Required Info to Submit'!G27</f>
        <v/>
      </c>
      <c r="AC389" s="1196" t="str">
        <f>'Required Info to Submit'!H27</f>
        <v/>
      </c>
      <c r="AD389" s="1196" t="str">
        <f>'Required Info to Submit'!I27</f>
        <v/>
      </c>
      <c r="AE389" s="1196" t="str">
        <f>'Required Info to Submit'!J27</f>
        <v/>
      </c>
      <c r="AF389" s="138"/>
      <c r="AG389" s="1296"/>
      <c r="AH389" s="1296"/>
      <c r="AI389" s="1296"/>
      <c r="AJ389" s="1296"/>
      <c r="AK389" s="1296"/>
      <c r="AL389" s="1296"/>
      <c r="AM389" s="1296"/>
      <c r="AN389" s="1296"/>
      <c r="AO389" s="1296"/>
      <c r="AP389" s="1296"/>
      <c r="AQ389" s="1296"/>
      <c r="AR389" s="1296"/>
      <c r="AS389" s="1296"/>
      <c r="AT389" s="1296"/>
      <c r="AU389" s="1296"/>
      <c r="AV389" s="1296"/>
      <c r="AW389" s="1296"/>
      <c r="AX389" s="1296"/>
      <c r="AY389" s="1296"/>
      <c r="AZ389" s="1296"/>
      <c r="BA389" s="1296"/>
      <c r="BB389" s="1296"/>
      <c r="BC389" s="1296"/>
      <c r="BD389" s="1296"/>
      <c r="BE389" s="1296"/>
      <c r="BF389" s="1296"/>
      <c r="BG389" s="1296"/>
      <c r="BH389" s="1296"/>
      <c r="BI389" s="1296"/>
      <c r="BJ389" s="1296"/>
      <c r="BK389" s="1296"/>
      <c r="BL389" s="1296"/>
      <c r="BM389" s="1296"/>
      <c r="BN389" s="1296"/>
      <c r="BO389" s="1296"/>
      <c r="BP389" s="1296"/>
      <c r="BQ389" s="1296"/>
      <c r="BR389" s="1296"/>
      <c r="BS389" s="1296"/>
      <c r="BT389" s="1296"/>
      <c r="BU389" s="1296"/>
      <c r="BV389" s="1296"/>
      <c r="BW389" s="1296"/>
      <c r="BX389" s="1296"/>
      <c r="BY389" s="1296"/>
      <c r="BZ389" s="1296"/>
      <c r="CA389" s="1296"/>
      <c r="CB389" s="1296"/>
      <c r="CC389" s="1296"/>
      <c r="CD389" s="1296"/>
      <c r="CE389" s="1296"/>
      <c r="CF389" s="1296"/>
      <c r="CG389" s="1296"/>
      <c r="CH389" s="1296"/>
      <c r="CI389" s="1296"/>
      <c r="CJ389" s="1296"/>
      <c r="CK389" s="1296"/>
    </row>
    <row r="390" spans="1:89" x14ac:dyDescent="0.25">
      <c r="A390" s="1296"/>
      <c r="B390" s="1721"/>
      <c r="C390" s="1205">
        <v>6</v>
      </c>
      <c r="D390" s="1196" t="s">
        <v>1856</v>
      </c>
      <c r="E390" s="1196" t="s">
        <v>1444</v>
      </c>
      <c r="F390" s="1196" t="str">
        <f>'Required Info to Submit'!E28</f>
        <v/>
      </c>
      <c r="G390" s="1393" t="str">
        <f>IF(F390="","",'Required Info to Submit'!K28)</f>
        <v/>
      </c>
      <c r="H390" s="1394" t="str">
        <f>IF(F390="","",'Required Info to Submit'!L28)</f>
        <v/>
      </c>
      <c r="I390" s="1196" t="str">
        <f>'Required Info to Submit'!F28</f>
        <v/>
      </c>
      <c r="J390" s="1340" t="str">
        <f>'Required Info to Submit'!G28</f>
        <v/>
      </c>
      <c r="K390" s="1196" t="str">
        <f>'Required Info to Submit'!H28</f>
        <v/>
      </c>
      <c r="L390" s="1196" t="str">
        <f>'Required Info to Submit'!I28</f>
        <v/>
      </c>
      <c r="M390" s="1196" t="str">
        <f>'Required Info to Submit'!J28</f>
        <v/>
      </c>
      <c r="N390" s="138"/>
      <c r="O390" s="1296"/>
      <c r="P390" s="1296"/>
      <c r="Q390" s="1296"/>
      <c r="R390" s="1296"/>
      <c r="S390" s="1296"/>
      <c r="T390" s="1721"/>
      <c r="U390" s="1205">
        <v>6</v>
      </c>
      <c r="V390" s="1196" t="s">
        <v>1856</v>
      </c>
      <c r="W390" s="1196" t="s">
        <v>1444</v>
      </c>
      <c r="X390" s="1196" t="str">
        <f>'Required Info to Submit'!E28</f>
        <v/>
      </c>
      <c r="Y390" s="1393" t="str">
        <f>IF(X390="","",'Required Info to Submit'!K28)</f>
        <v/>
      </c>
      <c r="Z390" s="1394" t="str">
        <f>IF(X390="","",'Required Info to Submit'!L28)</f>
        <v/>
      </c>
      <c r="AA390" s="1196" t="str">
        <f>'Required Info to Submit'!F28</f>
        <v/>
      </c>
      <c r="AB390" s="1340" t="str">
        <f>'Required Info to Submit'!G28</f>
        <v/>
      </c>
      <c r="AC390" s="1196" t="str">
        <f>'Required Info to Submit'!H28</f>
        <v/>
      </c>
      <c r="AD390" s="1196" t="str">
        <f>'Required Info to Submit'!I28</f>
        <v/>
      </c>
      <c r="AE390" s="1196" t="str">
        <f>'Required Info to Submit'!J28</f>
        <v/>
      </c>
      <c r="AF390" s="138"/>
      <c r="AG390" s="1296"/>
      <c r="AH390" s="1296"/>
      <c r="AI390" s="1296"/>
      <c r="AJ390" s="1296"/>
      <c r="AK390" s="1296"/>
      <c r="AL390" s="1296"/>
      <c r="AM390" s="1296"/>
      <c r="AN390" s="1296"/>
      <c r="AO390" s="1296"/>
      <c r="AP390" s="1296"/>
      <c r="AQ390" s="1296"/>
      <c r="AR390" s="1296"/>
      <c r="AS390" s="1296"/>
      <c r="AT390" s="1296"/>
      <c r="AU390" s="1296"/>
      <c r="AV390" s="1296"/>
      <c r="AW390" s="1296"/>
      <c r="AX390" s="1296"/>
      <c r="AY390" s="1296"/>
      <c r="AZ390" s="1296"/>
      <c r="BA390" s="1296"/>
      <c r="BB390" s="1296"/>
      <c r="BC390" s="1296"/>
      <c r="BD390" s="1296"/>
      <c r="BE390" s="1296"/>
      <c r="BF390" s="1296"/>
      <c r="BG390" s="1296"/>
      <c r="BH390" s="1296"/>
      <c r="BI390" s="1296"/>
      <c r="BJ390" s="1296"/>
      <c r="BK390" s="1296"/>
      <c r="BL390" s="1296"/>
      <c r="BM390" s="1296"/>
      <c r="BN390" s="1296"/>
      <c r="BO390" s="1296"/>
      <c r="BP390" s="1296"/>
      <c r="BQ390" s="1296"/>
      <c r="BR390" s="1296"/>
      <c r="BS390" s="1296"/>
      <c r="BT390" s="1296"/>
      <c r="BU390" s="1296"/>
      <c r="BV390" s="1296"/>
      <c r="BW390" s="1296"/>
      <c r="BX390" s="1296"/>
      <c r="BY390" s="1296"/>
      <c r="BZ390" s="1296"/>
      <c r="CA390" s="1296"/>
      <c r="CB390" s="1296"/>
      <c r="CC390" s="1296"/>
      <c r="CD390" s="1296"/>
      <c r="CE390" s="1296"/>
      <c r="CF390" s="1296"/>
      <c r="CG390" s="1296"/>
      <c r="CH390" s="1296"/>
      <c r="CI390" s="1296"/>
      <c r="CJ390" s="1296"/>
      <c r="CK390" s="1296"/>
    </row>
    <row r="391" spans="1:89" x14ac:dyDescent="0.25">
      <c r="A391" s="1296"/>
      <c r="B391" s="1721"/>
      <c r="C391" s="1205">
        <v>7</v>
      </c>
      <c r="D391" s="1196" t="s">
        <v>1856</v>
      </c>
      <c r="E391" s="1196" t="s">
        <v>1444</v>
      </c>
      <c r="F391" s="1196" t="str">
        <f>'Required Info to Submit'!E29</f>
        <v/>
      </c>
      <c r="G391" s="1393" t="str">
        <f>IF(F391="","",'Required Info to Submit'!K29)</f>
        <v/>
      </c>
      <c r="H391" s="1394" t="str">
        <f>IF(F391="","",'Required Info to Submit'!L29)</f>
        <v/>
      </c>
      <c r="I391" s="1196" t="str">
        <f>'Required Info to Submit'!F29</f>
        <v/>
      </c>
      <c r="J391" s="1340" t="str">
        <f>'Required Info to Submit'!G29</f>
        <v/>
      </c>
      <c r="K391" s="1196" t="str">
        <f>'Required Info to Submit'!H29</f>
        <v/>
      </c>
      <c r="L391" s="1196" t="str">
        <f>'Required Info to Submit'!I29</f>
        <v/>
      </c>
      <c r="M391" s="1196" t="str">
        <f>'Required Info to Submit'!J29</f>
        <v/>
      </c>
      <c r="N391" s="138"/>
      <c r="O391" s="1296"/>
      <c r="P391" s="1296"/>
      <c r="Q391" s="1296"/>
      <c r="R391" s="1296"/>
      <c r="S391" s="1296"/>
      <c r="T391" s="1721"/>
      <c r="U391" s="1205">
        <v>7</v>
      </c>
      <c r="V391" s="1196" t="s">
        <v>1856</v>
      </c>
      <c r="W391" s="1196" t="s">
        <v>1444</v>
      </c>
      <c r="X391" s="1196" t="str">
        <f>'Required Info to Submit'!E29</f>
        <v/>
      </c>
      <c r="Y391" s="1393" t="str">
        <f>IF(X391="","",'Required Info to Submit'!K29)</f>
        <v/>
      </c>
      <c r="Z391" s="1394" t="str">
        <f>IF(X391="","",'Required Info to Submit'!L29)</f>
        <v/>
      </c>
      <c r="AA391" s="1196" t="str">
        <f>'Required Info to Submit'!F29</f>
        <v/>
      </c>
      <c r="AB391" s="1340" t="str">
        <f>'Required Info to Submit'!G29</f>
        <v/>
      </c>
      <c r="AC391" s="1196" t="str">
        <f>'Required Info to Submit'!H29</f>
        <v/>
      </c>
      <c r="AD391" s="1196" t="str">
        <f>'Required Info to Submit'!I29</f>
        <v/>
      </c>
      <c r="AE391" s="1196" t="str">
        <f>'Required Info to Submit'!J29</f>
        <v/>
      </c>
      <c r="AF391" s="138"/>
      <c r="AG391" s="1296"/>
      <c r="AH391" s="1296"/>
      <c r="AI391" s="1296"/>
      <c r="AJ391" s="1296"/>
      <c r="AK391" s="1296"/>
      <c r="AL391" s="1296"/>
      <c r="AM391" s="1296"/>
      <c r="AN391" s="1296"/>
      <c r="AO391" s="1296"/>
      <c r="AP391" s="1296"/>
      <c r="AQ391" s="1296"/>
      <c r="AR391" s="1296"/>
      <c r="AS391" s="1296"/>
      <c r="AT391" s="1296"/>
      <c r="AU391" s="1296"/>
      <c r="AV391" s="1296"/>
      <c r="AW391" s="1296"/>
      <c r="AX391" s="1296"/>
      <c r="AY391" s="1296"/>
      <c r="AZ391" s="1296"/>
      <c r="BA391" s="1296"/>
      <c r="BB391" s="1296"/>
      <c r="BC391" s="1296"/>
      <c r="BD391" s="1296"/>
      <c r="BE391" s="1296"/>
      <c r="BF391" s="1296"/>
      <c r="BG391" s="1296"/>
      <c r="BH391" s="1296"/>
      <c r="BI391" s="1296"/>
      <c r="BJ391" s="1296"/>
      <c r="BK391" s="1296"/>
      <c r="BL391" s="1296"/>
      <c r="BM391" s="1296"/>
      <c r="BN391" s="1296"/>
      <c r="BO391" s="1296"/>
      <c r="BP391" s="1296"/>
      <c r="BQ391" s="1296"/>
      <c r="BR391" s="1296"/>
      <c r="BS391" s="1296"/>
      <c r="BT391" s="1296"/>
      <c r="BU391" s="1296"/>
      <c r="BV391" s="1296"/>
      <c r="BW391" s="1296"/>
      <c r="BX391" s="1296"/>
      <c r="BY391" s="1296"/>
      <c r="BZ391" s="1296"/>
      <c r="CA391" s="1296"/>
      <c r="CB391" s="1296"/>
      <c r="CC391" s="1296"/>
      <c r="CD391" s="1296"/>
      <c r="CE391" s="1296"/>
      <c r="CF391" s="1296"/>
      <c r="CG391" s="1296"/>
      <c r="CH391" s="1296"/>
      <c r="CI391" s="1296"/>
      <c r="CJ391" s="1296"/>
      <c r="CK391" s="1296"/>
    </row>
    <row r="392" spans="1:89" x14ac:dyDescent="0.25">
      <c r="A392" s="1296"/>
      <c r="B392" s="1721"/>
      <c r="C392" s="1205">
        <v>8</v>
      </c>
      <c r="D392" s="1196" t="s">
        <v>1856</v>
      </c>
      <c r="E392" s="1196" t="s">
        <v>1444</v>
      </c>
      <c r="F392" s="1196" t="str">
        <f>'Required Info to Submit'!E30</f>
        <v/>
      </c>
      <c r="G392" s="1393" t="str">
        <f>IF(F392="","",'Required Info to Submit'!K30)</f>
        <v/>
      </c>
      <c r="H392" s="1394" t="str">
        <f>IF(F392="","",'Required Info to Submit'!L30)</f>
        <v/>
      </c>
      <c r="I392" s="1196" t="str">
        <f>'Required Info to Submit'!F30</f>
        <v/>
      </c>
      <c r="J392" s="1340" t="str">
        <f>'Required Info to Submit'!G30</f>
        <v/>
      </c>
      <c r="K392" s="1196" t="str">
        <f>'Required Info to Submit'!H30</f>
        <v/>
      </c>
      <c r="L392" s="1196" t="str">
        <f>'Required Info to Submit'!I30</f>
        <v/>
      </c>
      <c r="M392" s="1196" t="str">
        <f>'Required Info to Submit'!J30</f>
        <v/>
      </c>
      <c r="N392" s="138"/>
      <c r="O392" s="1296"/>
      <c r="P392" s="1296"/>
      <c r="Q392" s="1296"/>
      <c r="R392" s="1296"/>
      <c r="S392" s="1296"/>
      <c r="T392" s="1721"/>
      <c r="U392" s="1205">
        <v>8</v>
      </c>
      <c r="V392" s="1196" t="s">
        <v>1856</v>
      </c>
      <c r="W392" s="1196" t="s">
        <v>1444</v>
      </c>
      <c r="X392" s="1196" t="str">
        <f>'Required Info to Submit'!E30</f>
        <v/>
      </c>
      <c r="Y392" s="1393" t="str">
        <f>IF(X392="","",'Required Info to Submit'!K30)</f>
        <v/>
      </c>
      <c r="Z392" s="1394" t="str">
        <f>IF(X392="","",'Required Info to Submit'!L30)</f>
        <v/>
      </c>
      <c r="AA392" s="1196" t="str">
        <f>'Required Info to Submit'!F30</f>
        <v/>
      </c>
      <c r="AB392" s="1340" t="str">
        <f>'Required Info to Submit'!G30</f>
        <v/>
      </c>
      <c r="AC392" s="1196" t="str">
        <f>'Required Info to Submit'!H30</f>
        <v/>
      </c>
      <c r="AD392" s="1196" t="str">
        <f>'Required Info to Submit'!I30</f>
        <v/>
      </c>
      <c r="AE392" s="1196" t="str">
        <f>'Required Info to Submit'!J30</f>
        <v/>
      </c>
      <c r="AF392" s="138"/>
      <c r="AG392" s="1296"/>
      <c r="AH392" s="1296"/>
      <c r="AI392" s="1296"/>
      <c r="AJ392" s="1296"/>
      <c r="AK392" s="1296"/>
      <c r="AL392" s="1296"/>
      <c r="AM392" s="1296"/>
      <c r="AN392" s="1296"/>
      <c r="AO392" s="1296"/>
      <c r="AP392" s="1296"/>
      <c r="AQ392" s="1296"/>
      <c r="AR392" s="1296"/>
      <c r="AS392" s="1296"/>
      <c r="AT392" s="1296"/>
      <c r="AU392" s="1296"/>
      <c r="AV392" s="1296"/>
      <c r="AW392" s="1296"/>
      <c r="AX392" s="1296"/>
      <c r="AY392" s="1296"/>
      <c r="AZ392" s="1296"/>
      <c r="BA392" s="1296"/>
      <c r="BB392" s="1296"/>
      <c r="BC392" s="1296"/>
      <c r="BD392" s="1296"/>
      <c r="BE392" s="1296"/>
      <c r="BF392" s="1296"/>
      <c r="BG392" s="1296"/>
      <c r="BH392" s="1296"/>
      <c r="BI392" s="1296"/>
      <c r="BJ392" s="1296"/>
      <c r="BK392" s="1296"/>
      <c r="BL392" s="1296"/>
      <c r="BM392" s="1296"/>
      <c r="BN392" s="1296"/>
      <c r="BO392" s="1296"/>
      <c r="BP392" s="1296"/>
      <c r="BQ392" s="1296"/>
      <c r="BR392" s="1296"/>
      <c r="BS392" s="1296"/>
      <c r="BT392" s="1296"/>
      <c r="BU392" s="1296"/>
      <c r="BV392" s="1296"/>
      <c r="BW392" s="1296"/>
      <c r="BX392" s="1296"/>
      <c r="BY392" s="1296"/>
      <c r="BZ392" s="1296"/>
      <c r="CA392" s="1296"/>
      <c r="CB392" s="1296"/>
      <c r="CC392" s="1296"/>
      <c r="CD392" s="1296"/>
      <c r="CE392" s="1296"/>
      <c r="CF392" s="1296"/>
      <c r="CG392" s="1296"/>
      <c r="CH392" s="1296"/>
      <c r="CI392" s="1296"/>
      <c r="CJ392" s="1296"/>
      <c r="CK392" s="1296"/>
    </row>
    <row r="393" spans="1:89" x14ac:dyDescent="0.25">
      <c r="A393" s="1296"/>
      <c r="B393" s="1721"/>
      <c r="C393" s="1205">
        <v>9</v>
      </c>
      <c r="D393" s="1196" t="s">
        <v>1856</v>
      </c>
      <c r="E393" s="1196" t="s">
        <v>1444</v>
      </c>
      <c r="F393" s="1196" t="str">
        <f>'Required Info to Submit'!E31</f>
        <v/>
      </c>
      <c r="G393" s="1393" t="str">
        <f>IF(F393="","",'Required Info to Submit'!K31)</f>
        <v/>
      </c>
      <c r="H393" s="1394" t="str">
        <f>IF(F393="","",'Required Info to Submit'!L31)</f>
        <v/>
      </c>
      <c r="I393" s="1196" t="str">
        <f>'Required Info to Submit'!F31</f>
        <v/>
      </c>
      <c r="J393" s="1340" t="str">
        <f>'Required Info to Submit'!G31</f>
        <v/>
      </c>
      <c r="K393" s="1196" t="str">
        <f>'Required Info to Submit'!H31</f>
        <v/>
      </c>
      <c r="L393" s="1196" t="str">
        <f>'Required Info to Submit'!I31</f>
        <v/>
      </c>
      <c r="M393" s="1196" t="str">
        <f>'Required Info to Submit'!J31</f>
        <v/>
      </c>
      <c r="N393" s="138"/>
      <c r="O393" s="1296"/>
      <c r="P393" s="1296"/>
      <c r="Q393" s="1296"/>
      <c r="R393" s="1296"/>
      <c r="S393" s="1296"/>
      <c r="T393" s="1721"/>
      <c r="U393" s="1205">
        <v>9</v>
      </c>
      <c r="V393" s="1196" t="s">
        <v>1856</v>
      </c>
      <c r="W393" s="1196" t="s">
        <v>1444</v>
      </c>
      <c r="X393" s="1196" t="str">
        <f>'Required Info to Submit'!E31</f>
        <v/>
      </c>
      <c r="Y393" s="1393" t="str">
        <f>IF(X393="","",'Required Info to Submit'!K31)</f>
        <v/>
      </c>
      <c r="Z393" s="1394" t="str">
        <f>IF(X393="","",'Required Info to Submit'!L31)</f>
        <v/>
      </c>
      <c r="AA393" s="1196" t="str">
        <f>'Required Info to Submit'!F31</f>
        <v/>
      </c>
      <c r="AB393" s="1340" t="str">
        <f>'Required Info to Submit'!G31</f>
        <v/>
      </c>
      <c r="AC393" s="1196" t="str">
        <f>'Required Info to Submit'!H31</f>
        <v/>
      </c>
      <c r="AD393" s="1196" t="str">
        <f>'Required Info to Submit'!I31</f>
        <v/>
      </c>
      <c r="AE393" s="1196" t="str">
        <f>'Required Info to Submit'!J31</f>
        <v/>
      </c>
      <c r="AF393" s="138"/>
      <c r="AG393" s="1296"/>
      <c r="AH393" s="1296"/>
      <c r="AI393" s="1296"/>
      <c r="AJ393" s="1296"/>
      <c r="AK393" s="1296"/>
      <c r="AL393" s="1296"/>
      <c r="AM393" s="1296"/>
      <c r="AN393" s="1296"/>
      <c r="AO393" s="1296"/>
      <c r="AP393" s="1296"/>
      <c r="AQ393" s="1296"/>
      <c r="AR393" s="1296"/>
      <c r="AS393" s="1296"/>
      <c r="AT393" s="1296"/>
      <c r="AU393" s="1296"/>
      <c r="AV393" s="1296"/>
      <c r="AW393" s="1296"/>
      <c r="AX393" s="1296"/>
      <c r="AY393" s="1296"/>
      <c r="AZ393" s="1296"/>
      <c r="BA393" s="1296"/>
      <c r="BB393" s="1296"/>
      <c r="BC393" s="1296"/>
      <c r="BD393" s="1296"/>
      <c r="BE393" s="1296"/>
      <c r="BF393" s="1296"/>
      <c r="BG393" s="1296"/>
      <c r="BH393" s="1296"/>
      <c r="BI393" s="1296"/>
      <c r="BJ393" s="1296"/>
      <c r="BK393" s="1296"/>
      <c r="BL393" s="1296"/>
      <c r="BM393" s="1296"/>
      <c r="BN393" s="1296"/>
      <c r="BO393" s="1296"/>
      <c r="BP393" s="1296"/>
      <c r="BQ393" s="1296"/>
      <c r="BR393" s="1296"/>
      <c r="BS393" s="1296"/>
      <c r="BT393" s="1296"/>
      <c r="BU393" s="1296"/>
      <c r="BV393" s="1296"/>
      <c r="BW393" s="1296"/>
      <c r="BX393" s="1296"/>
      <c r="BY393" s="1296"/>
      <c r="BZ393" s="1296"/>
      <c r="CA393" s="1296"/>
      <c r="CB393" s="1296"/>
      <c r="CC393" s="1296"/>
      <c r="CD393" s="1296"/>
      <c r="CE393" s="1296"/>
      <c r="CF393" s="1296"/>
      <c r="CG393" s="1296"/>
      <c r="CH393" s="1296"/>
      <c r="CI393" s="1296"/>
      <c r="CJ393" s="1296"/>
      <c r="CK393" s="1296"/>
    </row>
    <row r="394" spans="1:89" ht="15.75" thickBot="1" x14ac:dyDescent="0.3">
      <c r="A394" s="1296"/>
      <c r="B394" s="1722"/>
      <c r="C394" s="1207">
        <v>10</v>
      </c>
      <c r="D394" s="1198" t="s">
        <v>1856</v>
      </c>
      <c r="E394" s="1198" t="s">
        <v>1444</v>
      </c>
      <c r="F394" s="1198" t="str">
        <f>'Required Info to Submit'!E32</f>
        <v/>
      </c>
      <c r="G394" s="1395" t="str">
        <f>IF(F394="","",'Required Info to Submit'!K32)</f>
        <v/>
      </c>
      <c r="H394" s="1395" t="str">
        <f>IF(F394="","",'Required Info to Submit'!L32)</f>
        <v/>
      </c>
      <c r="I394" s="1198" t="str">
        <f>'Required Info to Submit'!F32</f>
        <v/>
      </c>
      <c r="J394" s="1341" t="str">
        <f>'Required Info to Submit'!G32</f>
        <v/>
      </c>
      <c r="K394" s="1198" t="str">
        <f>'Required Info to Submit'!H32</f>
        <v/>
      </c>
      <c r="L394" s="1198" t="str">
        <f>'Required Info to Submit'!I32</f>
        <v/>
      </c>
      <c r="M394" s="1198" t="str">
        <f>'Required Info to Submit'!J32</f>
        <v/>
      </c>
      <c r="N394" s="257"/>
      <c r="O394" s="1296"/>
      <c r="P394" s="1296"/>
      <c r="Q394" s="1296"/>
      <c r="R394" s="1296"/>
      <c r="S394" s="1296"/>
      <c r="T394" s="1722"/>
      <c r="U394" s="1207">
        <v>10</v>
      </c>
      <c r="V394" s="1198" t="s">
        <v>1856</v>
      </c>
      <c r="W394" s="1198" t="s">
        <v>1444</v>
      </c>
      <c r="X394" s="1198" t="str">
        <f>'Required Info to Submit'!E32</f>
        <v/>
      </c>
      <c r="Y394" s="1395" t="str">
        <f>IF(X394="","",'Required Info to Submit'!K32)</f>
        <v/>
      </c>
      <c r="Z394" s="1395" t="str">
        <f>IF(X394="","",'Required Info to Submit'!L32)</f>
        <v/>
      </c>
      <c r="AA394" s="1198" t="str">
        <f>'Required Info to Submit'!F32</f>
        <v/>
      </c>
      <c r="AB394" s="1341" t="str">
        <f>'Required Info to Submit'!G32</f>
        <v/>
      </c>
      <c r="AC394" s="1198" t="str">
        <f>'Required Info to Submit'!H32</f>
        <v/>
      </c>
      <c r="AD394" s="1198" t="str">
        <f>'Required Info to Submit'!I32</f>
        <v/>
      </c>
      <c r="AE394" s="1198" t="str">
        <f>'Required Info to Submit'!J32</f>
        <v/>
      </c>
      <c r="AF394" s="257"/>
      <c r="AG394" s="1296"/>
      <c r="AH394" s="1296"/>
      <c r="AI394" s="1296"/>
      <c r="AJ394" s="1296"/>
      <c r="AK394" s="1296"/>
      <c r="AL394" s="1296"/>
      <c r="AM394" s="1296"/>
      <c r="AN394" s="1296"/>
      <c r="AO394" s="1296"/>
      <c r="AP394" s="1296"/>
      <c r="AQ394" s="1296"/>
      <c r="AR394" s="1296"/>
      <c r="AS394" s="1296"/>
      <c r="AT394" s="1296"/>
      <c r="AU394" s="1296"/>
      <c r="AV394" s="1296"/>
      <c r="AW394" s="1296"/>
      <c r="AX394" s="1296"/>
      <c r="AY394" s="1296"/>
      <c r="AZ394" s="1296"/>
      <c r="BA394" s="1296"/>
      <c r="BB394" s="1296"/>
      <c r="BC394" s="1296"/>
      <c r="BD394" s="1296"/>
      <c r="BE394" s="1296"/>
      <c r="BF394" s="1296"/>
      <c r="BG394" s="1296"/>
      <c r="BH394" s="1296"/>
      <c r="BI394" s="1296"/>
      <c r="BJ394" s="1296"/>
      <c r="BK394" s="1296"/>
      <c r="BL394" s="1296"/>
      <c r="BM394" s="1296"/>
      <c r="BN394" s="1296"/>
      <c r="BO394" s="1296"/>
      <c r="BP394" s="1296"/>
      <c r="BQ394" s="1296"/>
      <c r="BR394" s="1296"/>
      <c r="BS394" s="1296"/>
      <c r="BT394" s="1296"/>
      <c r="BU394" s="1296"/>
      <c r="BV394" s="1296"/>
      <c r="BW394" s="1296"/>
      <c r="BX394" s="1296"/>
      <c r="BY394" s="1296"/>
      <c r="BZ394" s="1296"/>
      <c r="CA394" s="1296"/>
      <c r="CB394" s="1296"/>
      <c r="CC394" s="1296"/>
      <c r="CD394" s="1296"/>
      <c r="CE394" s="1296"/>
      <c r="CF394" s="1296"/>
      <c r="CG394" s="1296"/>
      <c r="CH394" s="1296"/>
      <c r="CI394" s="1296"/>
      <c r="CJ394" s="1296"/>
      <c r="CK394" s="1296"/>
    </row>
    <row r="395" spans="1:89" x14ac:dyDescent="0.25">
      <c r="A395" s="1296"/>
      <c r="B395" s="1276"/>
      <c r="C395" s="1296"/>
      <c r="D395" s="1296"/>
      <c r="E395" s="1296"/>
      <c r="F395" s="1296"/>
      <c r="G395" s="1296"/>
      <c r="H395" s="1296"/>
      <c r="I395" s="1296"/>
      <c r="J395" s="1296"/>
      <c r="K395" s="1296"/>
      <c r="L395" s="1296"/>
      <c r="M395" s="1296"/>
      <c r="N395" s="1296"/>
      <c r="O395" s="1296"/>
      <c r="P395" s="1296"/>
      <c r="Q395" s="1296"/>
      <c r="R395" s="1296"/>
      <c r="S395" s="1296"/>
      <c r="T395" s="1276"/>
      <c r="U395" s="1296"/>
      <c r="V395" s="1296"/>
      <c r="W395" s="1296"/>
      <c r="X395" s="1296"/>
      <c r="Y395" s="1296"/>
      <c r="Z395" s="1296"/>
      <c r="AA395" s="1296"/>
      <c r="AB395" s="1296"/>
      <c r="AC395" s="1296"/>
      <c r="AD395" s="1296"/>
      <c r="AE395" s="1296"/>
      <c r="AF395" s="1296"/>
      <c r="AG395" s="1296"/>
      <c r="AH395" s="1296"/>
      <c r="AI395" s="1296"/>
      <c r="AJ395" s="1296"/>
      <c r="AK395" s="1296"/>
      <c r="AL395" s="1296"/>
      <c r="AM395" s="1296"/>
      <c r="AN395" s="1296"/>
      <c r="AO395" s="1296"/>
      <c r="AP395" s="1296"/>
      <c r="AQ395" s="1296"/>
      <c r="AR395" s="1296"/>
      <c r="AS395" s="1296"/>
      <c r="AT395" s="1296"/>
      <c r="AU395" s="1296"/>
      <c r="AV395" s="1296"/>
      <c r="AW395" s="1296"/>
      <c r="AX395" s="1296"/>
      <c r="AY395" s="1296"/>
      <c r="AZ395" s="1296"/>
      <c r="BA395" s="1296"/>
      <c r="BB395" s="1296"/>
      <c r="BC395" s="1296"/>
      <c r="BD395" s="1296"/>
      <c r="BE395" s="1296"/>
      <c r="BF395" s="1296"/>
      <c r="BG395" s="1296"/>
      <c r="BH395" s="1296"/>
      <c r="BI395" s="1296"/>
      <c r="BJ395" s="1296"/>
      <c r="BK395" s="1296"/>
      <c r="BL395" s="1296"/>
      <c r="BM395" s="1296"/>
      <c r="BN395" s="1296"/>
      <c r="BO395" s="1296"/>
      <c r="BP395" s="1296"/>
      <c r="BQ395" s="1296"/>
      <c r="BR395" s="1296"/>
      <c r="BS395" s="1296"/>
      <c r="BT395" s="1296"/>
      <c r="BU395" s="1296"/>
      <c r="BV395" s="1296"/>
      <c r="BW395" s="1296"/>
      <c r="BX395" s="1296"/>
      <c r="BY395" s="1296"/>
      <c r="BZ395" s="1296"/>
      <c r="CA395" s="1296"/>
      <c r="CB395" s="1296"/>
      <c r="CC395" s="1296"/>
      <c r="CD395" s="1296"/>
      <c r="CE395" s="1296"/>
      <c r="CF395" s="1296"/>
      <c r="CG395" s="1296"/>
      <c r="CH395" s="1296"/>
      <c r="CI395" s="1296"/>
      <c r="CJ395" s="1296"/>
      <c r="CK395" s="1296"/>
    </row>
    <row r="396" spans="1:89" ht="15.75" thickBot="1" x14ac:dyDescent="0.3">
      <c r="A396" s="1296"/>
      <c r="B396" s="1276"/>
      <c r="C396" s="1296"/>
      <c r="D396" s="1296"/>
      <c r="E396" s="1296"/>
      <c r="F396" s="1296"/>
      <c r="G396" s="1296"/>
      <c r="H396" s="1296"/>
      <c r="I396" s="1296"/>
      <c r="J396" s="1296"/>
      <c r="K396" s="1296"/>
      <c r="L396" s="1296"/>
      <c r="M396" s="1296"/>
      <c r="N396" s="1296"/>
      <c r="O396" s="1296"/>
      <c r="P396" s="1296"/>
      <c r="Q396" s="1296"/>
      <c r="R396" s="1296"/>
      <c r="S396" s="1296"/>
      <c r="T396" s="1276"/>
      <c r="U396" s="1296"/>
      <c r="V396" s="1296"/>
      <c r="W396" s="1296"/>
      <c r="X396" s="1296"/>
      <c r="Y396" s="1296"/>
      <c r="Z396" s="1296"/>
      <c r="AA396" s="1296"/>
      <c r="AB396" s="1296"/>
      <c r="AC396" s="1296"/>
      <c r="AD396" s="1296"/>
      <c r="AE396" s="1296"/>
      <c r="AF396" s="1296"/>
      <c r="AG396" s="1296"/>
      <c r="AH396" s="1296"/>
      <c r="AI396" s="1296"/>
      <c r="AJ396" s="1296"/>
      <c r="AK396" s="1296"/>
      <c r="AL396" s="1296"/>
      <c r="AM396" s="1296"/>
      <c r="AN396" s="1296"/>
      <c r="AO396" s="1296"/>
      <c r="AP396" s="1296"/>
      <c r="AQ396" s="1296"/>
      <c r="AR396" s="1296"/>
      <c r="AS396" s="1296"/>
      <c r="AT396" s="1296"/>
      <c r="AU396" s="1296"/>
      <c r="AV396" s="1296"/>
      <c r="AW396" s="1296"/>
      <c r="AX396" s="1296"/>
      <c r="AY396" s="1296"/>
      <c r="AZ396" s="1296"/>
      <c r="BA396" s="1296"/>
      <c r="BB396" s="1296"/>
      <c r="BC396" s="1296"/>
      <c r="BD396" s="1296"/>
      <c r="BE396" s="1296"/>
      <c r="BF396" s="1296"/>
      <c r="BG396" s="1296"/>
      <c r="BH396" s="1296"/>
      <c r="BI396" s="1296"/>
      <c r="BJ396" s="1296"/>
      <c r="BK396" s="1296"/>
      <c r="BL396" s="1296"/>
      <c r="BM396" s="1296"/>
      <c r="BN396" s="1296"/>
      <c r="BO396" s="1296"/>
      <c r="BP396" s="1296"/>
      <c r="BQ396" s="1296"/>
      <c r="BR396" s="1296"/>
      <c r="BS396" s="1296"/>
      <c r="BT396" s="1296"/>
      <c r="BU396" s="1296"/>
      <c r="BV396" s="1296"/>
      <c r="BW396" s="1296"/>
      <c r="BX396" s="1296"/>
      <c r="BY396" s="1296"/>
      <c r="BZ396" s="1296"/>
      <c r="CA396" s="1296"/>
      <c r="CB396" s="1296"/>
      <c r="CC396" s="1296"/>
      <c r="CD396" s="1296"/>
      <c r="CE396" s="1296"/>
      <c r="CF396" s="1296"/>
      <c r="CG396" s="1296"/>
      <c r="CH396" s="1296"/>
      <c r="CI396" s="1296"/>
      <c r="CJ396" s="1296"/>
      <c r="CK396" s="1296"/>
    </row>
    <row r="397" spans="1:89" ht="45.75" thickBot="1" x14ac:dyDescent="0.3">
      <c r="A397" s="1296"/>
      <c r="B397" s="1182"/>
      <c r="C397" s="1177" t="s">
        <v>1400</v>
      </c>
      <c r="D397" s="1177" t="s">
        <v>1510</v>
      </c>
      <c r="E397" s="1177" t="s">
        <v>766</v>
      </c>
      <c r="F397" s="1177" t="s">
        <v>1189</v>
      </c>
      <c r="G397" s="1178" t="s">
        <v>1895</v>
      </c>
      <c r="H397" s="1178" t="s">
        <v>1398</v>
      </c>
      <c r="I397" s="1178" t="s">
        <v>1414</v>
      </c>
      <c r="J397" s="1177" t="s">
        <v>1399</v>
      </c>
      <c r="K397" s="1177" t="s">
        <v>1834</v>
      </c>
      <c r="L397" s="1177" t="s">
        <v>1835</v>
      </c>
      <c r="M397" s="1178" t="s">
        <v>1514</v>
      </c>
      <c r="N397" s="1296"/>
      <c r="O397" s="1296"/>
      <c r="P397" s="1296"/>
      <c r="Q397" s="1296"/>
      <c r="R397" s="1296"/>
      <c r="S397" s="1296"/>
      <c r="T397" s="1182"/>
      <c r="U397" s="1177" t="s">
        <v>1400</v>
      </c>
      <c r="V397" s="1177" t="s">
        <v>1510</v>
      </c>
      <c r="W397" s="1177" t="s">
        <v>766</v>
      </c>
      <c r="X397" s="1177" t="s">
        <v>1189</v>
      </c>
      <c r="Y397" s="1178" t="s">
        <v>1895</v>
      </c>
      <c r="Z397" s="1178" t="s">
        <v>1398</v>
      </c>
      <c r="AA397" s="1178" t="s">
        <v>1414</v>
      </c>
      <c r="AB397" s="1177" t="s">
        <v>1399</v>
      </c>
      <c r="AC397" s="1177" t="s">
        <v>1834</v>
      </c>
      <c r="AD397" s="1177" t="s">
        <v>1835</v>
      </c>
      <c r="AE397" s="1178" t="s">
        <v>1514</v>
      </c>
      <c r="AF397" s="1296"/>
      <c r="AG397" s="1296"/>
      <c r="AH397" s="1296"/>
      <c r="AI397" s="1296"/>
      <c r="AJ397" s="1296"/>
      <c r="AK397" s="1296"/>
      <c r="AL397" s="1296"/>
      <c r="AM397" s="1296"/>
      <c r="AN397" s="1296"/>
      <c r="AO397" s="1296"/>
      <c r="AP397" s="1296"/>
      <c r="AQ397" s="1296"/>
      <c r="AR397" s="1296"/>
      <c r="AS397" s="1296"/>
      <c r="AT397" s="1296"/>
      <c r="AU397" s="1296"/>
      <c r="AV397" s="1296"/>
      <c r="AW397" s="1296"/>
      <c r="AX397" s="1296"/>
      <c r="AY397" s="1296"/>
      <c r="AZ397" s="1296"/>
      <c r="BA397" s="1296"/>
      <c r="BB397" s="1296"/>
      <c r="BC397" s="1296"/>
      <c r="BD397" s="1296"/>
      <c r="BE397" s="1296"/>
      <c r="BF397" s="1296"/>
      <c r="BG397" s="1296"/>
      <c r="BH397" s="1296"/>
      <c r="BI397" s="1296"/>
      <c r="BJ397" s="1296"/>
      <c r="BK397" s="1296"/>
      <c r="BL397" s="1296"/>
      <c r="BM397" s="1296"/>
      <c r="BN397" s="1296"/>
      <c r="BO397" s="1296"/>
      <c r="BP397" s="1296"/>
      <c r="BQ397" s="1296"/>
      <c r="BR397" s="1296"/>
      <c r="BS397" s="1296"/>
      <c r="BT397" s="1296"/>
      <c r="BU397" s="1296"/>
      <c r="BV397" s="1296"/>
      <c r="BW397" s="1296"/>
      <c r="BX397" s="1296"/>
      <c r="BY397" s="1296"/>
      <c r="BZ397" s="1296"/>
      <c r="CA397" s="1296"/>
      <c r="CB397" s="1296"/>
      <c r="CC397" s="1296"/>
      <c r="CD397" s="1296"/>
      <c r="CE397" s="1296"/>
      <c r="CF397" s="1296"/>
      <c r="CG397" s="1296"/>
      <c r="CH397" s="1296"/>
      <c r="CI397" s="1296"/>
      <c r="CJ397" s="1296"/>
      <c r="CK397" s="1296"/>
    </row>
    <row r="398" spans="1:89" ht="30.75" thickBot="1" x14ac:dyDescent="0.3">
      <c r="A398" s="1296"/>
      <c r="B398" s="1320" t="s">
        <v>1897</v>
      </c>
      <c r="C398" s="1185" t="s">
        <v>1639</v>
      </c>
      <c r="D398" s="1313">
        <v>601</v>
      </c>
      <c r="E398" s="1331" t="str" cm="1">
        <f t="array" aca="1" ref="E398" ca="1">INDIRECT("'Incentives Worksheet'!D"&amp;'Configurable Tab'!H35+6)</f>
        <v/>
      </c>
      <c r="F398" s="1332" t="str" cm="1">
        <f t="array" aca="1" ref="F398" ca="1">INDIRECT("'Incentives Worksheet'!D"&amp;'Configurable Tab'!H35+8)</f>
        <v/>
      </c>
      <c r="G398" s="1298" t="str" cm="1">
        <f t="array" aca="1" ref="G398" ca="1">IF(INDIRECT("'Incentives Worksheet'!H"&amp;'Configurable Tab'!H35+6)=0,"",INDIRECT("'Incentives Worksheet'!H"&amp;'Configurable Tab'!H35+6))</f>
        <v/>
      </c>
      <c r="H398" s="1181" t="str" cm="1">
        <f t="array" aca="1" ref="H398" ca="1">IF(ISBLANK(INDIRECT("'Incentives Worksheet'!J"&amp;'Configurable Tab'!H35+3)),"",INDIRECT("'Incentives Worksheet'!J"&amp;'Configurable Tab'!H35+3))</f>
        <v/>
      </c>
      <c r="I398" s="1181" t="str" cm="1">
        <f t="array" aca="1" ref="I398" ca="1">IF(ISBLANK(INDIRECT("'Incentives Worksheet'!L"&amp;'Configurable Tab'!H35+3)),"",INDIRECT("'Incentives Worksheet'!L"&amp;'Configurable Tab'!H35+3))</f>
        <v/>
      </c>
      <c r="J398" s="1181" t="str" cm="1">
        <f t="array" aca="1" ref="J398" ca="1">IF(ISBLANK(INDIRECT("'Incentives Worksheet'!N"&amp;'Configurable Tab'!H35+3)),"",INDIRECT("'Incentives Worksheet'!N"&amp;'Configurable Tab'!H35+3))</f>
        <v/>
      </c>
      <c r="K398" s="1181" t="str" cm="1">
        <f t="array" aca="1" ref="K398" ca="1">IF(ISBLANK(INDIRECT("'Incentives Worksheet'!H"&amp;'Configurable Tab'!H35+3)),"",INDIRECT("'Incentives Worksheet'!H"&amp;'Configurable Tab'!H35+3))</f>
        <v/>
      </c>
      <c r="L398" s="1181" t="str" cm="1">
        <f t="array" aca="1" ref="L398" ca="1">IF(INDIRECT("'Incentives Worksheet'!R"&amp;'Configurable Tab'!H35+3)="USF Calendar","Fiscal",INDIRECT("'Incentives Worksheet'!R"&amp;'Configurable Tab'!H35+3))</f>
        <v>Calendar</v>
      </c>
      <c r="M398" s="1181" t="str" cm="1">
        <f t="array" aca="1" ref="M398" ca="1">INDIRECT("'Incentives Worksheet'!D"&amp;'Configurable Tab'!H35+10)</f>
        <v>Yes</v>
      </c>
      <c r="N398" s="1296"/>
      <c r="O398" s="1296"/>
      <c r="P398" s="1296"/>
      <c r="Q398" s="1296"/>
      <c r="R398" s="1296"/>
      <c r="S398" s="1296"/>
      <c r="T398" s="1320" t="s">
        <v>1897</v>
      </c>
      <c r="U398" s="1185" t="s">
        <v>1639</v>
      </c>
      <c r="V398" s="1313">
        <v>602</v>
      </c>
      <c r="W398" s="1331" t="str" cm="1">
        <f t="array" aca="1" ref="W398" ca="1">INDIRECT("'Incentives Worksheet'!D"&amp;'Configurable Tab'!H36+6)</f>
        <v/>
      </c>
      <c r="X398" s="1332" t="str" cm="1">
        <f t="array" aca="1" ref="X398" ca="1">INDIRECT("'Incentives Worksheet'!D"&amp;'Configurable Tab'!H36+8)</f>
        <v/>
      </c>
      <c r="Y398" s="1298" t="str" cm="1">
        <f t="array" aca="1" ref="Y398" ca="1">IF(INDIRECT("'Incentives Worksheet'!H"&amp;'Configurable Tab'!H36+6)=0,"",INDIRECT("'Incentives Worksheet'!H"&amp;'Configurable Tab'!H36+6))</f>
        <v/>
      </c>
      <c r="Z398" s="1181" t="str" cm="1">
        <f t="array" aca="1" ref="Z398" ca="1">IF(ISBLANK(INDIRECT("'Incentives Worksheet'!J"&amp;'Configurable Tab'!H36+3)),"",INDIRECT("'Incentives Worksheet'!J"&amp;'Configurable Tab'!H36+3))</f>
        <v/>
      </c>
      <c r="AA398" s="1181" t="str" cm="1">
        <f t="array" aca="1" ref="AA398" ca="1">IF(ISBLANK(INDIRECT("'Incentives Worksheet'!L"&amp;'Configurable Tab'!H36+3)),"",INDIRECT("'Incentives Worksheet'!L"&amp;'Configurable Tab'!H36+3))</f>
        <v/>
      </c>
      <c r="AB398" s="1181" t="str" cm="1">
        <f t="array" aca="1" ref="AB398" ca="1">IF(ISBLANK(INDIRECT("'Incentives Worksheet'!N"&amp;'Configurable Tab'!H36+3)),"",INDIRECT("'Incentives Worksheet'!N"&amp;'Configurable Tab'!H36+3))</f>
        <v/>
      </c>
      <c r="AC398" s="1181" t="str" cm="1">
        <f t="array" aca="1" ref="AC398" ca="1">IF(ISBLANK(INDIRECT("'Incentives Worksheet'!H"&amp;'Configurable Tab'!H36+3)),"",INDIRECT("'Incentives Worksheet'!H"&amp;'Configurable Tab'!H36+3))</f>
        <v/>
      </c>
      <c r="AD398" s="1181" t="str" cm="1">
        <f t="array" aca="1" ref="AD398" ca="1">IF(INDIRECT("'Incentives Worksheet'!R"&amp;'Configurable Tab'!H36+3)="USF Calendar","Fiscal",INDIRECT("'Incentives Worksheet'!R"&amp;'Configurable Tab'!H36+3))</f>
        <v>Calendar</v>
      </c>
      <c r="AE398" s="1181" t="str" cm="1">
        <f t="array" aca="1" ref="AE398" ca="1">INDIRECT("'Incentives Worksheet'!D"&amp;'Configurable Tab'!H36+10)</f>
        <v>Yes</v>
      </c>
      <c r="AF398" s="1296"/>
      <c r="AG398" s="1296"/>
      <c r="AH398" s="1296"/>
      <c r="AI398" s="1296"/>
      <c r="AJ398" s="1296"/>
      <c r="AK398" s="1296"/>
      <c r="AL398" s="1296"/>
      <c r="AM398" s="1296"/>
      <c r="AN398" s="1296"/>
      <c r="AO398" s="1296"/>
      <c r="AP398" s="1296"/>
      <c r="AQ398" s="1296"/>
      <c r="AR398" s="1296"/>
      <c r="AS398" s="1296"/>
      <c r="AT398" s="1296"/>
      <c r="AU398" s="1296"/>
      <c r="AV398" s="1296"/>
      <c r="AW398" s="1296"/>
      <c r="AX398" s="1296"/>
      <c r="AY398" s="1296"/>
      <c r="AZ398" s="1296"/>
      <c r="BA398" s="1296"/>
      <c r="BB398" s="1296"/>
      <c r="BC398" s="1296"/>
      <c r="BD398" s="1296"/>
      <c r="BE398" s="1296"/>
      <c r="BF398" s="1296"/>
      <c r="BG398" s="1296"/>
      <c r="BH398" s="1296"/>
      <c r="BI398" s="1296"/>
      <c r="BJ398" s="1296"/>
      <c r="BK398" s="1296"/>
      <c r="BL398" s="1296"/>
      <c r="BM398" s="1296"/>
      <c r="BN398" s="1296"/>
      <c r="BO398" s="1296"/>
      <c r="BP398" s="1296"/>
      <c r="BQ398" s="1296"/>
      <c r="BR398" s="1296"/>
      <c r="BS398" s="1296"/>
      <c r="BT398" s="1296"/>
      <c r="BU398" s="1296"/>
      <c r="BV398" s="1296"/>
      <c r="BW398" s="1296"/>
      <c r="BX398" s="1296"/>
      <c r="BY398" s="1296"/>
      <c r="BZ398" s="1296"/>
      <c r="CA398" s="1296"/>
      <c r="CB398" s="1296"/>
      <c r="CC398" s="1296"/>
      <c r="CD398" s="1296"/>
      <c r="CE398" s="1296"/>
      <c r="CF398" s="1296"/>
      <c r="CG398" s="1296"/>
      <c r="CH398" s="1296"/>
      <c r="CI398" s="1296"/>
      <c r="CJ398" s="1296"/>
      <c r="CK398" s="1296"/>
    </row>
    <row r="399" spans="1:89" ht="30.75" thickBot="1" x14ac:dyDescent="0.3">
      <c r="A399" s="1296"/>
      <c r="B399" s="1719" t="s">
        <v>1898</v>
      </c>
      <c r="C399" s="1334" t="s">
        <v>1500</v>
      </c>
      <c r="D399" s="1334" t="s">
        <v>728</v>
      </c>
      <c r="E399" s="1334" t="s">
        <v>1501</v>
      </c>
      <c r="F399" s="1296"/>
      <c r="G399" s="1183" t="s">
        <v>1824</v>
      </c>
      <c r="H399" s="1183" t="s">
        <v>1892</v>
      </c>
      <c r="I399" s="1296"/>
      <c r="J399" s="1296"/>
      <c r="K399" s="1296"/>
      <c r="L399" s="1296"/>
      <c r="M399" s="138"/>
      <c r="N399" s="1296"/>
      <c r="O399" s="1296"/>
      <c r="P399" s="1296"/>
      <c r="Q399" s="1296"/>
      <c r="R399" s="1296"/>
      <c r="S399" s="1296"/>
      <c r="T399" s="1719" t="s">
        <v>1898</v>
      </c>
      <c r="U399" s="1334" t="s">
        <v>1500</v>
      </c>
      <c r="V399" s="1334" t="s">
        <v>728</v>
      </c>
      <c r="W399" s="1334" t="s">
        <v>1501</v>
      </c>
      <c r="X399" s="1296"/>
      <c r="Y399" s="1183" t="s">
        <v>1824</v>
      </c>
      <c r="Z399" s="1183" t="s">
        <v>1892</v>
      </c>
      <c r="AA399" s="1296"/>
      <c r="AB399" s="1296"/>
      <c r="AC399" s="1296"/>
      <c r="AD399" s="1296"/>
      <c r="AE399" s="138"/>
      <c r="AF399" s="1296"/>
      <c r="AG399" s="1296"/>
      <c r="AH399" s="1296"/>
      <c r="AI399" s="1296"/>
      <c r="AJ399" s="1296"/>
      <c r="AK399" s="1296"/>
      <c r="AL399" s="1296"/>
      <c r="AM399" s="1296"/>
      <c r="AN399" s="1296"/>
      <c r="AO399" s="1296"/>
      <c r="AP399" s="1296"/>
      <c r="AQ399" s="1296"/>
      <c r="AR399" s="1296"/>
      <c r="AS399" s="1296"/>
      <c r="AT399" s="1296"/>
      <c r="AU399" s="1296"/>
      <c r="AV399" s="1296"/>
      <c r="AW399" s="1296"/>
      <c r="AX399" s="1296"/>
      <c r="AY399" s="1296"/>
      <c r="AZ399" s="1296"/>
      <c r="BA399" s="1296"/>
      <c r="BB399" s="1296"/>
      <c r="BC399" s="1296"/>
      <c r="BD399" s="1296"/>
      <c r="BE399" s="1296"/>
      <c r="BF399" s="1296"/>
      <c r="BG399" s="1296"/>
      <c r="BH399" s="1296"/>
      <c r="BI399" s="1296"/>
      <c r="BJ399" s="1296"/>
      <c r="BK399" s="1296"/>
      <c r="BL399" s="1296"/>
      <c r="BM399" s="1296"/>
      <c r="BN399" s="1296"/>
      <c r="BO399" s="1296"/>
      <c r="BP399" s="1296"/>
      <c r="BQ399" s="1296"/>
      <c r="BR399" s="1296"/>
      <c r="BS399" s="1296"/>
      <c r="BT399" s="1296"/>
      <c r="BU399" s="1296"/>
      <c r="BV399" s="1296"/>
      <c r="BW399" s="1296"/>
      <c r="BX399" s="1296"/>
      <c r="BY399" s="1296"/>
      <c r="BZ399" s="1296"/>
      <c r="CA399" s="1296"/>
      <c r="CB399" s="1296"/>
      <c r="CC399" s="1296"/>
      <c r="CD399" s="1296"/>
      <c r="CE399" s="1296"/>
      <c r="CF399" s="1296"/>
      <c r="CG399" s="1296"/>
      <c r="CH399" s="1296"/>
      <c r="CI399" s="1296"/>
      <c r="CJ399" s="1296"/>
      <c r="CK399" s="1296"/>
    </row>
    <row r="400" spans="1:89" ht="15.75" thickBot="1" x14ac:dyDescent="0.3">
      <c r="A400" s="1296"/>
      <c r="B400" s="1720"/>
      <c r="C400" s="1337" cm="1">
        <f t="array" aca="1" ref="C400" ca="1">INDIRECT("'Incentives Worksheet'!J"&amp;'Configurable Tab'!$H$35+6)</f>
        <v>1</v>
      </c>
      <c r="D400" s="1336" t="str" cm="1">
        <f t="array" aca="1" ref="D400" ca="1">IF(INDIRECT("'Incentives Worksheet'!L"&amp;'Configurable Tab'!H35+6)=0,"",INDIRECT("'Incentives Worksheet'!L"&amp;'Configurable Tab'!H35+6))</f>
        <v/>
      </c>
      <c r="E400" s="1336" t="str">
        <f>'Agreement Worksheet'!H18</f>
        <v/>
      </c>
      <c r="F400" s="1296"/>
      <c r="G400" s="1183"/>
      <c r="H400" s="1183"/>
      <c r="I400" s="1296"/>
      <c r="J400" s="1296"/>
      <c r="K400" s="1296"/>
      <c r="L400" s="1296"/>
      <c r="M400" s="138"/>
      <c r="N400" s="1296"/>
      <c r="O400" s="1296"/>
      <c r="P400" s="1296"/>
      <c r="Q400" s="1296"/>
      <c r="R400" s="1296"/>
      <c r="S400" s="1296"/>
      <c r="T400" s="1720"/>
      <c r="U400" s="1337" cm="1">
        <f t="array" aca="1" ref="U400" ca="1">INDIRECT("'Incentives Worksheet'!J"&amp;'Configurable Tab'!$H$36+6)</f>
        <v>1</v>
      </c>
      <c r="V400" s="1336" t="str" cm="1">
        <f t="array" aca="1" ref="V400" ca="1">IF(INDIRECT("'Incentives Worksheet'!L"&amp;'Configurable Tab'!H36+6)=0,"",INDIRECT("'Incentives Worksheet'!L"&amp;'Configurable Tab'!H36+6))</f>
        <v/>
      </c>
      <c r="W400" s="1336" t="str">
        <f>'Agreement Worksheet'!H18</f>
        <v/>
      </c>
      <c r="X400" s="1296"/>
      <c r="Y400" s="1183"/>
      <c r="Z400" s="1183"/>
      <c r="AA400" s="1296"/>
      <c r="AB400" s="1296"/>
      <c r="AC400" s="1296"/>
      <c r="AD400" s="1296"/>
      <c r="AE400" s="138"/>
      <c r="AF400" s="1296"/>
      <c r="AG400" s="1296"/>
      <c r="AH400" s="1296"/>
      <c r="AI400" s="1296"/>
      <c r="AJ400" s="1296"/>
      <c r="AK400" s="1296"/>
      <c r="AL400" s="1296"/>
      <c r="AM400" s="1296"/>
      <c r="AN400" s="1296"/>
      <c r="AO400" s="1296"/>
      <c r="AP400" s="1296"/>
      <c r="AQ400" s="1296"/>
      <c r="AR400" s="1296"/>
      <c r="AS400" s="1296"/>
      <c r="AT400" s="1296"/>
      <c r="AU400" s="1296"/>
      <c r="AV400" s="1296"/>
      <c r="AW400" s="1296"/>
      <c r="AX400" s="1296"/>
      <c r="AY400" s="1296"/>
      <c r="AZ400" s="1296"/>
      <c r="BA400" s="1296"/>
      <c r="BB400" s="1296"/>
      <c r="BC400" s="1296"/>
      <c r="BD400" s="1296"/>
      <c r="BE400" s="1296"/>
      <c r="BF400" s="1296"/>
      <c r="BG400" s="1296"/>
      <c r="BH400" s="1296"/>
      <c r="BI400" s="1296"/>
      <c r="BJ400" s="1296"/>
      <c r="BK400" s="1296"/>
      <c r="BL400" s="1296"/>
      <c r="BM400" s="1296"/>
      <c r="BN400" s="1296"/>
      <c r="BO400" s="1296"/>
      <c r="BP400" s="1296"/>
      <c r="BQ400" s="1296"/>
      <c r="BR400" s="1296"/>
      <c r="BS400" s="1296"/>
      <c r="BT400" s="1296"/>
      <c r="BU400" s="1296"/>
      <c r="BV400" s="1296"/>
      <c r="BW400" s="1296"/>
      <c r="BX400" s="1296"/>
      <c r="BY400" s="1296"/>
      <c r="BZ400" s="1296"/>
      <c r="CA400" s="1296"/>
      <c r="CB400" s="1296"/>
      <c r="CC400" s="1296"/>
      <c r="CD400" s="1296"/>
      <c r="CE400" s="1296"/>
      <c r="CF400" s="1296"/>
      <c r="CG400" s="1296"/>
      <c r="CH400" s="1296"/>
      <c r="CI400" s="1296"/>
      <c r="CJ400" s="1296"/>
      <c r="CK400" s="1296"/>
    </row>
    <row r="401" spans="1:89" ht="15.75" thickBot="1" x14ac:dyDescent="0.3">
      <c r="A401" s="1296"/>
      <c r="B401" s="1720"/>
      <c r="C401" s="1337" cm="1">
        <f t="array" aca="1" ref="C401" ca="1">INDIRECT("'Incentives Worksheet'!J"&amp;'Configurable Tab'!$H$35+7)</f>
        <v>2</v>
      </c>
      <c r="D401" s="1355" t="str" cm="1">
        <f t="array" aca="1" ref="D401" ca="1">IF(INDIRECT("'Incentives Worksheet'!L"&amp;'Configurable Tab'!H35+7)=0,"",INDIRECT("'Incentives Worksheet'!L"&amp;'Configurable Tab'!H35+7))</f>
        <v/>
      </c>
      <c r="E401" s="1355" t="str">
        <f>'Agreement Worksheet'!H18</f>
        <v/>
      </c>
      <c r="F401" s="1296"/>
      <c r="G401" s="1183"/>
      <c r="H401" s="1183"/>
      <c r="I401" s="1296"/>
      <c r="J401" s="1296"/>
      <c r="K401" s="1296"/>
      <c r="L401" s="1296"/>
      <c r="M401" s="138"/>
      <c r="N401" s="1296"/>
      <c r="O401" s="1296"/>
      <c r="P401" s="1296"/>
      <c r="Q401" s="1296"/>
      <c r="R401" s="1296"/>
      <c r="S401" s="1296"/>
      <c r="T401" s="1720"/>
      <c r="U401" s="1337" cm="1">
        <f t="array" aca="1" ref="U401" ca="1">INDIRECT("'Incentives Worksheet'!J"&amp;'Configurable Tab'!$H$36+7)</f>
        <v>2</v>
      </c>
      <c r="V401" s="1355" t="str" cm="1">
        <f t="array" aca="1" ref="V401" ca="1">IF(INDIRECT("'Incentives Worksheet'!L"&amp;'Configurable Tab'!H36+7)=0,"",INDIRECT("'Incentives Worksheet'!L"&amp;'Configurable Tab'!H36+7))</f>
        <v/>
      </c>
      <c r="W401" s="1355" t="str">
        <f>'Agreement Worksheet'!H18</f>
        <v/>
      </c>
      <c r="X401" s="1296"/>
      <c r="Y401" s="1183"/>
      <c r="Z401" s="1183"/>
      <c r="AA401" s="1296"/>
      <c r="AB401" s="1296"/>
      <c r="AC401" s="1296"/>
      <c r="AD401" s="1296"/>
      <c r="AE401" s="138"/>
      <c r="AF401" s="1296"/>
      <c r="AG401" s="1296"/>
      <c r="AH401" s="1296"/>
      <c r="AI401" s="1296"/>
      <c r="AJ401" s="1296"/>
      <c r="AK401" s="1296"/>
      <c r="AL401" s="1296"/>
      <c r="AM401" s="1296"/>
      <c r="AN401" s="1296"/>
      <c r="AO401" s="1296"/>
      <c r="AP401" s="1296"/>
      <c r="AQ401" s="1296"/>
      <c r="AR401" s="1296"/>
      <c r="AS401" s="1296"/>
      <c r="AT401" s="1296"/>
      <c r="AU401" s="1296"/>
      <c r="AV401" s="1296"/>
      <c r="AW401" s="1296"/>
      <c r="AX401" s="1296"/>
      <c r="AY401" s="1296"/>
      <c r="AZ401" s="1296"/>
      <c r="BA401" s="1296"/>
      <c r="BB401" s="1296"/>
      <c r="BC401" s="1296"/>
      <c r="BD401" s="1296"/>
      <c r="BE401" s="1296"/>
      <c r="BF401" s="1296"/>
      <c r="BG401" s="1296"/>
      <c r="BH401" s="1296"/>
      <c r="BI401" s="1296"/>
      <c r="BJ401" s="1296"/>
      <c r="BK401" s="1296"/>
      <c r="BL401" s="1296"/>
      <c r="BM401" s="1296"/>
      <c r="BN401" s="1296"/>
      <c r="BO401" s="1296"/>
      <c r="BP401" s="1296"/>
      <c r="BQ401" s="1296"/>
      <c r="BR401" s="1296"/>
      <c r="BS401" s="1296"/>
      <c r="BT401" s="1296"/>
      <c r="BU401" s="1296"/>
      <c r="BV401" s="1296"/>
      <c r="BW401" s="1296"/>
      <c r="BX401" s="1296"/>
      <c r="BY401" s="1296"/>
      <c r="BZ401" s="1296"/>
      <c r="CA401" s="1296"/>
      <c r="CB401" s="1296"/>
      <c r="CC401" s="1296"/>
      <c r="CD401" s="1296"/>
      <c r="CE401" s="1296"/>
      <c r="CF401" s="1296"/>
      <c r="CG401" s="1296"/>
      <c r="CH401" s="1296"/>
      <c r="CI401" s="1296"/>
      <c r="CJ401" s="1296"/>
      <c r="CK401" s="1296"/>
    </row>
    <row r="402" spans="1:89" ht="15.75" thickBot="1" x14ac:dyDescent="0.3">
      <c r="A402" s="1296"/>
      <c r="B402" s="1720"/>
      <c r="C402" s="1337" cm="1">
        <f t="array" aca="1" ref="C402" ca="1">INDIRECT("'Incentives Worksheet'!J"&amp;'Configurable Tab'!$H$35+8)</f>
        <v>3</v>
      </c>
      <c r="D402" s="1355" t="str" cm="1">
        <f t="array" aca="1" ref="D402" ca="1">IF(INDIRECT("'Incentives Worksheet'!L"&amp;'Configurable Tab'!H35+8)=0,"",INDIRECT("'Incentives Worksheet'!L"&amp;'Configurable Tab'!H35+8))</f>
        <v/>
      </c>
      <c r="E402" s="1355" t="str">
        <f>'Agreement Worksheet'!H18</f>
        <v/>
      </c>
      <c r="F402" s="1296"/>
      <c r="G402" s="1183"/>
      <c r="H402" s="1183"/>
      <c r="I402" s="1296"/>
      <c r="J402" s="1296"/>
      <c r="K402" s="1296"/>
      <c r="L402" s="1296"/>
      <c r="M402" s="138"/>
      <c r="N402" s="1296"/>
      <c r="O402" s="1296"/>
      <c r="P402" s="1296"/>
      <c r="Q402" s="1296"/>
      <c r="R402" s="1296"/>
      <c r="S402" s="1296"/>
      <c r="T402" s="1720"/>
      <c r="U402" s="1337" cm="1">
        <f t="array" aca="1" ref="U402" ca="1">INDIRECT("'Incentives Worksheet'!J"&amp;'Configurable Tab'!$H$36+8)</f>
        <v>3</v>
      </c>
      <c r="V402" s="1355" t="str" cm="1">
        <f t="array" aca="1" ref="V402" ca="1">IF(INDIRECT("'Incentives Worksheet'!L"&amp;'Configurable Tab'!H36+8)=0,"",INDIRECT("'Incentives Worksheet'!L"&amp;'Configurable Tab'!H36+8))</f>
        <v/>
      </c>
      <c r="W402" s="1355" t="str">
        <f>'Agreement Worksheet'!H18</f>
        <v/>
      </c>
      <c r="X402" s="1296"/>
      <c r="Y402" s="1183"/>
      <c r="Z402" s="1183"/>
      <c r="AA402" s="1296"/>
      <c r="AB402" s="1296"/>
      <c r="AC402" s="1296"/>
      <c r="AD402" s="1296"/>
      <c r="AE402" s="138"/>
      <c r="AF402" s="1296"/>
      <c r="AG402" s="1296"/>
      <c r="AH402" s="1296"/>
      <c r="AI402" s="1296"/>
      <c r="AJ402" s="1296"/>
      <c r="AK402" s="1296"/>
      <c r="AL402" s="1296"/>
      <c r="AM402" s="1296"/>
      <c r="AN402" s="1296"/>
      <c r="AO402" s="1296"/>
      <c r="AP402" s="1296"/>
      <c r="AQ402" s="1296"/>
      <c r="AR402" s="1296"/>
      <c r="AS402" s="1296"/>
      <c r="AT402" s="1296"/>
      <c r="AU402" s="1296"/>
      <c r="AV402" s="1296"/>
      <c r="AW402" s="1296"/>
      <c r="AX402" s="1296"/>
      <c r="AY402" s="1296"/>
      <c r="AZ402" s="1296"/>
      <c r="BA402" s="1296"/>
      <c r="BB402" s="1296"/>
      <c r="BC402" s="1296"/>
      <c r="BD402" s="1296"/>
      <c r="BE402" s="1296"/>
      <c r="BF402" s="1296"/>
      <c r="BG402" s="1296"/>
      <c r="BH402" s="1296"/>
      <c r="BI402" s="1296"/>
      <c r="BJ402" s="1296"/>
      <c r="BK402" s="1296"/>
      <c r="BL402" s="1296"/>
      <c r="BM402" s="1296"/>
      <c r="BN402" s="1296"/>
      <c r="BO402" s="1296"/>
      <c r="BP402" s="1296"/>
      <c r="BQ402" s="1296"/>
      <c r="BR402" s="1296"/>
      <c r="BS402" s="1296"/>
      <c r="BT402" s="1296"/>
      <c r="BU402" s="1296"/>
      <c r="BV402" s="1296"/>
      <c r="BW402" s="1296"/>
      <c r="BX402" s="1296"/>
      <c r="BY402" s="1296"/>
      <c r="BZ402" s="1296"/>
      <c r="CA402" s="1296"/>
      <c r="CB402" s="1296"/>
      <c r="CC402" s="1296"/>
      <c r="CD402" s="1296"/>
      <c r="CE402" s="1296"/>
      <c r="CF402" s="1296"/>
      <c r="CG402" s="1296"/>
      <c r="CH402" s="1296"/>
      <c r="CI402" s="1296"/>
      <c r="CJ402" s="1296"/>
      <c r="CK402" s="1296"/>
    </row>
    <row r="403" spans="1:89" ht="15.75" thickBot="1" x14ac:dyDescent="0.3">
      <c r="A403" s="1296"/>
      <c r="B403" s="1720"/>
      <c r="C403" s="1337" cm="1">
        <f t="array" aca="1" ref="C403" ca="1">INDIRECT("'Incentives Worksheet'!J"&amp;'Configurable Tab'!$H$35+9)</f>
        <v>4</v>
      </c>
      <c r="D403" s="1355" t="str" cm="1">
        <f t="array" aca="1" ref="D403" ca="1">IF(INDIRECT("'Incentives Worksheet'!L"&amp;'Configurable Tab'!H35+9)=0,"",INDIRECT("'Incentives Worksheet'!L"&amp;'Configurable Tab'!H35+9))</f>
        <v/>
      </c>
      <c r="E403" s="1355" t="str">
        <f>'Agreement Worksheet'!H18</f>
        <v/>
      </c>
      <c r="F403" s="1296"/>
      <c r="G403" s="1183"/>
      <c r="H403" s="1183"/>
      <c r="I403" s="1296"/>
      <c r="J403" s="1296"/>
      <c r="K403" s="1296"/>
      <c r="L403" s="1296"/>
      <c r="M403" s="138"/>
      <c r="N403" s="1296"/>
      <c r="O403" s="1296"/>
      <c r="P403" s="1296"/>
      <c r="Q403" s="1296"/>
      <c r="R403" s="1296"/>
      <c r="S403" s="1296"/>
      <c r="T403" s="1720"/>
      <c r="U403" s="1337" cm="1">
        <f t="array" aca="1" ref="U403" ca="1">INDIRECT("'Incentives Worksheet'!J"&amp;'Configurable Tab'!$H$36+9)</f>
        <v>4</v>
      </c>
      <c r="V403" s="1355" t="str" cm="1">
        <f t="array" aca="1" ref="V403" ca="1">IF(INDIRECT("'Incentives Worksheet'!L"&amp;'Configurable Tab'!H36+9)=0,"",INDIRECT("'Incentives Worksheet'!L"&amp;'Configurable Tab'!H36+9))</f>
        <v/>
      </c>
      <c r="W403" s="1355" t="str">
        <f>'Agreement Worksheet'!H18</f>
        <v/>
      </c>
      <c r="X403" s="1296"/>
      <c r="Y403" s="1183"/>
      <c r="Z403" s="1183"/>
      <c r="AA403" s="1296"/>
      <c r="AB403" s="1296"/>
      <c r="AC403" s="1296"/>
      <c r="AD403" s="1296"/>
      <c r="AE403" s="138"/>
      <c r="AF403" s="1296"/>
      <c r="AG403" s="1296"/>
      <c r="AH403" s="1296"/>
      <c r="AI403" s="1296"/>
      <c r="AJ403" s="1296"/>
      <c r="AK403" s="1296"/>
      <c r="AL403" s="1296"/>
      <c r="AM403" s="1296"/>
      <c r="AN403" s="1296"/>
      <c r="AO403" s="1296"/>
      <c r="AP403" s="1296"/>
      <c r="AQ403" s="1296"/>
      <c r="AR403" s="1296"/>
      <c r="AS403" s="1296"/>
      <c r="AT403" s="1296"/>
      <c r="AU403" s="1296"/>
      <c r="AV403" s="1296"/>
      <c r="AW403" s="1296"/>
      <c r="AX403" s="1296"/>
      <c r="AY403" s="1296"/>
      <c r="AZ403" s="1296"/>
      <c r="BA403" s="1296"/>
      <c r="BB403" s="1296"/>
      <c r="BC403" s="1296"/>
      <c r="BD403" s="1296"/>
      <c r="BE403" s="1296"/>
      <c r="BF403" s="1296"/>
      <c r="BG403" s="1296"/>
      <c r="BH403" s="1296"/>
      <c r="BI403" s="1296"/>
      <c r="BJ403" s="1296"/>
      <c r="BK403" s="1296"/>
      <c r="BL403" s="1296"/>
      <c r="BM403" s="1296"/>
      <c r="BN403" s="1296"/>
      <c r="BO403" s="1296"/>
      <c r="BP403" s="1296"/>
      <c r="BQ403" s="1296"/>
      <c r="BR403" s="1296"/>
      <c r="BS403" s="1296"/>
      <c r="BT403" s="1296"/>
      <c r="BU403" s="1296"/>
      <c r="BV403" s="1296"/>
      <c r="BW403" s="1296"/>
      <c r="BX403" s="1296"/>
      <c r="BY403" s="1296"/>
      <c r="BZ403" s="1296"/>
      <c r="CA403" s="1296"/>
      <c r="CB403" s="1296"/>
      <c r="CC403" s="1296"/>
      <c r="CD403" s="1296"/>
      <c r="CE403" s="1296"/>
      <c r="CF403" s="1296"/>
      <c r="CG403" s="1296"/>
      <c r="CH403" s="1296"/>
      <c r="CI403" s="1296"/>
      <c r="CJ403" s="1296"/>
      <c r="CK403" s="1296"/>
    </row>
    <row r="404" spans="1:89" ht="15.75" thickBot="1" x14ac:dyDescent="0.3">
      <c r="A404" s="1296"/>
      <c r="B404" s="1721"/>
      <c r="C404" s="1337" cm="1">
        <f t="array" aca="1" ref="C404" ca="1">INDIRECT("'Incentives Worksheet'!J"&amp;'Configurable Tab'!$H$35+10)</f>
        <v>5</v>
      </c>
      <c r="D404" s="1275" t="str" cm="1">
        <f t="array" aca="1" ref="D404" ca="1">IF(INDIRECT("'Incentives Worksheet'!L"&amp;'Configurable Tab'!H35+10)=0,"",INDIRECT("'Incentives Worksheet'!L"&amp;'Configurable Tab'!H35+10))</f>
        <v/>
      </c>
      <c r="E404" s="1275" t="str">
        <f>'Agreement Worksheet'!H18</f>
        <v/>
      </c>
      <c r="F404" s="54"/>
      <c r="G404" s="54"/>
      <c r="H404" s="54"/>
      <c r="I404" s="1296"/>
      <c r="J404" s="1296"/>
      <c r="K404" s="1296"/>
      <c r="L404" s="1296"/>
      <c r="M404" s="138"/>
      <c r="N404" s="1296"/>
      <c r="O404" s="1296"/>
      <c r="P404" s="1296"/>
      <c r="Q404" s="1296"/>
      <c r="R404" s="1296"/>
      <c r="S404" s="1296"/>
      <c r="T404" s="1721"/>
      <c r="U404" s="1337" cm="1">
        <f t="array" aca="1" ref="U404" ca="1">INDIRECT("'Incentives Worksheet'!J"&amp;'Configurable Tab'!$H$36+10)</f>
        <v>5</v>
      </c>
      <c r="V404" s="1275" t="str" cm="1">
        <f t="array" aca="1" ref="V404" ca="1">IF(INDIRECT("'Incentives Worksheet'!L"&amp;'Configurable Tab'!H36+10)=0,"",INDIRECT("'Incentives Worksheet'!L"&amp;'Configurable Tab'!H36+10))</f>
        <v/>
      </c>
      <c r="W404" s="1275" t="str">
        <f>'Agreement Worksheet'!H18</f>
        <v/>
      </c>
      <c r="X404" s="54"/>
      <c r="Y404" s="54"/>
      <c r="Z404" s="54"/>
      <c r="AA404" s="1296"/>
      <c r="AB404" s="1296"/>
      <c r="AC404" s="1296"/>
      <c r="AD404" s="1296"/>
      <c r="AE404" s="138"/>
      <c r="AF404" s="1296"/>
      <c r="AG404" s="1296"/>
      <c r="AH404" s="1296"/>
      <c r="AI404" s="1296"/>
      <c r="AJ404" s="1296"/>
      <c r="AK404" s="1296"/>
      <c r="AL404" s="1296"/>
      <c r="AM404" s="1296"/>
      <c r="AN404" s="1296"/>
      <c r="AO404" s="1296"/>
      <c r="AP404" s="1296"/>
      <c r="AQ404" s="1296"/>
      <c r="AR404" s="1296"/>
      <c r="AS404" s="1296"/>
      <c r="AT404" s="1296"/>
      <c r="AU404" s="1296"/>
      <c r="AV404" s="1296"/>
      <c r="AW404" s="1296"/>
      <c r="AX404" s="1296"/>
      <c r="AY404" s="1296"/>
      <c r="AZ404" s="1296"/>
      <c r="BA404" s="1296"/>
      <c r="BB404" s="1296"/>
      <c r="BC404" s="1296"/>
      <c r="BD404" s="1296"/>
      <c r="BE404" s="1296"/>
      <c r="BF404" s="1296"/>
      <c r="BG404" s="1296"/>
      <c r="BH404" s="1296"/>
      <c r="BI404" s="1296"/>
      <c r="BJ404" s="1296"/>
      <c r="BK404" s="1296"/>
      <c r="BL404" s="1296"/>
      <c r="BM404" s="1296"/>
      <c r="BN404" s="1296"/>
      <c r="BO404" s="1296"/>
      <c r="BP404" s="1296"/>
      <c r="BQ404" s="1296"/>
      <c r="BR404" s="1296"/>
      <c r="BS404" s="1296"/>
      <c r="BT404" s="1296"/>
      <c r="BU404" s="1296"/>
      <c r="BV404" s="1296"/>
      <c r="BW404" s="1296"/>
      <c r="BX404" s="1296"/>
      <c r="BY404" s="1296"/>
      <c r="BZ404" s="1296"/>
      <c r="CA404" s="1296"/>
      <c r="CB404" s="1296"/>
      <c r="CC404" s="1296"/>
      <c r="CD404" s="1296"/>
      <c r="CE404" s="1296"/>
      <c r="CF404" s="1296"/>
      <c r="CG404" s="1296"/>
      <c r="CH404" s="1296"/>
      <c r="CI404" s="1296"/>
      <c r="CJ404" s="1296"/>
      <c r="CK404" s="1296"/>
    </row>
    <row r="405" spans="1:89" ht="15.75" thickBot="1" x14ac:dyDescent="0.3">
      <c r="A405" s="1296"/>
      <c r="B405" s="1719" t="s">
        <v>1899</v>
      </c>
      <c r="C405" s="1258" t="s">
        <v>1853</v>
      </c>
      <c r="D405" s="1338" t="s">
        <v>1843</v>
      </c>
      <c r="E405" s="1338" t="s">
        <v>131</v>
      </c>
      <c r="F405" s="1200" t="s">
        <v>1844</v>
      </c>
      <c r="G405" s="1200" t="s">
        <v>1854</v>
      </c>
      <c r="H405" s="1201" t="s">
        <v>1855</v>
      </c>
      <c r="I405" s="1202" t="s">
        <v>767</v>
      </c>
      <c r="J405" s="1339" t="s">
        <v>768</v>
      </c>
      <c r="K405" s="1202" t="s">
        <v>769</v>
      </c>
      <c r="L405" s="1202" t="s">
        <v>770</v>
      </c>
      <c r="M405" s="1202" t="s">
        <v>204</v>
      </c>
      <c r="N405" s="1296"/>
      <c r="O405" s="1296"/>
      <c r="P405" s="1296"/>
      <c r="Q405" s="1296"/>
      <c r="R405" s="1296"/>
      <c r="S405" s="1296"/>
      <c r="T405" s="1719" t="s">
        <v>1899</v>
      </c>
      <c r="U405" s="1258" t="s">
        <v>1853</v>
      </c>
      <c r="V405" s="1338" t="s">
        <v>1843</v>
      </c>
      <c r="W405" s="1338" t="s">
        <v>131</v>
      </c>
      <c r="X405" s="1200" t="s">
        <v>1844</v>
      </c>
      <c r="Y405" s="1200" t="s">
        <v>1854</v>
      </c>
      <c r="Z405" s="1201" t="s">
        <v>1855</v>
      </c>
      <c r="AA405" s="1202" t="s">
        <v>767</v>
      </c>
      <c r="AB405" s="1339" t="s">
        <v>768</v>
      </c>
      <c r="AC405" s="1202" t="s">
        <v>769</v>
      </c>
      <c r="AD405" s="1202" t="s">
        <v>770</v>
      </c>
      <c r="AE405" s="1202" t="s">
        <v>204</v>
      </c>
      <c r="AF405" s="1296"/>
      <c r="AG405" s="1296"/>
      <c r="AH405" s="1296"/>
      <c r="AI405" s="1296"/>
      <c r="AJ405" s="1296"/>
      <c r="AK405" s="1296"/>
      <c r="AL405" s="1296"/>
      <c r="AM405" s="1296"/>
      <c r="AN405" s="1296"/>
      <c r="AO405" s="1296"/>
      <c r="AP405" s="1296"/>
      <c r="AQ405" s="1296"/>
      <c r="AR405" s="1296"/>
      <c r="AS405" s="1296"/>
      <c r="AT405" s="1296"/>
      <c r="AU405" s="1296"/>
      <c r="AV405" s="1296"/>
      <c r="AW405" s="1296"/>
      <c r="AX405" s="1296"/>
      <c r="AY405" s="1296"/>
      <c r="AZ405" s="1296"/>
      <c r="BA405" s="1296"/>
      <c r="BB405" s="1296"/>
      <c r="BC405" s="1296"/>
      <c r="BD405" s="1296"/>
      <c r="BE405" s="1296"/>
      <c r="BF405" s="1296"/>
      <c r="BG405" s="1296"/>
      <c r="BH405" s="1296"/>
      <c r="BI405" s="1296"/>
      <c r="BJ405" s="1296"/>
      <c r="BK405" s="1296"/>
      <c r="BL405" s="1296"/>
      <c r="BM405" s="1296"/>
      <c r="BN405" s="1296"/>
      <c r="BO405" s="1296"/>
      <c r="BP405" s="1296"/>
      <c r="BQ405" s="1296"/>
      <c r="BR405" s="1296"/>
      <c r="BS405" s="1296"/>
      <c r="BT405" s="1296"/>
      <c r="BU405" s="1296"/>
      <c r="BV405" s="1296"/>
      <c r="BW405" s="1296"/>
      <c r="BX405" s="1296"/>
      <c r="BY405" s="1296"/>
      <c r="BZ405" s="1296"/>
      <c r="CA405" s="1296"/>
      <c r="CB405" s="1296"/>
      <c r="CC405" s="1296"/>
      <c r="CD405" s="1296"/>
      <c r="CE405" s="1296"/>
      <c r="CF405" s="1296"/>
      <c r="CG405" s="1296"/>
      <c r="CH405" s="1296"/>
      <c r="CI405" s="1296"/>
      <c r="CJ405" s="1296"/>
      <c r="CK405" s="1296"/>
    </row>
    <row r="406" spans="1:89" x14ac:dyDescent="0.25">
      <c r="A406" s="1296"/>
      <c r="B406" s="1721"/>
      <c r="C406" s="1199">
        <v>1</v>
      </c>
      <c r="D406" s="1196" t="s">
        <v>1856</v>
      </c>
      <c r="E406" s="1196" t="s">
        <v>1444</v>
      </c>
      <c r="F406" s="1204" t="str">
        <f>'Required Info to Submit'!E23</f>
        <v/>
      </c>
      <c r="G406" s="1400" t="str">
        <f>IF(F406="","",'Required Info to Submit'!K23)</f>
        <v/>
      </c>
      <c r="H406" s="1401" t="str">
        <f>IF(F406="","",'Required Info to Submit'!K23)</f>
        <v/>
      </c>
      <c r="I406" s="1204" t="str">
        <f>'Required Info to Submit'!F23</f>
        <v/>
      </c>
      <c r="J406" s="1342" t="str">
        <f>'Required Info to Submit'!G23</f>
        <v/>
      </c>
      <c r="K406" s="1204" t="str">
        <f>'Required Info to Submit'!H23</f>
        <v/>
      </c>
      <c r="L406" s="1204" t="str">
        <f>'Required Info to Submit'!I23</f>
        <v/>
      </c>
      <c r="M406" s="1204" t="str">
        <f>'Required Info to Submit'!J23</f>
        <v/>
      </c>
      <c r="N406" s="1296"/>
      <c r="O406" s="1296"/>
      <c r="P406" s="1296"/>
      <c r="Q406" s="1296"/>
      <c r="R406" s="1296"/>
      <c r="S406" s="1296"/>
      <c r="T406" s="1721"/>
      <c r="U406" s="1199">
        <v>1</v>
      </c>
      <c r="V406" s="1196" t="s">
        <v>1856</v>
      </c>
      <c r="W406" s="1196" t="s">
        <v>1444</v>
      </c>
      <c r="X406" s="1196" t="str">
        <f>'Required Info to Submit'!E23</f>
        <v/>
      </c>
      <c r="Y406" s="1393" t="str">
        <f>IF(X406="","",'Required Info to Submit'!K23)</f>
        <v/>
      </c>
      <c r="Z406" s="1394" t="str">
        <f>IF(X406="","",'Required Info to Submit'!L23)</f>
        <v/>
      </c>
      <c r="AA406" s="1196" t="str">
        <f>'Required Info to Submit'!F23</f>
        <v/>
      </c>
      <c r="AB406" s="1340" t="str">
        <f>'Required Info to Submit'!G23</f>
        <v/>
      </c>
      <c r="AC406" s="1196" t="str">
        <f>'Required Info to Submit'!H23</f>
        <v/>
      </c>
      <c r="AD406" s="1196" t="str">
        <f>'Required Info to Submit'!I23</f>
        <v/>
      </c>
      <c r="AE406" s="1196" t="str">
        <f>'Required Info to Submit'!J23</f>
        <v/>
      </c>
      <c r="AF406" s="1296"/>
      <c r="AG406" s="1296"/>
      <c r="AH406" s="1296"/>
      <c r="AI406" s="1296"/>
      <c r="AJ406" s="1296"/>
      <c r="AK406" s="1296"/>
      <c r="AL406" s="1296"/>
      <c r="AM406" s="1296"/>
      <c r="AN406" s="1296"/>
      <c r="AO406" s="1296"/>
      <c r="AP406" s="1296"/>
      <c r="AQ406" s="1296"/>
      <c r="AR406" s="1296"/>
      <c r="AS406" s="1296"/>
      <c r="AT406" s="1296"/>
      <c r="AU406" s="1296"/>
      <c r="AV406" s="1296"/>
      <c r="AW406" s="1296"/>
      <c r="AX406" s="1296"/>
      <c r="AY406" s="1296"/>
      <c r="AZ406" s="1296"/>
      <c r="BA406" s="1296"/>
      <c r="BB406" s="1296"/>
      <c r="BC406" s="1296"/>
      <c r="BD406" s="1296"/>
      <c r="BE406" s="1296"/>
      <c r="BF406" s="1296"/>
      <c r="BG406" s="1296"/>
      <c r="BH406" s="1296"/>
      <c r="BI406" s="1296"/>
      <c r="BJ406" s="1296"/>
      <c r="BK406" s="1296"/>
      <c r="BL406" s="1296"/>
      <c r="BM406" s="1296"/>
      <c r="BN406" s="1296"/>
      <c r="BO406" s="1296"/>
      <c r="BP406" s="1296"/>
      <c r="BQ406" s="1296"/>
      <c r="BR406" s="1296"/>
      <c r="BS406" s="1296"/>
      <c r="BT406" s="1296"/>
      <c r="BU406" s="1296"/>
      <c r="BV406" s="1296"/>
      <c r="BW406" s="1296"/>
      <c r="BX406" s="1296"/>
      <c r="BY406" s="1296"/>
      <c r="BZ406" s="1296"/>
      <c r="CA406" s="1296"/>
      <c r="CB406" s="1296"/>
      <c r="CC406" s="1296"/>
      <c r="CD406" s="1296"/>
      <c r="CE406" s="1296"/>
      <c r="CF406" s="1296"/>
      <c r="CG406" s="1296"/>
      <c r="CH406" s="1296"/>
      <c r="CI406" s="1296"/>
      <c r="CJ406" s="1296"/>
      <c r="CK406" s="1296"/>
    </row>
    <row r="407" spans="1:89" x14ac:dyDescent="0.25">
      <c r="A407" s="1296"/>
      <c r="B407" s="1721"/>
      <c r="C407" s="1205">
        <v>2</v>
      </c>
      <c r="D407" s="1196" t="s">
        <v>1856</v>
      </c>
      <c r="E407" s="1196" t="s">
        <v>1444</v>
      </c>
      <c r="F407" s="1204" t="str">
        <f>'Required Info to Submit'!E24</f>
        <v/>
      </c>
      <c r="G407" s="1400" t="str">
        <f>IF(F407="","",'Required Info to Submit'!K24)</f>
        <v/>
      </c>
      <c r="H407" s="1401" t="str">
        <f>IF(F407="","",'Required Info to Submit'!K24)</f>
        <v/>
      </c>
      <c r="I407" s="1204" t="str">
        <f>'Required Info to Submit'!F24</f>
        <v/>
      </c>
      <c r="J407" s="1342" t="str">
        <f>'Required Info to Submit'!G24</f>
        <v/>
      </c>
      <c r="K407" s="1204" t="str">
        <f>'Required Info to Submit'!H24</f>
        <v/>
      </c>
      <c r="L407" s="1204" t="str">
        <f>'Required Info to Submit'!I24</f>
        <v/>
      </c>
      <c r="M407" s="1204" t="str">
        <f>'Required Info to Submit'!J24</f>
        <v/>
      </c>
      <c r="N407" s="1296"/>
      <c r="O407" s="1296"/>
      <c r="P407" s="1296"/>
      <c r="Q407" s="1296"/>
      <c r="R407" s="1296"/>
      <c r="S407" s="1296"/>
      <c r="T407" s="1721"/>
      <c r="U407" s="1205">
        <v>2</v>
      </c>
      <c r="V407" s="1196" t="s">
        <v>1856</v>
      </c>
      <c r="W407" s="1196" t="s">
        <v>1444</v>
      </c>
      <c r="X407" s="1196" t="str">
        <f>'Required Info to Submit'!E24</f>
        <v/>
      </c>
      <c r="Y407" s="1393" t="str">
        <f>IF(X407="","",'Required Info to Submit'!K24)</f>
        <v/>
      </c>
      <c r="Z407" s="1394" t="str">
        <f>IF(X407="","",'Required Info to Submit'!L24)</f>
        <v/>
      </c>
      <c r="AA407" s="1196" t="str">
        <f>'Required Info to Submit'!F24</f>
        <v/>
      </c>
      <c r="AB407" s="1340" t="str">
        <f>'Required Info to Submit'!G24</f>
        <v/>
      </c>
      <c r="AC407" s="1196" t="str">
        <f>'Required Info to Submit'!H24</f>
        <v/>
      </c>
      <c r="AD407" s="1196" t="str">
        <f>'Required Info to Submit'!I24</f>
        <v/>
      </c>
      <c r="AE407" s="1196" t="str">
        <f>'Required Info to Submit'!J24</f>
        <v/>
      </c>
      <c r="AF407" s="1296"/>
      <c r="AG407" s="1296"/>
      <c r="AH407" s="1296"/>
      <c r="AI407" s="1296"/>
      <c r="AJ407" s="1296"/>
      <c r="AK407" s="1296"/>
      <c r="AL407" s="1296"/>
      <c r="AM407" s="1296"/>
      <c r="AN407" s="1296"/>
      <c r="AO407" s="1296"/>
      <c r="AP407" s="1296"/>
      <c r="AQ407" s="1296"/>
      <c r="AR407" s="1296"/>
      <c r="AS407" s="1296"/>
      <c r="AT407" s="1296"/>
      <c r="AU407" s="1296"/>
      <c r="AV407" s="1296"/>
      <c r="AW407" s="1296"/>
      <c r="AX407" s="1296"/>
      <c r="AY407" s="1296"/>
      <c r="AZ407" s="1296"/>
      <c r="BA407" s="1296"/>
      <c r="BB407" s="1296"/>
      <c r="BC407" s="1296"/>
      <c r="BD407" s="1296"/>
      <c r="BE407" s="1296"/>
      <c r="BF407" s="1296"/>
      <c r="BG407" s="1296"/>
      <c r="BH407" s="1296"/>
      <c r="BI407" s="1296"/>
      <c r="BJ407" s="1296"/>
      <c r="BK407" s="1296"/>
      <c r="BL407" s="1296"/>
      <c r="BM407" s="1296"/>
      <c r="BN407" s="1296"/>
      <c r="BO407" s="1296"/>
      <c r="BP407" s="1296"/>
      <c r="BQ407" s="1296"/>
      <c r="BR407" s="1296"/>
      <c r="BS407" s="1296"/>
      <c r="BT407" s="1296"/>
      <c r="BU407" s="1296"/>
      <c r="BV407" s="1296"/>
      <c r="BW407" s="1296"/>
      <c r="BX407" s="1296"/>
      <c r="BY407" s="1296"/>
      <c r="BZ407" s="1296"/>
      <c r="CA407" s="1296"/>
      <c r="CB407" s="1296"/>
      <c r="CC407" s="1296"/>
      <c r="CD407" s="1296"/>
      <c r="CE407" s="1296"/>
      <c r="CF407" s="1296"/>
      <c r="CG407" s="1296"/>
      <c r="CH407" s="1296"/>
      <c r="CI407" s="1296"/>
      <c r="CJ407" s="1296"/>
      <c r="CK407" s="1296"/>
    </row>
    <row r="408" spans="1:89" x14ac:dyDescent="0.25">
      <c r="A408" s="1296"/>
      <c r="B408" s="1721"/>
      <c r="C408" s="1205">
        <v>3</v>
      </c>
      <c r="D408" s="1196" t="s">
        <v>1856</v>
      </c>
      <c r="E408" s="1196" t="s">
        <v>1444</v>
      </c>
      <c r="F408" s="1204" t="str">
        <f>'Required Info to Submit'!E25</f>
        <v/>
      </c>
      <c r="G408" s="1400" t="str">
        <f>IF(F408="","",'Required Info to Submit'!K25)</f>
        <v/>
      </c>
      <c r="H408" s="1401" t="str">
        <f>IF(F408="","",'Required Info to Submit'!K25)</f>
        <v/>
      </c>
      <c r="I408" s="1204" t="str">
        <f>'Required Info to Submit'!F25</f>
        <v/>
      </c>
      <c r="J408" s="1342" t="str">
        <f>'Required Info to Submit'!G25</f>
        <v/>
      </c>
      <c r="K408" s="1204" t="str">
        <f>'Required Info to Submit'!H25</f>
        <v/>
      </c>
      <c r="L408" s="1204" t="str">
        <f>'Required Info to Submit'!I25</f>
        <v/>
      </c>
      <c r="M408" s="1204" t="str">
        <f>'Required Info to Submit'!J25</f>
        <v/>
      </c>
      <c r="N408" s="1296"/>
      <c r="O408" s="1296"/>
      <c r="P408" s="1296"/>
      <c r="Q408" s="1296"/>
      <c r="R408" s="1296"/>
      <c r="S408" s="1296"/>
      <c r="T408" s="1721"/>
      <c r="U408" s="1205">
        <v>3</v>
      </c>
      <c r="V408" s="1196" t="s">
        <v>1856</v>
      </c>
      <c r="W408" s="1196" t="s">
        <v>1444</v>
      </c>
      <c r="X408" s="1196" t="str">
        <f>'Required Info to Submit'!E25</f>
        <v/>
      </c>
      <c r="Y408" s="1393" t="str">
        <f>IF(X408="","",'Required Info to Submit'!K25)</f>
        <v/>
      </c>
      <c r="Z408" s="1394" t="str">
        <f>IF(X408="","",'Required Info to Submit'!L25)</f>
        <v/>
      </c>
      <c r="AA408" s="1196" t="str">
        <f>'Required Info to Submit'!F25</f>
        <v/>
      </c>
      <c r="AB408" s="1340" t="str">
        <f>'Required Info to Submit'!G25</f>
        <v/>
      </c>
      <c r="AC408" s="1196" t="str">
        <f>'Required Info to Submit'!H25</f>
        <v/>
      </c>
      <c r="AD408" s="1196" t="str">
        <f>'Required Info to Submit'!I25</f>
        <v/>
      </c>
      <c r="AE408" s="1196" t="str">
        <f>'Required Info to Submit'!J25</f>
        <v/>
      </c>
      <c r="AF408" s="1296"/>
      <c r="AG408" s="1296"/>
      <c r="AH408" s="1296"/>
      <c r="AI408" s="1296"/>
      <c r="AJ408" s="1296"/>
      <c r="AK408" s="1296"/>
      <c r="AL408" s="1296"/>
      <c r="AM408" s="1296"/>
      <c r="AN408" s="1296"/>
      <c r="AO408" s="1296"/>
      <c r="AP408" s="1296"/>
      <c r="AQ408" s="1296"/>
      <c r="AR408" s="1296"/>
      <c r="AS408" s="1296"/>
      <c r="AT408" s="1296"/>
      <c r="AU408" s="1296"/>
      <c r="AV408" s="1296"/>
      <c r="AW408" s="1296"/>
      <c r="AX408" s="1296"/>
      <c r="AY408" s="1296"/>
      <c r="AZ408" s="1296"/>
      <c r="BA408" s="1296"/>
      <c r="BB408" s="1296"/>
      <c r="BC408" s="1296"/>
      <c r="BD408" s="1296"/>
      <c r="BE408" s="1296"/>
      <c r="BF408" s="1296"/>
      <c r="BG408" s="1296"/>
      <c r="BH408" s="1296"/>
      <c r="BI408" s="1296"/>
      <c r="BJ408" s="1296"/>
      <c r="BK408" s="1296"/>
      <c r="BL408" s="1296"/>
      <c r="BM408" s="1296"/>
      <c r="BN408" s="1296"/>
      <c r="BO408" s="1296"/>
      <c r="BP408" s="1296"/>
      <c r="BQ408" s="1296"/>
      <c r="BR408" s="1296"/>
      <c r="BS408" s="1296"/>
      <c r="BT408" s="1296"/>
      <c r="BU408" s="1296"/>
      <c r="BV408" s="1296"/>
      <c r="BW408" s="1296"/>
      <c r="BX408" s="1296"/>
      <c r="BY408" s="1296"/>
      <c r="BZ408" s="1296"/>
      <c r="CA408" s="1296"/>
      <c r="CB408" s="1296"/>
      <c r="CC408" s="1296"/>
      <c r="CD408" s="1296"/>
      <c r="CE408" s="1296"/>
      <c r="CF408" s="1296"/>
      <c r="CG408" s="1296"/>
      <c r="CH408" s="1296"/>
      <c r="CI408" s="1296"/>
      <c r="CJ408" s="1296"/>
      <c r="CK408" s="1296"/>
    </row>
    <row r="409" spans="1:89" x14ac:dyDescent="0.25">
      <c r="A409" s="1296"/>
      <c r="B409" s="1721"/>
      <c r="C409" s="1205">
        <v>4</v>
      </c>
      <c r="D409" s="1196" t="s">
        <v>1856</v>
      </c>
      <c r="E409" s="1196" t="s">
        <v>1444</v>
      </c>
      <c r="F409" s="1204" t="str">
        <f>'Required Info to Submit'!E26</f>
        <v/>
      </c>
      <c r="G409" s="1400" t="str">
        <f>IF(F409="","",'Required Info to Submit'!K26)</f>
        <v/>
      </c>
      <c r="H409" s="1401" t="str">
        <f>IF(F409="","",'Required Info to Submit'!K26)</f>
        <v/>
      </c>
      <c r="I409" s="1204" t="str">
        <f>'Required Info to Submit'!F26</f>
        <v/>
      </c>
      <c r="J409" s="1342" t="str">
        <f>'Required Info to Submit'!G26</f>
        <v/>
      </c>
      <c r="K409" s="1204" t="str">
        <f>'Required Info to Submit'!H26</f>
        <v/>
      </c>
      <c r="L409" s="1204" t="str">
        <f>'Required Info to Submit'!I26</f>
        <v/>
      </c>
      <c r="M409" s="1204" t="str">
        <f>'Required Info to Submit'!J26</f>
        <v/>
      </c>
      <c r="N409" s="1296"/>
      <c r="O409" s="1296"/>
      <c r="P409" s="1296"/>
      <c r="Q409" s="1296"/>
      <c r="R409" s="1296"/>
      <c r="S409" s="1296"/>
      <c r="T409" s="1721"/>
      <c r="U409" s="1205">
        <v>4</v>
      </c>
      <c r="V409" s="1196" t="s">
        <v>1856</v>
      </c>
      <c r="W409" s="1196" t="s">
        <v>1444</v>
      </c>
      <c r="X409" s="1196" t="str">
        <f>'Required Info to Submit'!E26</f>
        <v/>
      </c>
      <c r="Y409" s="1393" t="str">
        <f>IF(X409="","",'Required Info to Submit'!K26)</f>
        <v/>
      </c>
      <c r="Z409" s="1394" t="str">
        <f>IF(X409="","",'Required Info to Submit'!L26)</f>
        <v/>
      </c>
      <c r="AA409" s="1196" t="str">
        <f>'Required Info to Submit'!F26</f>
        <v/>
      </c>
      <c r="AB409" s="1340" t="str">
        <f>'Required Info to Submit'!G26</f>
        <v/>
      </c>
      <c r="AC409" s="1196" t="str">
        <f>'Required Info to Submit'!H26</f>
        <v/>
      </c>
      <c r="AD409" s="1196" t="str">
        <f>'Required Info to Submit'!I26</f>
        <v/>
      </c>
      <c r="AE409" s="1196" t="str">
        <f>'Required Info to Submit'!J26</f>
        <v/>
      </c>
      <c r="AF409" s="1296"/>
      <c r="AG409" s="1296"/>
      <c r="AH409" s="1296"/>
      <c r="AI409" s="1296"/>
      <c r="AJ409" s="1296"/>
      <c r="AK409" s="1296"/>
      <c r="AL409" s="1296"/>
      <c r="AM409" s="1296"/>
      <c r="AN409" s="1296"/>
      <c r="AO409" s="1296"/>
      <c r="AP409" s="1296"/>
      <c r="AQ409" s="1296"/>
      <c r="AR409" s="1296"/>
      <c r="AS409" s="1296"/>
      <c r="AT409" s="1296"/>
      <c r="AU409" s="1296"/>
      <c r="AV409" s="1296"/>
      <c r="AW409" s="1296"/>
      <c r="AX409" s="1296"/>
      <c r="AY409" s="1296"/>
      <c r="AZ409" s="1296"/>
      <c r="BA409" s="1296"/>
      <c r="BB409" s="1296"/>
      <c r="BC409" s="1296"/>
      <c r="BD409" s="1296"/>
      <c r="BE409" s="1296"/>
      <c r="BF409" s="1296"/>
      <c r="BG409" s="1296"/>
      <c r="BH409" s="1296"/>
      <c r="BI409" s="1296"/>
      <c r="BJ409" s="1296"/>
      <c r="BK409" s="1296"/>
      <c r="BL409" s="1296"/>
      <c r="BM409" s="1296"/>
      <c r="BN409" s="1296"/>
      <c r="BO409" s="1296"/>
      <c r="BP409" s="1296"/>
      <c r="BQ409" s="1296"/>
      <c r="BR409" s="1296"/>
      <c r="BS409" s="1296"/>
      <c r="BT409" s="1296"/>
      <c r="BU409" s="1296"/>
      <c r="BV409" s="1296"/>
      <c r="BW409" s="1296"/>
      <c r="BX409" s="1296"/>
      <c r="BY409" s="1296"/>
      <c r="BZ409" s="1296"/>
      <c r="CA409" s="1296"/>
      <c r="CB409" s="1296"/>
      <c r="CC409" s="1296"/>
      <c r="CD409" s="1296"/>
      <c r="CE409" s="1296"/>
      <c r="CF409" s="1296"/>
      <c r="CG409" s="1296"/>
      <c r="CH409" s="1296"/>
      <c r="CI409" s="1296"/>
      <c r="CJ409" s="1296"/>
      <c r="CK409" s="1296"/>
    </row>
    <row r="410" spans="1:89" x14ac:dyDescent="0.25">
      <c r="A410" s="1296"/>
      <c r="B410" s="1721"/>
      <c r="C410" s="1205">
        <v>5</v>
      </c>
      <c r="D410" s="1196" t="s">
        <v>1856</v>
      </c>
      <c r="E410" s="1196" t="s">
        <v>1444</v>
      </c>
      <c r="F410" s="1204" t="str">
        <f>'Required Info to Submit'!E27</f>
        <v/>
      </c>
      <c r="G410" s="1400" t="str">
        <f>IF(F410="","",'Required Info to Submit'!K27)</f>
        <v/>
      </c>
      <c r="H410" s="1401" t="str">
        <f>IF(F410="","",'Required Info to Submit'!K27)</f>
        <v/>
      </c>
      <c r="I410" s="1204" t="str">
        <f>'Required Info to Submit'!F27</f>
        <v/>
      </c>
      <c r="J410" s="1342" t="str">
        <f>'Required Info to Submit'!G27</f>
        <v/>
      </c>
      <c r="K410" s="1204" t="str">
        <f>'Required Info to Submit'!H27</f>
        <v/>
      </c>
      <c r="L410" s="1204" t="str">
        <f>'Required Info to Submit'!I27</f>
        <v/>
      </c>
      <c r="M410" s="1204" t="str">
        <f>'Required Info to Submit'!J27</f>
        <v/>
      </c>
      <c r="N410" s="1296"/>
      <c r="O410" s="1296"/>
      <c r="P410" s="1296"/>
      <c r="Q410" s="1296"/>
      <c r="R410" s="1296"/>
      <c r="S410" s="1296"/>
      <c r="T410" s="1721"/>
      <c r="U410" s="1205">
        <v>5</v>
      </c>
      <c r="V410" s="1196" t="s">
        <v>1856</v>
      </c>
      <c r="W410" s="1196" t="s">
        <v>1444</v>
      </c>
      <c r="X410" s="1196" t="str">
        <f>'Required Info to Submit'!E27</f>
        <v/>
      </c>
      <c r="Y410" s="1393" t="str">
        <f>IF(X410="","",'Required Info to Submit'!K27)</f>
        <v/>
      </c>
      <c r="Z410" s="1394" t="str">
        <f>IF(X410="","",'Required Info to Submit'!L27)</f>
        <v/>
      </c>
      <c r="AA410" s="1196" t="str">
        <f>'Required Info to Submit'!F27</f>
        <v/>
      </c>
      <c r="AB410" s="1340" t="str">
        <f>'Required Info to Submit'!G27</f>
        <v/>
      </c>
      <c r="AC410" s="1196" t="str">
        <f>'Required Info to Submit'!H27</f>
        <v/>
      </c>
      <c r="AD410" s="1196" t="str">
        <f>'Required Info to Submit'!I27</f>
        <v/>
      </c>
      <c r="AE410" s="1196" t="str">
        <f>'Required Info to Submit'!J27</f>
        <v/>
      </c>
      <c r="AF410" s="1296"/>
      <c r="AG410" s="1296"/>
      <c r="AH410" s="1296"/>
      <c r="AI410" s="1296"/>
      <c r="AJ410" s="1296"/>
      <c r="AK410" s="1296"/>
      <c r="AL410" s="1296"/>
      <c r="AM410" s="1296"/>
      <c r="AN410" s="1296"/>
      <c r="AO410" s="1296"/>
      <c r="AP410" s="1296"/>
      <c r="AQ410" s="1296"/>
      <c r="AR410" s="1296"/>
      <c r="AS410" s="1296"/>
      <c r="AT410" s="1296"/>
      <c r="AU410" s="1296"/>
      <c r="AV410" s="1296"/>
      <c r="AW410" s="1296"/>
      <c r="AX410" s="1296"/>
      <c r="AY410" s="1296"/>
      <c r="AZ410" s="1296"/>
      <c r="BA410" s="1296"/>
      <c r="BB410" s="1296"/>
      <c r="BC410" s="1296"/>
      <c r="BD410" s="1296"/>
      <c r="BE410" s="1296"/>
      <c r="BF410" s="1296"/>
      <c r="BG410" s="1296"/>
      <c r="BH410" s="1296"/>
      <c r="BI410" s="1296"/>
      <c r="BJ410" s="1296"/>
      <c r="BK410" s="1296"/>
      <c r="BL410" s="1296"/>
      <c r="BM410" s="1296"/>
      <c r="BN410" s="1296"/>
      <c r="BO410" s="1296"/>
      <c r="BP410" s="1296"/>
      <c r="BQ410" s="1296"/>
      <c r="BR410" s="1296"/>
      <c r="BS410" s="1296"/>
      <c r="BT410" s="1296"/>
      <c r="BU410" s="1296"/>
      <c r="BV410" s="1296"/>
      <c r="BW410" s="1296"/>
      <c r="BX410" s="1296"/>
      <c r="BY410" s="1296"/>
      <c r="BZ410" s="1296"/>
      <c r="CA410" s="1296"/>
      <c r="CB410" s="1296"/>
      <c r="CC410" s="1296"/>
      <c r="CD410" s="1296"/>
      <c r="CE410" s="1296"/>
      <c r="CF410" s="1296"/>
      <c r="CG410" s="1296"/>
      <c r="CH410" s="1296"/>
      <c r="CI410" s="1296"/>
      <c r="CJ410" s="1296"/>
      <c r="CK410" s="1296"/>
    </row>
    <row r="411" spans="1:89" x14ac:dyDescent="0.25">
      <c r="A411" s="1296"/>
      <c r="B411" s="1721"/>
      <c r="C411" s="1205">
        <v>6</v>
      </c>
      <c r="D411" s="1196" t="s">
        <v>1856</v>
      </c>
      <c r="E411" s="1196" t="s">
        <v>1444</v>
      </c>
      <c r="F411" s="1204" t="str">
        <f>'Required Info to Submit'!E28</f>
        <v/>
      </c>
      <c r="G411" s="1400" t="str">
        <f>IF(F411="","",'Required Info to Submit'!K28)</f>
        <v/>
      </c>
      <c r="H411" s="1401" t="str">
        <f>IF(F411="","",'Required Info to Submit'!K28)</f>
        <v/>
      </c>
      <c r="I411" s="1204" t="str">
        <f>'Required Info to Submit'!F28</f>
        <v/>
      </c>
      <c r="J411" s="1342" t="str">
        <f>'Required Info to Submit'!G28</f>
        <v/>
      </c>
      <c r="K411" s="1204" t="str">
        <f>'Required Info to Submit'!H28</f>
        <v/>
      </c>
      <c r="L411" s="1204" t="str">
        <f>'Required Info to Submit'!I28</f>
        <v/>
      </c>
      <c r="M411" s="1204" t="str">
        <f>'Required Info to Submit'!J28</f>
        <v/>
      </c>
      <c r="N411" s="1296"/>
      <c r="O411" s="1296"/>
      <c r="P411" s="1296"/>
      <c r="Q411" s="1296"/>
      <c r="R411" s="1296"/>
      <c r="S411" s="1296"/>
      <c r="T411" s="1721"/>
      <c r="U411" s="1205">
        <v>6</v>
      </c>
      <c r="V411" s="1196" t="s">
        <v>1856</v>
      </c>
      <c r="W411" s="1196" t="s">
        <v>1444</v>
      </c>
      <c r="X411" s="1196" t="str">
        <f>'Required Info to Submit'!E28</f>
        <v/>
      </c>
      <c r="Y411" s="1393" t="str">
        <f>IF(X411="","",'Required Info to Submit'!K28)</f>
        <v/>
      </c>
      <c r="Z411" s="1394" t="str">
        <f>IF(X411="","",'Required Info to Submit'!L28)</f>
        <v/>
      </c>
      <c r="AA411" s="1196" t="str">
        <f>'Required Info to Submit'!F28</f>
        <v/>
      </c>
      <c r="AB411" s="1340" t="str">
        <f>'Required Info to Submit'!G28</f>
        <v/>
      </c>
      <c r="AC411" s="1196" t="str">
        <f>'Required Info to Submit'!H28</f>
        <v/>
      </c>
      <c r="AD411" s="1196" t="str">
        <f>'Required Info to Submit'!I28</f>
        <v/>
      </c>
      <c r="AE411" s="1196" t="str">
        <f>'Required Info to Submit'!J28</f>
        <v/>
      </c>
      <c r="AF411" s="1296"/>
      <c r="AG411" s="1296"/>
      <c r="AH411" s="1296"/>
      <c r="AI411" s="1296"/>
      <c r="AJ411" s="1296"/>
      <c r="AK411" s="1296"/>
      <c r="AL411" s="1296"/>
      <c r="AM411" s="1296"/>
      <c r="AN411" s="1296"/>
      <c r="AO411" s="1296"/>
      <c r="AP411" s="1296"/>
      <c r="AQ411" s="1296"/>
      <c r="AR411" s="1296"/>
      <c r="AS411" s="1296"/>
      <c r="AT411" s="1296"/>
      <c r="AU411" s="1296"/>
      <c r="AV411" s="1296"/>
      <c r="AW411" s="1296"/>
      <c r="AX411" s="1296"/>
      <c r="AY411" s="1296"/>
      <c r="AZ411" s="1296"/>
      <c r="BA411" s="1296"/>
      <c r="BB411" s="1296"/>
      <c r="BC411" s="1296"/>
      <c r="BD411" s="1296"/>
      <c r="BE411" s="1296"/>
      <c r="BF411" s="1296"/>
      <c r="BG411" s="1296"/>
      <c r="BH411" s="1296"/>
      <c r="BI411" s="1296"/>
      <c r="BJ411" s="1296"/>
      <c r="BK411" s="1296"/>
      <c r="BL411" s="1296"/>
      <c r="BM411" s="1296"/>
      <c r="BN411" s="1296"/>
      <c r="BO411" s="1296"/>
      <c r="BP411" s="1296"/>
      <c r="BQ411" s="1296"/>
      <c r="BR411" s="1296"/>
      <c r="BS411" s="1296"/>
      <c r="BT411" s="1296"/>
      <c r="BU411" s="1296"/>
      <c r="BV411" s="1296"/>
      <c r="BW411" s="1296"/>
      <c r="BX411" s="1296"/>
      <c r="BY411" s="1296"/>
      <c r="BZ411" s="1296"/>
      <c r="CA411" s="1296"/>
      <c r="CB411" s="1296"/>
      <c r="CC411" s="1296"/>
      <c r="CD411" s="1296"/>
      <c r="CE411" s="1296"/>
      <c r="CF411" s="1296"/>
      <c r="CG411" s="1296"/>
      <c r="CH411" s="1296"/>
      <c r="CI411" s="1296"/>
      <c r="CJ411" s="1296"/>
      <c r="CK411" s="1296"/>
    </row>
    <row r="412" spans="1:89" x14ac:dyDescent="0.25">
      <c r="A412" s="1296"/>
      <c r="B412" s="1721"/>
      <c r="C412" s="1205">
        <v>7</v>
      </c>
      <c r="D412" s="1196" t="s">
        <v>1856</v>
      </c>
      <c r="E412" s="1196" t="s">
        <v>1444</v>
      </c>
      <c r="F412" s="1204" t="str">
        <f>'Required Info to Submit'!E29</f>
        <v/>
      </c>
      <c r="G412" s="1400" t="str">
        <f>IF(F412="","",'Required Info to Submit'!K29)</f>
        <v/>
      </c>
      <c r="H412" s="1401" t="str">
        <f>IF(F412="","",'Required Info to Submit'!K29)</f>
        <v/>
      </c>
      <c r="I412" s="1204" t="str">
        <f>'Required Info to Submit'!F29</f>
        <v/>
      </c>
      <c r="J412" s="1342" t="str">
        <f>'Required Info to Submit'!G29</f>
        <v/>
      </c>
      <c r="K412" s="1204" t="str">
        <f>'Required Info to Submit'!H29</f>
        <v/>
      </c>
      <c r="L412" s="1204" t="str">
        <f>'Required Info to Submit'!I29</f>
        <v/>
      </c>
      <c r="M412" s="1204" t="str">
        <f>'Required Info to Submit'!J29</f>
        <v/>
      </c>
      <c r="N412" s="1296"/>
      <c r="O412" s="1296"/>
      <c r="P412" s="1296"/>
      <c r="Q412" s="1296"/>
      <c r="R412" s="1296"/>
      <c r="S412" s="1296"/>
      <c r="T412" s="1721"/>
      <c r="U412" s="1205">
        <v>7</v>
      </c>
      <c r="V412" s="1196" t="s">
        <v>1856</v>
      </c>
      <c r="W412" s="1196" t="s">
        <v>1444</v>
      </c>
      <c r="X412" s="1196" t="str">
        <f>'Required Info to Submit'!E29</f>
        <v/>
      </c>
      <c r="Y412" s="1393" t="str">
        <f>IF(X412="","",'Required Info to Submit'!K29)</f>
        <v/>
      </c>
      <c r="Z412" s="1394" t="str">
        <f>IF(X412="","",'Required Info to Submit'!L29)</f>
        <v/>
      </c>
      <c r="AA412" s="1196" t="str">
        <f>'Required Info to Submit'!F29</f>
        <v/>
      </c>
      <c r="AB412" s="1340" t="str">
        <f>'Required Info to Submit'!G29</f>
        <v/>
      </c>
      <c r="AC412" s="1196" t="str">
        <f>'Required Info to Submit'!H29</f>
        <v/>
      </c>
      <c r="AD412" s="1196" t="str">
        <f>'Required Info to Submit'!I29</f>
        <v/>
      </c>
      <c r="AE412" s="1196" t="str">
        <f>'Required Info to Submit'!J29</f>
        <v/>
      </c>
      <c r="AF412" s="1296"/>
      <c r="AG412" s="1296"/>
      <c r="AH412" s="1296"/>
      <c r="AI412" s="1296"/>
      <c r="AJ412" s="1296"/>
      <c r="AK412" s="1296"/>
      <c r="AL412" s="1296"/>
      <c r="AM412" s="1296"/>
      <c r="AN412" s="1296"/>
      <c r="AO412" s="1296"/>
      <c r="AP412" s="1296"/>
      <c r="AQ412" s="1296"/>
      <c r="AR412" s="1296"/>
      <c r="AS412" s="1296"/>
      <c r="AT412" s="1296"/>
      <c r="AU412" s="1296"/>
      <c r="AV412" s="1296"/>
      <c r="AW412" s="1296"/>
      <c r="AX412" s="1296"/>
      <c r="AY412" s="1296"/>
      <c r="AZ412" s="1296"/>
      <c r="BA412" s="1296"/>
      <c r="BB412" s="1296"/>
      <c r="BC412" s="1296"/>
      <c r="BD412" s="1296"/>
      <c r="BE412" s="1296"/>
      <c r="BF412" s="1296"/>
      <c r="BG412" s="1296"/>
      <c r="BH412" s="1296"/>
      <c r="BI412" s="1296"/>
      <c r="BJ412" s="1296"/>
      <c r="BK412" s="1296"/>
      <c r="BL412" s="1296"/>
      <c r="BM412" s="1296"/>
      <c r="BN412" s="1296"/>
      <c r="BO412" s="1296"/>
      <c r="BP412" s="1296"/>
      <c r="BQ412" s="1296"/>
      <c r="BR412" s="1296"/>
      <c r="BS412" s="1296"/>
      <c r="BT412" s="1296"/>
      <c r="BU412" s="1296"/>
      <c r="BV412" s="1296"/>
      <c r="BW412" s="1296"/>
      <c r="BX412" s="1296"/>
      <c r="BY412" s="1296"/>
      <c r="BZ412" s="1296"/>
      <c r="CA412" s="1296"/>
      <c r="CB412" s="1296"/>
      <c r="CC412" s="1296"/>
      <c r="CD412" s="1296"/>
      <c r="CE412" s="1296"/>
      <c r="CF412" s="1296"/>
      <c r="CG412" s="1296"/>
      <c r="CH412" s="1296"/>
      <c r="CI412" s="1296"/>
      <c r="CJ412" s="1296"/>
      <c r="CK412" s="1296"/>
    </row>
    <row r="413" spans="1:89" x14ac:dyDescent="0.25">
      <c r="A413" s="1296"/>
      <c r="B413" s="1721"/>
      <c r="C413" s="1205">
        <v>8</v>
      </c>
      <c r="D413" s="1196" t="s">
        <v>1856</v>
      </c>
      <c r="E413" s="1196" t="s">
        <v>1444</v>
      </c>
      <c r="F413" s="1204" t="str">
        <f>'Required Info to Submit'!E30</f>
        <v/>
      </c>
      <c r="G413" s="1400" t="str">
        <f>IF(F413="","",'Required Info to Submit'!K30)</f>
        <v/>
      </c>
      <c r="H413" s="1401" t="str">
        <f>IF(F413="","",'Required Info to Submit'!K30)</f>
        <v/>
      </c>
      <c r="I413" s="1204" t="str">
        <f>'Required Info to Submit'!F30</f>
        <v/>
      </c>
      <c r="J413" s="1342" t="str">
        <f>'Required Info to Submit'!G30</f>
        <v/>
      </c>
      <c r="K413" s="1204" t="str">
        <f>'Required Info to Submit'!H30</f>
        <v/>
      </c>
      <c r="L413" s="1204" t="str">
        <f>'Required Info to Submit'!I30</f>
        <v/>
      </c>
      <c r="M413" s="1204" t="str">
        <f>'Required Info to Submit'!J30</f>
        <v/>
      </c>
      <c r="N413" s="1296"/>
      <c r="O413" s="1296"/>
      <c r="P413" s="1296"/>
      <c r="Q413" s="1296"/>
      <c r="R413" s="1296"/>
      <c r="S413" s="1296"/>
      <c r="T413" s="1721"/>
      <c r="U413" s="1205">
        <v>8</v>
      </c>
      <c r="V413" s="1196" t="s">
        <v>1856</v>
      </c>
      <c r="W413" s="1196" t="s">
        <v>1444</v>
      </c>
      <c r="X413" s="1196" t="str">
        <f>'Required Info to Submit'!E30</f>
        <v/>
      </c>
      <c r="Y413" s="1393" t="str">
        <f>IF(X413="","",'Required Info to Submit'!K30)</f>
        <v/>
      </c>
      <c r="Z413" s="1394" t="str">
        <f>IF(X413="","",'Required Info to Submit'!L30)</f>
        <v/>
      </c>
      <c r="AA413" s="1196" t="str">
        <f>'Required Info to Submit'!F30</f>
        <v/>
      </c>
      <c r="AB413" s="1340" t="str">
        <f>'Required Info to Submit'!G30</f>
        <v/>
      </c>
      <c r="AC413" s="1196" t="str">
        <f>'Required Info to Submit'!H30</f>
        <v/>
      </c>
      <c r="AD413" s="1196" t="str">
        <f>'Required Info to Submit'!I30</f>
        <v/>
      </c>
      <c r="AE413" s="1196" t="str">
        <f>'Required Info to Submit'!J30</f>
        <v/>
      </c>
      <c r="AF413" s="1296"/>
      <c r="AG413" s="1296"/>
      <c r="AH413" s="1296"/>
      <c r="AI413" s="1296"/>
      <c r="AJ413" s="1296"/>
      <c r="AK413" s="1296"/>
      <c r="AL413" s="1296"/>
      <c r="AM413" s="1296"/>
      <c r="AN413" s="1296"/>
      <c r="AO413" s="1296"/>
      <c r="AP413" s="1296"/>
      <c r="AQ413" s="1296"/>
      <c r="AR413" s="1296"/>
      <c r="AS413" s="1296"/>
      <c r="AT413" s="1296"/>
      <c r="AU413" s="1296"/>
      <c r="AV413" s="1296"/>
      <c r="AW413" s="1296"/>
      <c r="AX413" s="1296"/>
      <c r="AY413" s="1296"/>
      <c r="AZ413" s="1296"/>
      <c r="BA413" s="1296"/>
      <c r="BB413" s="1296"/>
      <c r="BC413" s="1296"/>
      <c r="BD413" s="1296"/>
      <c r="BE413" s="1296"/>
      <c r="BF413" s="1296"/>
      <c r="BG413" s="1296"/>
      <c r="BH413" s="1296"/>
      <c r="BI413" s="1296"/>
      <c r="BJ413" s="1296"/>
      <c r="BK413" s="1296"/>
      <c r="BL413" s="1296"/>
      <c r="BM413" s="1296"/>
      <c r="BN413" s="1296"/>
      <c r="BO413" s="1296"/>
      <c r="BP413" s="1296"/>
      <c r="BQ413" s="1296"/>
      <c r="BR413" s="1296"/>
      <c r="BS413" s="1296"/>
      <c r="BT413" s="1296"/>
      <c r="BU413" s="1296"/>
      <c r="BV413" s="1296"/>
      <c r="BW413" s="1296"/>
      <c r="BX413" s="1296"/>
      <c r="BY413" s="1296"/>
      <c r="BZ413" s="1296"/>
      <c r="CA413" s="1296"/>
      <c r="CB413" s="1296"/>
      <c r="CC413" s="1296"/>
      <c r="CD413" s="1296"/>
      <c r="CE413" s="1296"/>
      <c r="CF413" s="1296"/>
      <c r="CG413" s="1296"/>
      <c r="CH413" s="1296"/>
      <c r="CI413" s="1296"/>
      <c r="CJ413" s="1296"/>
      <c r="CK413" s="1296"/>
    </row>
    <row r="414" spans="1:89" x14ac:dyDescent="0.25">
      <c r="A414" s="1296"/>
      <c r="B414" s="1721"/>
      <c r="C414" s="1205">
        <v>9</v>
      </c>
      <c r="D414" s="1196" t="s">
        <v>1856</v>
      </c>
      <c r="E414" s="1196" t="s">
        <v>1444</v>
      </c>
      <c r="F414" s="1204" t="str">
        <f>'Required Info to Submit'!E31</f>
        <v/>
      </c>
      <c r="G414" s="1400" t="str">
        <f>IF(F414="","",'Required Info to Submit'!K31)</f>
        <v/>
      </c>
      <c r="H414" s="1401" t="str">
        <f>IF(F414="","",'Required Info to Submit'!K31)</f>
        <v/>
      </c>
      <c r="I414" s="1204" t="str">
        <f>'Required Info to Submit'!F31</f>
        <v/>
      </c>
      <c r="J414" s="1342" t="str">
        <f>'Required Info to Submit'!G31</f>
        <v/>
      </c>
      <c r="K414" s="1204" t="str">
        <f>'Required Info to Submit'!H31</f>
        <v/>
      </c>
      <c r="L414" s="1204" t="str">
        <f>'Required Info to Submit'!I31</f>
        <v/>
      </c>
      <c r="M414" s="1204" t="str">
        <f>'Required Info to Submit'!J31</f>
        <v/>
      </c>
      <c r="N414" s="1296"/>
      <c r="O414" s="1296"/>
      <c r="P414" s="1296"/>
      <c r="Q414" s="1296"/>
      <c r="R414" s="1296"/>
      <c r="S414" s="1296"/>
      <c r="T414" s="1721"/>
      <c r="U414" s="1205">
        <v>9</v>
      </c>
      <c r="V414" s="1196" t="s">
        <v>1856</v>
      </c>
      <c r="W414" s="1196" t="s">
        <v>1444</v>
      </c>
      <c r="X414" s="1196" t="str">
        <f>'Required Info to Submit'!E31</f>
        <v/>
      </c>
      <c r="Y414" s="1393" t="str">
        <f>IF(X414="","",'Required Info to Submit'!K31)</f>
        <v/>
      </c>
      <c r="Z414" s="1394" t="str">
        <f>IF(X414="","",'Required Info to Submit'!L31)</f>
        <v/>
      </c>
      <c r="AA414" s="1196" t="str">
        <f>'Required Info to Submit'!F31</f>
        <v/>
      </c>
      <c r="AB414" s="1340" t="str">
        <f>'Required Info to Submit'!G31</f>
        <v/>
      </c>
      <c r="AC414" s="1196" t="str">
        <f>'Required Info to Submit'!H31</f>
        <v/>
      </c>
      <c r="AD414" s="1196" t="str">
        <f>'Required Info to Submit'!I31</f>
        <v/>
      </c>
      <c r="AE414" s="1196" t="str">
        <f>'Required Info to Submit'!J31</f>
        <v/>
      </c>
      <c r="AF414" s="1296"/>
      <c r="AG414" s="1296"/>
      <c r="AH414" s="1296"/>
      <c r="AI414" s="1296"/>
      <c r="AJ414" s="1296"/>
      <c r="AK414" s="1296"/>
      <c r="AL414" s="1296"/>
      <c r="AM414" s="1296"/>
      <c r="AN414" s="1296"/>
      <c r="AO414" s="1296"/>
      <c r="AP414" s="1296"/>
      <c r="AQ414" s="1296"/>
      <c r="AR414" s="1296"/>
      <c r="AS414" s="1296"/>
      <c r="AT414" s="1296"/>
      <c r="AU414" s="1296"/>
      <c r="AV414" s="1296"/>
      <c r="AW414" s="1296"/>
      <c r="AX414" s="1296"/>
      <c r="AY414" s="1296"/>
      <c r="AZ414" s="1296"/>
      <c r="BA414" s="1296"/>
      <c r="BB414" s="1296"/>
      <c r="BC414" s="1296"/>
      <c r="BD414" s="1296"/>
      <c r="BE414" s="1296"/>
      <c r="BF414" s="1296"/>
      <c r="BG414" s="1296"/>
      <c r="BH414" s="1296"/>
      <c r="BI414" s="1296"/>
      <c r="BJ414" s="1296"/>
      <c r="BK414" s="1296"/>
      <c r="BL414" s="1296"/>
      <c r="BM414" s="1296"/>
      <c r="BN414" s="1296"/>
      <c r="BO414" s="1296"/>
      <c r="BP414" s="1296"/>
      <c r="BQ414" s="1296"/>
      <c r="BR414" s="1296"/>
      <c r="BS414" s="1296"/>
      <c r="BT414" s="1296"/>
      <c r="BU414" s="1296"/>
      <c r="BV414" s="1296"/>
      <c r="BW414" s="1296"/>
      <c r="BX414" s="1296"/>
      <c r="BY414" s="1296"/>
      <c r="BZ414" s="1296"/>
      <c r="CA414" s="1296"/>
      <c r="CB414" s="1296"/>
      <c r="CC414" s="1296"/>
      <c r="CD414" s="1296"/>
      <c r="CE414" s="1296"/>
      <c r="CF414" s="1296"/>
      <c r="CG414" s="1296"/>
      <c r="CH414" s="1296"/>
      <c r="CI414" s="1296"/>
      <c r="CJ414" s="1296"/>
      <c r="CK414" s="1296"/>
    </row>
    <row r="415" spans="1:89" ht="15.75" thickBot="1" x14ac:dyDescent="0.3">
      <c r="A415" s="1296"/>
      <c r="B415" s="1722"/>
      <c r="C415" s="1207">
        <v>10</v>
      </c>
      <c r="D415" s="1198" t="s">
        <v>1856</v>
      </c>
      <c r="E415" s="1198" t="s">
        <v>1444</v>
      </c>
      <c r="F415" s="1209" t="str">
        <f>'Required Info to Submit'!E32</f>
        <v/>
      </c>
      <c r="G415" s="1402" t="str">
        <f>IF(F415="","",'Required Info to Submit'!K32)</f>
        <v/>
      </c>
      <c r="H415" s="1402" t="str">
        <f>IF(F415="","",'Required Info to Submit'!K32)</f>
        <v/>
      </c>
      <c r="I415" s="1209" t="str">
        <f>'Required Info to Submit'!F32</f>
        <v/>
      </c>
      <c r="J415" s="1274" t="str">
        <f>'Required Info to Submit'!G32</f>
        <v/>
      </c>
      <c r="K415" s="1209" t="str">
        <f>'Required Info to Submit'!H32</f>
        <v/>
      </c>
      <c r="L415" s="1209" t="str">
        <f>'Required Info to Submit'!I32</f>
        <v/>
      </c>
      <c r="M415" s="1209" t="str">
        <f>'Required Info to Submit'!J32</f>
        <v/>
      </c>
      <c r="N415" s="1296"/>
      <c r="O415" s="1296"/>
      <c r="P415" s="1296"/>
      <c r="Q415" s="1296"/>
      <c r="R415" s="1296"/>
      <c r="S415" s="1296"/>
      <c r="T415" s="1722"/>
      <c r="U415" s="1207">
        <v>10</v>
      </c>
      <c r="V415" s="1198" t="s">
        <v>1856</v>
      </c>
      <c r="W415" s="1198" t="s">
        <v>1444</v>
      </c>
      <c r="X415" s="1198" t="str">
        <f>'Required Info to Submit'!E32</f>
        <v/>
      </c>
      <c r="Y415" s="1395" t="str">
        <f>IF(X415="","",'Required Info to Submit'!K32)</f>
        <v/>
      </c>
      <c r="Z415" s="1399" t="str">
        <f>IF(X415="","",'Required Info to Submit'!L32)</f>
        <v/>
      </c>
      <c r="AA415" s="1198" t="str">
        <f>'Required Info to Submit'!F32</f>
        <v/>
      </c>
      <c r="AB415" s="1341" t="str">
        <f>'Required Info to Submit'!G32</f>
        <v/>
      </c>
      <c r="AC415" s="1198" t="str">
        <f>'Required Info to Submit'!H32</f>
        <v/>
      </c>
      <c r="AD415" s="1198" t="str">
        <f>'Required Info to Submit'!I32</f>
        <v/>
      </c>
      <c r="AE415" s="1198" t="str">
        <f>'Required Info to Submit'!J32</f>
        <v/>
      </c>
      <c r="AF415" s="1296"/>
      <c r="AG415" s="1296"/>
      <c r="AH415" s="1296"/>
      <c r="AI415" s="1296"/>
      <c r="AJ415" s="1296"/>
      <c r="AK415" s="1296"/>
      <c r="AL415" s="1296"/>
      <c r="AM415" s="1296"/>
      <c r="AN415" s="1296"/>
      <c r="AO415" s="1296"/>
      <c r="AP415" s="1296"/>
      <c r="AQ415" s="1296"/>
      <c r="AR415" s="1296"/>
      <c r="AS415" s="1296"/>
      <c r="AT415" s="1296"/>
      <c r="AU415" s="1296"/>
      <c r="AV415" s="1296"/>
      <c r="AW415" s="1296"/>
      <c r="AX415" s="1296"/>
      <c r="AY415" s="1296"/>
      <c r="AZ415" s="1296"/>
      <c r="BA415" s="1296"/>
      <c r="BB415" s="1296"/>
      <c r="BC415" s="1296"/>
      <c r="BD415" s="1296"/>
      <c r="BE415" s="1296"/>
      <c r="BF415" s="1296"/>
      <c r="BG415" s="1296"/>
      <c r="BH415" s="1296"/>
      <c r="BI415" s="1296"/>
      <c r="BJ415" s="1296"/>
      <c r="BK415" s="1296"/>
      <c r="BL415" s="1296"/>
      <c r="BM415" s="1296"/>
      <c r="BN415" s="1296"/>
      <c r="BO415" s="1296"/>
      <c r="BP415" s="1296"/>
      <c r="BQ415" s="1296"/>
      <c r="BR415" s="1296"/>
      <c r="BS415" s="1296"/>
      <c r="BT415" s="1296"/>
      <c r="BU415" s="1296"/>
      <c r="BV415" s="1296"/>
      <c r="BW415" s="1296"/>
      <c r="BX415" s="1296"/>
      <c r="BY415" s="1296"/>
      <c r="BZ415" s="1296"/>
      <c r="CA415" s="1296"/>
      <c r="CB415" s="1296"/>
      <c r="CC415" s="1296"/>
      <c r="CD415" s="1296"/>
      <c r="CE415" s="1296"/>
      <c r="CF415" s="1296"/>
      <c r="CG415" s="1296"/>
      <c r="CH415" s="1296"/>
      <c r="CI415" s="1296"/>
      <c r="CJ415" s="1296"/>
      <c r="CK415" s="1296"/>
    </row>
    <row r="416" spans="1:89" x14ac:dyDescent="0.25">
      <c r="A416" s="1296"/>
      <c r="B416" s="1296"/>
      <c r="C416" s="1296"/>
      <c r="D416" s="1296"/>
      <c r="E416" s="1296"/>
      <c r="F416" s="1296"/>
      <c r="G416" s="1296"/>
      <c r="H416" s="1296"/>
      <c r="I416" s="1296"/>
      <c r="J416" s="1296"/>
      <c r="K416" s="1296"/>
      <c r="L416" s="1296"/>
      <c r="M416" s="1296"/>
      <c r="N416" s="1296"/>
      <c r="O416" s="1296"/>
      <c r="P416" s="1296"/>
      <c r="Q416" s="1296"/>
      <c r="R416" s="1296"/>
      <c r="S416" s="1296"/>
      <c r="T416" s="1296"/>
      <c r="U416" s="1296"/>
      <c r="V416" s="1296"/>
      <c r="W416" s="1296"/>
      <c r="X416" s="1296"/>
      <c r="Y416" s="1296"/>
      <c r="Z416" s="1296"/>
      <c r="AA416" s="1296"/>
      <c r="AB416" s="1296"/>
      <c r="AC416" s="1296"/>
      <c r="AD416" s="1296"/>
      <c r="AE416" s="1296"/>
      <c r="AF416" s="1296"/>
      <c r="AG416" s="1296"/>
      <c r="AH416" s="1296"/>
      <c r="AI416" s="1296"/>
      <c r="AJ416" s="1296"/>
      <c r="AK416" s="1296"/>
      <c r="AL416" s="1296"/>
      <c r="AM416" s="1296"/>
      <c r="AN416" s="1296"/>
      <c r="AO416" s="1296"/>
      <c r="AP416" s="1296"/>
      <c r="AQ416" s="1296"/>
      <c r="AR416" s="1296"/>
      <c r="AS416" s="1296"/>
      <c r="AT416" s="1296"/>
      <c r="AU416" s="1296"/>
      <c r="AV416" s="1296"/>
      <c r="AW416" s="1296"/>
      <c r="AX416" s="1296"/>
      <c r="AY416" s="1296"/>
      <c r="AZ416" s="1296"/>
      <c r="BA416" s="1296"/>
      <c r="BB416" s="1296"/>
      <c r="BC416" s="1296"/>
      <c r="BD416" s="1296"/>
      <c r="BE416" s="1296"/>
      <c r="BF416" s="1296"/>
      <c r="BG416" s="1296"/>
      <c r="BH416" s="1296"/>
      <c r="BI416" s="1296"/>
      <c r="BJ416" s="1296"/>
      <c r="BK416" s="1296"/>
      <c r="BL416" s="1296"/>
      <c r="BM416" s="1296"/>
      <c r="BN416" s="1296"/>
      <c r="BO416" s="1296"/>
      <c r="BP416" s="1296"/>
      <c r="BQ416" s="1296"/>
      <c r="BR416" s="1296"/>
      <c r="BS416" s="1296"/>
      <c r="BT416" s="1296"/>
      <c r="BU416" s="1296"/>
      <c r="BV416" s="1296"/>
      <c r="BW416" s="1296"/>
      <c r="BX416" s="1296"/>
      <c r="BY416" s="1296"/>
      <c r="BZ416" s="1296"/>
      <c r="CA416" s="1296"/>
      <c r="CB416" s="1296"/>
      <c r="CC416" s="1296"/>
      <c r="CD416" s="1296"/>
      <c r="CE416" s="1296"/>
      <c r="CF416" s="1296"/>
      <c r="CG416" s="1296"/>
      <c r="CH416" s="1296"/>
      <c r="CI416" s="1296"/>
      <c r="CJ416" s="1296"/>
      <c r="CK416" s="1296"/>
    </row>
    <row r="417" spans="1:89" ht="15.75" thickBot="1" x14ac:dyDescent="0.3">
      <c r="A417" s="1296"/>
      <c r="B417" s="1296"/>
      <c r="C417" s="1296"/>
      <c r="D417" s="1296"/>
      <c r="E417" s="1296"/>
      <c r="F417" s="1296"/>
      <c r="G417" s="1296"/>
      <c r="H417" s="1296"/>
      <c r="I417" s="1296"/>
      <c r="J417" s="1296"/>
      <c r="K417" s="1296"/>
      <c r="L417" s="1296"/>
      <c r="M417" s="1296"/>
      <c r="N417" s="1296"/>
      <c r="O417" s="1296"/>
      <c r="P417" s="1296"/>
      <c r="Q417" s="1296"/>
      <c r="R417" s="1296"/>
      <c r="S417" s="1296"/>
      <c r="T417" s="1296"/>
      <c r="U417" s="1296"/>
      <c r="V417" s="1296"/>
      <c r="W417" s="1296"/>
      <c r="X417" s="1296"/>
      <c r="Y417" s="1296"/>
      <c r="Z417" s="1296"/>
      <c r="AA417" s="1296"/>
      <c r="AB417" s="1296"/>
      <c r="AC417" s="1296"/>
      <c r="AD417" s="1296"/>
      <c r="AE417" s="1296"/>
      <c r="AF417" s="1296"/>
      <c r="AG417" s="1296"/>
      <c r="AH417" s="1296"/>
      <c r="AI417" s="1296"/>
      <c r="AJ417" s="1296"/>
      <c r="AK417" s="1296"/>
      <c r="AL417" s="1296"/>
      <c r="AM417" s="1296"/>
      <c r="AN417" s="1296"/>
      <c r="AO417" s="1296"/>
      <c r="AP417" s="1296"/>
      <c r="AQ417" s="1296"/>
      <c r="AR417" s="1296"/>
      <c r="AS417" s="1296"/>
      <c r="AT417" s="1296"/>
      <c r="AU417" s="1296"/>
      <c r="AV417" s="1296"/>
      <c r="AW417" s="1296"/>
      <c r="AX417" s="1296"/>
      <c r="AY417" s="1296"/>
      <c r="AZ417" s="1296"/>
      <c r="BA417" s="1296"/>
      <c r="BB417" s="1296"/>
      <c r="BC417" s="1296"/>
      <c r="BD417" s="1296"/>
      <c r="BE417" s="1296"/>
      <c r="BF417" s="1296"/>
      <c r="BG417" s="1296"/>
      <c r="BH417" s="1296"/>
      <c r="BI417" s="1296"/>
      <c r="BJ417" s="1296"/>
      <c r="BK417" s="1296"/>
      <c r="BL417" s="1296"/>
      <c r="BM417" s="1296"/>
      <c r="BN417" s="1296"/>
      <c r="BO417" s="1296"/>
      <c r="BP417" s="1296"/>
      <c r="BQ417" s="1296"/>
      <c r="BR417" s="1296"/>
      <c r="BS417" s="1296"/>
      <c r="BT417" s="1296"/>
      <c r="BU417" s="1296"/>
      <c r="BV417" s="1296"/>
      <c r="BW417" s="1296"/>
      <c r="BX417" s="1296"/>
      <c r="BY417" s="1296"/>
      <c r="BZ417" s="1296"/>
      <c r="CA417" s="1296"/>
      <c r="CB417" s="1296"/>
      <c r="CC417" s="1296"/>
      <c r="CD417" s="1296"/>
      <c r="CE417" s="1296"/>
      <c r="CF417" s="1296"/>
      <c r="CG417" s="1296"/>
      <c r="CH417" s="1296"/>
      <c r="CI417" s="1296"/>
      <c r="CJ417" s="1296"/>
      <c r="CK417" s="1296"/>
    </row>
    <row r="418" spans="1:89" ht="30.75" thickBot="1" x14ac:dyDescent="0.3">
      <c r="A418" s="1296"/>
      <c r="B418" s="1352"/>
      <c r="C418" s="1177" t="s">
        <v>1400</v>
      </c>
      <c r="D418" s="1177" t="s">
        <v>1510</v>
      </c>
      <c r="E418" s="1178" t="s">
        <v>1406</v>
      </c>
      <c r="F418" s="1178" t="s">
        <v>1414</v>
      </c>
      <c r="G418" s="1178" t="s">
        <v>1398</v>
      </c>
      <c r="H418" s="1178" t="s">
        <v>722</v>
      </c>
      <c r="I418" s="1178" t="s">
        <v>723</v>
      </c>
      <c r="J418" s="1178" t="s">
        <v>1514</v>
      </c>
      <c r="K418" s="1296"/>
      <c r="L418" s="1296"/>
      <c r="M418" s="1296"/>
      <c r="N418" s="1296"/>
      <c r="O418" s="1296"/>
      <c r="P418" s="1296"/>
      <c r="Q418" s="1296"/>
      <c r="R418" s="1296"/>
      <c r="S418" s="1296"/>
      <c r="T418" s="1296"/>
      <c r="U418" s="1296"/>
      <c r="V418" s="1296"/>
      <c r="W418" s="1296"/>
      <c r="X418" s="1296"/>
      <c r="Y418" s="1296"/>
      <c r="Z418" s="1296"/>
      <c r="AA418" s="1296"/>
      <c r="AB418" s="1296"/>
      <c r="AC418" s="1296"/>
      <c r="AD418" s="1296"/>
      <c r="AE418" s="1296"/>
      <c r="AF418" s="1296"/>
      <c r="AG418" s="1296"/>
      <c r="AH418" s="1296"/>
      <c r="AI418" s="1296"/>
      <c r="AJ418" s="1296"/>
      <c r="AK418" s="1296"/>
      <c r="AL418" s="1296"/>
      <c r="AM418" s="1296"/>
      <c r="AN418" s="1296"/>
      <c r="AO418" s="1296"/>
      <c r="AP418" s="1296"/>
      <c r="AQ418" s="1296"/>
      <c r="AR418" s="1296"/>
      <c r="AS418" s="1296"/>
      <c r="AT418" s="1296"/>
      <c r="AU418" s="1296"/>
      <c r="AV418" s="1296"/>
      <c r="AW418" s="1296"/>
      <c r="AX418" s="1296"/>
      <c r="AY418" s="1296"/>
      <c r="AZ418" s="1296"/>
      <c r="BA418" s="1296"/>
      <c r="BB418" s="1296"/>
      <c r="BC418" s="1296"/>
      <c r="BD418" s="1296"/>
      <c r="BE418" s="1296"/>
      <c r="BF418" s="1296"/>
      <c r="BG418" s="1296"/>
      <c r="BH418" s="1296"/>
      <c r="BI418" s="1296"/>
      <c r="BJ418" s="1296"/>
      <c r="BK418" s="1296"/>
      <c r="BL418" s="1296"/>
      <c r="BM418" s="1296"/>
      <c r="BN418" s="1296"/>
      <c r="BO418" s="1296"/>
      <c r="BP418" s="1296"/>
      <c r="BQ418" s="1296"/>
      <c r="BR418" s="1296"/>
      <c r="BS418" s="1296"/>
      <c r="BT418" s="1296"/>
      <c r="BU418" s="1296"/>
      <c r="BV418" s="1296"/>
      <c r="BW418" s="1296"/>
      <c r="BX418" s="1296"/>
      <c r="BY418" s="1296"/>
      <c r="BZ418" s="1296"/>
      <c r="CA418" s="1296"/>
      <c r="CB418" s="1296"/>
      <c r="CC418" s="1296"/>
      <c r="CD418" s="1296"/>
      <c r="CE418" s="1296"/>
      <c r="CF418" s="1296"/>
      <c r="CG418" s="1296"/>
      <c r="CH418" s="1296"/>
      <c r="CI418" s="1296"/>
      <c r="CJ418" s="1296"/>
      <c r="CK418" s="1296"/>
    </row>
    <row r="419" spans="1:89" ht="60.75" thickBot="1" x14ac:dyDescent="0.3">
      <c r="A419" s="1296"/>
      <c r="B419" s="1320" t="s">
        <v>1900</v>
      </c>
      <c r="C419" s="1185" t="s">
        <v>1648</v>
      </c>
      <c r="D419" s="1298">
        <v>1001</v>
      </c>
      <c r="E419" s="1333" t="str" cm="1">
        <f t="array" aca="1" ref="E419" ca="1">IF(INDIRECT("'Incentives Worksheet'!L"&amp;'Configurable Tab'!H37+6)=0,"",INDIRECT("'Incentives Worksheet'!L"&amp;'Configurable Tab'!H37+6))</f>
        <v/>
      </c>
      <c r="F419" s="1181" t="str" cm="1">
        <f t="array" aca="1" ref="F419" ca="1">IF(ISBLANK(INDIRECT("'Incentives Worksheet'!L"&amp;'Configurable Tab'!H37+3)),"",INDIRECT("'Incentives Worksheet'!L"&amp;'Configurable Tab'!H37+3))</f>
        <v/>
      </c>
      <c r="G419" s="1181" t="str" cm="1">
        <f t="array" aca="1" ref="G419" ca="1">IF(ISBLANK(INDIRECT("'Incentives Worksheet'!J"&amp;'Configurable Tab'!H37+3)),"",INDIRECT("'Incentives Worksheet'!J"&amp;'Configurable Tab'!H37+3))</f>
        <v/>
      </c>
      <c r="H419" s="1314" t="str" cm="1">
        <f t="array" aca="1" ref="H419" ca="1">INDIRECT("'Incentives Worksheet'!D"&amp;'Configurable Tab'!H37+6)</f>
        <v/>
      </c>
      <c r="I419" s="1314" t="str" cm="1">
        <f t="array" aca="1" ref="I419" ca="1">INDIRECT("'Incentives Worksheet'!D"&amp;'Configurable Tab'!H37+8)</f>
        <v/>
      </c>
      <c r="J419" s="1181" t="str" cm="1">
        <f t="array" aca="1" ref="J419" ca="1">INDIRECT("'Incentives Worksheet'!D"&amp;'Configurable Tab'!H37+10)</f>
        <v>Yes</v>
      </c>
      <c r="K419" s="1296"/>
      <c r="L419" s="1296"/>
      <c r="M419" s="1296"/>
      <c r="N419" s="1296"/>
      <c r="O419" s="1296"/>
      <c r="P419" s="1296"/>
      <c r="Q419" s="1296"/>
      <c r="R419" s="1296"/>
      <c r="S419" s="1296"/>
      <c r="T419" s="1296"/>
      <c r="U419" s="1296"/>
      <c r="V419" s="1296"/>
      <c r="W419" s="1296"/>
      <c r="X419" s="1296"/>
      <c r="Y419" s="1296"/>
      <c r="Z419" s="1296"/>
      <c r="AA419" s="1296"/>
      <c r="AB419" s="1296"/>
      <c r="AC419" s="1296"/>
      <c r="AD419" s="1296"/>
      <c r="AE419" s="1296"/>
      <c r="AF419" s="1296"/>
      <c r="AG419" s="1296"/>
      <c r="AH419" s="1296"/>
      <c r="AI419" s="1296"/>
      <c r="AJ419" s="1296"/>
      <c r="AK419" s="1296"/>
      <c r="AL419" s="1296"/>
      <c r="AM419" s="1296"/>
      <c r="AN419" s="1296"/>
      <c r="AO419" s="1296"/>
      <c r="AP419" s="1296"/>
      <c r="AQ419" s="1296"/>
      <c r="AR419" s="1296"/>
      <c r="AS419" s="1296"/>
      <c r="AT419" s="1296"/>
      <c r="AU419" s="1296"/>
      <c r="AV419" s="1296"/>
      <c r="AW419" s="1296"/>
      <c r="AX419" s="1296"/>
      <c r="AY419" s="1296"/>
      <c r="AZ419" s="1296"/>
      <c r="BA419" s="1296"/>
      <c r="BB419" s="1296"/>
      <c r="BC419" s="1296"/>
      <c r="BD419" s="1296"/>
      <c r="BE419" s="1296"/>
      <c r="BF419" s="1296"/>
      <c r="BG419" s="1296"/>
      <c r="BH419" s="1296"/>
      <c r="BI419" s="1296"/>
      <c r="BJ419" s="1296"/>
      <c r="BK419" s="1296"/>
      <c r="BL419" s="1296"/>
      <c r="BM419" s="1296"/>
      <c r="BN419" s="1296"/>
      <c r="BO419" s="1296"/>
      <c r="BP419" s="1296"/>
      <c r="BQ419" s="1296"/>
      <c r="BR419" s="1296"/>
      <c r="BS419" s="1296"/>
      <c r="BT419" s="1296"/>
      <c r="BU419" s="1296"/>
      <c r="BV419" s="1296"/>
      <c r="BW419" s="1296"/>
      <c r="BX419" s="1296"/>
      <c r="BY419" s="1296"/>
      <c r="BZ419" s="1296"/>
      <c r="CA419" s="1296"/>
      <c r="CB419" s="1296"/>
      <c r="CC419" s="1296"/>
      <c r="CD419" s="1296"/>
      <c r="CE419" s="1296"/>
      <c r="CF419" s="1296"/>
      <c r="CG419" s="1296"/>
      <c r="CH419" s="1296"/>
      <c r="CI419" s="1296"/>
      <c r="CJ419" s="1296"/>
      <c r="CK419" s="1296"/>
    </row>
    <row r="420" spans="1:89" x14ac:dyDescent="0.25">
      <c r="A420" s="1296"/>
      <c r="B420" s="1296"/>
      <c r="C420" s="1296"/>
      <c r="D420" s="1296"/>
      <c r="E420" s="1296"/>
      <c r="F420" s="1296"/>
      <c r="G420" s="1296"/>
      <c r="H420" s="1296"/>
      <c r="I420" s="1296"/>
      <c r="J420" s="1296"/>
      <c r="K420" s="1296"/>
      <c r="L420" s="1296"/>
      <c r="M420" s="1296"/>
      <c r="N420" s="1296"/>
      <c r="O420" s="1296"/>
      <c r="P420" s="1296"/>
      <c r="Q420" s="1296"/>
      <c r="R420" s="1296"/>
      <c r="S420" s="1296"/>
      <c r="T420" s="1296"/>
      <c r="U420" s="1296"/>
      <c r="V420" s="1296"/>
      <c r="W420" s="1296"/>
      <c r="X420" s="1296"/>
      <c r="Y420" s="1296"/>
      <c r="Z420" s="1296"/>
      <c r="AA420" s="1296"/>
      <c r="AB420" s="1296"/>
      <c r="AC420" s="1296"/>
      <c r="AD420" s="1296"/>
      <c r="AE420" s="1296"/>
      <c r="AF420" s="1296"/>
      <c r="AG420" s="1296"/>
      <c r="AH420" s="1296"/>
      <c r="AI420" s="1296"/>
      <c r="AJ420" s="1296"/>
      <c r="AK420" s="1296"/>
      <c r="AL420" s="1296"/>
      <c r="AM420" s="1296"/>
      <c r="AN420" s="1296"/>
      <c r="AO420" s="1296"/>
      <c r="AP420" s="1296"/>
      <c r="AQ420" s="1296"/>
      <c r="AR420" s="1296"/>
      <c r="AS420" s="1296"/>
      <c r="AT420" s="1296"/>
      <c r="AU420" s="1296"/>
      <c r="AV420" s="1296"/>
      <c r="AW420" s="1296"/>
      <c r="AX420" s="1296"/>
      <c r="AY420" s="1296"/>
      <c r="AZ420" s="1296"/>
      <c r="BA420" s="1296"/>
      <c r="BB420" s="1296"/>
      <c r="BC420" s="1296"/>
      <c r="BD420" s="1296"/>
      <c r="BE420" s="1296"/>
      <c r="BF420" s="1296"/>
      <c r="BG420" s="1296"/>
      <c r="BH420" s="1296"/>
      <c r="BI420" s="1296"/>
      <c r="BJ420" s="1296"/>
      <c r="BK420" s="1296"/>
      <c r="BL420" s="1296"/>
      <c r="BM420" s="1296"/>
      <c r="BN420" s="1296"/>
      <c r="BO420" s="1296"/>
      <c r="BP420" s="1296"/>
      <c r="BQ420" s="1296"/>
      <c r="BR420" s="1296"/>
      <c r="BS420" s="1296"/>
      <c r="BT420" s="1296"/>
      <c r="BU420" s="1296"/>
      <c r="BV420" s="1296"/>
      <c r="BW420" s="1296"/>
      <c r="BX420" s="1296"/>
      <c r="BY420" s="1296"/>
      <c r="BZ420" s="1296"/>
      <c r="CA420" s="1296"/>
      <c r="CB420" s="1296"/>
      <c r="CC420" s="1296"/>
      <c r="CD420" s="1296"/>
      <c r="CE420" s="1296"/>
      <c r="CF420" s="1296"/>
      <c r="CG420" s="1296"/>
      <c r="CH420" s="1296"/>
      <c r="CI420" s="1296"/>
      <c r="CJ420" s="1296"/>
      <c r="CK420" s="1296"/>
    </row>
    <row r="421" spans="1:89" x14ac:dyDescent="0.25">
      <c r="A421" s="1296"/>
      <c r="B421" s="1296"/>
      <c r="C421" s="1296"/>
      <c r="D421" s="1296"/>
      <c r="E421" s="1296"/>
      <c r="F421" s="1296"/>
      <c r="G421" s="1296"/>
      <c r="H421" s="1296"/>
      <c r="I421" s="1296"/>
      <c r="J421" s="1296"/>
      <c r="K421" s="1296"/>
      <c r="L421" s="1296"/>
      <c r="M421" s="1296"/>
      <c r="N421" s="1296"/>
      <c r="O421" s="1296"/>
      <c r="P421" s="1296"/>
      <c r="Q421" s="1296"/>
      <c r="R421" s="1296"/>
      <c r="S421" s="1296"/>
      <c r="T421" s="1296"/>
      <c r="U421" s="1296"/>
      <c r="V421" s="1296"/>
      <c r="W421" s="1296"/>
      <c r="X421" s="1296"/>
      <c r="Y421" s="1296"/>
      <c r="Z421" s="1296"/>
      <c r="AA421" s="1296"/>
      <c r="AB421" s="1296"/>
      <c r="AC421" s="1296"/>
      <c r="AD421" s="1296"/>
      <c r="AE421" s="1296"/>
      <c r="AF421" s="1296"/>
      <c r="AG421" s="1296"/>
      <c r="AH421" s="1296"/>
      <c r="AI421" s="1296"/>
      <c r="AJ421" s="1296"/>
      <c r="AK421" s="1296"/>
      <c r="AL421" s="1296"/>
      <c r="AM421" s="1296"/>
      <c r="AN421" s="1296"/>
      <c r="AO421" s="1296"/>
      <c r="AP421" s="1296"/>
      <c r="AQ421" s="1296"/>
      <c r="AR421" s="1296"/>
      <c r="AS421" s="1296"/>
      <c r="AT421" s="1296"/>
      <c r="AU421" s="1296"/>
      <c r="AV421" s="1296"/>
      <c r="AW421" s="1296"/>
      <c r="AX421" s="1296"/>
      <c r="AY421" s="1296"/>
      <c r="AZ421" s="1296"/>
      <c r="BA421" s="1296"/>
      <c r="BB421" s="1296"/>
      <c r="BC421" s="1296"/>
      <c r="BD421" s="1296"/>
      <c r="BE421" s="1296"/>
      <c r="BF421" s="1296"/>
      <c r="BG421" s="1296"/>
      <c r="BH421" s="1296"/>
      <c r="BI421" s="1296"/>
      <c r="BJ421" s="1296"/>
      <c r="BK421" s="1296"/>
      <c r="BL421" s="1296"/>
      <c r="BM421" s="1296"/>
      <c r="BN421" s="1296"/>
      <c r="BO421" s="1296"/>
      <c r="BP421" s="1296"/>
      <c r="BQ421" s="1296"/>
      <c r="BR421" s="1296"/>
      <c r="BS421" s="1296"/>
      <c r="BT421" s="1296"/>
      <c r="BU421" s="1296"/>
      <c r="BV421" s="1296"/>
      <c r="BW421" s="1296"/>
      <c r="BX421" s="1296"/>
      <c r="BY421" s="1296"/>
      <c r="BZ421" s="1296"/>
      <c r="CA421" s="1296"/>
      <c r="CB421" s="1296"/>
      <c r="CC421" s="1296"/>
      <c r="CD421" s="1296"/>
      <c r="CE421" s="1296"/>
      <c r="CF421" s="1296"/>
      <c r="CG421" s="1296"/>
      <c r="CH421" s="1296"/>
      <c r="CI421" s="1296"/>
      <c r="CJ421" s="1296"/>
      <c r="CK421" s="1296"/>
    </row>
    <row r="422" spans="1:89" x14ac:dyDescent="0.25">
      <c r="A422" s="1296"/>
      <c r="B422" s="1296"/>
      <c r="C422" s="1296"/>
      <c r="D422" s="1296"/>
      <c r="E422" s="1296"/>
      <c r="F422" s="1296"/>
      <c r="G422" s="1296"/>
      <c r="H422" s="1296"/>
      <c r="I422" s="1296"/>
      <c r="J422" s="1296"/>
      <c r="K422" s="1296"/>
      <c r="L422" s="1296"/>
      <c r="M422" s="1296"/>
      <c r="N422" s="1296"/>
      <c r="O422" s="1296"/>
      <c r="P422" s="1296"/>
      <c r="Q422" s="1296"/>
      <c r="R422" s="1296"/>
      <c r="S422" s="1296"/>
      <c r="T422" s="1296"/>
      <c r="U422" s="1296"/>
      <c r="V422" s="1296"/>
      <c r="W422" s="1296"/>
      <c r="X422" s="1296"/>
      <c r="Y422" s="1296"/>
      <c r="Z422" s="1296"/>
      <c r="AA422" s="1296"/>
      <c r="AB422" s="1296"/>
      <c r="AC422" s="1296"/>
      <c r="AD422" s="1296"/>
      <c r="AE422" s="1296"/>
      <c r="AF422" s="1296"/>
      <c r="AG422" s="1296"/>
      <c r="AH422" s="1296"/>
      <c r="AI422" s="1296"/>
      <c r="AJ422" s="1296"/>
      <c r="AK422" s="1296"/>
      <c r="AL422" s="1296"/>
      <c r="AM422" s="1296"/>
      <c r="AN422" s="1296"/>
      <c r="AO422" s="1296"/>
      <c r="AP422" s="1296"/>
      <c r="AQ422" s="1296"/>
      <c r="AR422" s="1296"/>
      <c r="AS422" s="1296"/>
      <c r="AT422" s="1296"/>
      <c r="AU422" s="1296"/>
      <c r="AV422" s="1296"/>
      <c r="AW422" s="1296"/>
      <c r="AX422" s="1296"/>
      <c r="AY422" s="1296"/>
      <c r="AZ422" s="1296"/>
      <c r="BA422" s="1296"/>
      <c r="BB422" s="1296"/>
      <c r="BC422" s="1296"/>
      <c r="BD422" s="1296"/>
      <c r="BE422" s="1296"/>
      <c r="BF422" s="1296"/>
      <c r="BG422" s="1296"/>
      <c r="BH422" s="1296"/>
      <c r="BI422" s="1296"/>
      <c r="BJ422" s="1296"/>
      <c r="BK422" s="1296"/>
      <c r="BL422" s="1296"/>
      <c r="BM422" s="1296"/>
      <c r="BN422" s="1296"/>
      <c r="BO422" s="1296"/>
      <c r="BP422" s="1296"/>
      <c r="BQ422" s="1296"/>
      <c r="BR422" s="1296"/>
      <c r="BS422" s="1296"/>
      <c r="BT422" s="1296"/>
      <c r="BU422" s="1296"/>
      <c r="BV422" s="1296"/>
      <c r="BW422" s="1296"/>
      <c r="BX422" s="1296"/>
      <c r="BY422" s="1296"/>
      <c r="BZ422" s="1296"/>
      <c r="CA422" s="1296"/>
      <c r="CB422" s="1296"/>
      <c r="CC422" s="1296"/>
      <c r="CD422" s="1296"/>
      <c r="CE422" s="1296"/>
      <c r="CF422" s="1296"/>
      <c r="CG422" s="1296"/>
      <c r="CH422" s="1296"/>
      <c r="CI422" s="1296"/>
      <c r="CJ422" s="1296"/>
      <c r="CK422" s="1296"/>
    </row>
  </sheetData>
  <sheetProtection algorithmName="SHA-512" hashValue="GctcYkvVTZOTZX7ubqjbscfiuwg8b4Ug9f4p/IkwYo/nGKGtaSwE8cM1EOPriTPWp1xr2awHdfzfCNibDAYgUw==" saltValue="62lNZtWeKkdnU/pzQXbFj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0" t="s">
        <v>716</v>
      </c>
      <c r="C2" s="1831"/>
      <c r="D2" s="1831"/>
      <c r="E2" s="1831"/>
      <c r="F2" s="1831"/>
      <c r="G2" s="1831"/>
      <c r="H2" s="1831"/>
      <c r="I2" s="1831"/>
      <c r="J2" s="1831"/>
      <c r="K2" s="1831"/>
      <c r="L2" s="1831"/>
      <c r="M2" s="1831"/>
      <c r="N2" s="1831"/>
      <c r="O2" s="1831"/>
      <c r="P2" s="1831"/>
      <c r="Q2" s="1831"/>
      <c r="R2" s="1831"/>
      <c r="S2" s="1831"/>
      <c r="T2" s="1831"/>
      <c r="U2" s="1831"/>
      <c r="V2" s="1831"/>
      <c r="W2" s="1831"/>
      <c r="X2" s="1831"/>
      <c r="Y2" s="1831"/>
      <c r="Z2" s="1831"/>
      <c r="AA2" s="1831"/>
      <c r="AB2" s="1831"/>
      <c r="AC2" s="1831"/>
      <c r="AD2" s="1831"/>
      <c r="AE2" s="1831"/>
      <c r="AF2" s="1831"/>
      <c r="AG2" s="1831"/>
      <c r="AH2" s="1831"/>
      <c r="AI2" s="1831"/>
      <c r="AJ2" s="1831"/>
      <c r="AK2" s="1831"/>
      <c r="AL2" s="1831"/>
      <c r="AM2" s="1831"/>
      <c r="AN2" s="1831"/>
      <c r="AO2" s="1831"/>
      <c r="AP2" s="1831"/>
      <c r="AQ2" s="1831"/>
      <c r="AR2" s="1831"/>
      <c r="AS2" s="1831"/>
      <c r="AT2" s="1831"/>
      <c r="AU2" s="1831"/>
      <c r="AV2" s="1831"/>
      <c r="AW2" s="1831"/>
      <c r="AX2" s="1831"/>
      <c r="AY2" s="1831"/>
      <c r="AZ2" s="1831"/>
      <c r="BA2" s="1831"/>
      <c r="BB2" s="1831"/>
      <c r="BC2" s="1831"/>
      <c r="BD2" s="1831"/>
      <c r="BE2" s="1831"/>
      <c r="BF2" s="1832"/>
    </row>
    <row r="3" spans="2:68" x14ac:dyDescent="0.25">
      <c r="B3" s="1833"/>
      <c r="C3" s="1797"/>
      <c r="D3" s="1797"/>
      <c r="E3" s="1797"/>
      <c r="F3" s="1797"/>
      <c r="G3" s="1797"/>
      <c r="H3" s="1797"/>
      <c r="I3" s="1797"/>
      <c r="J3" s="1797"/>
      <c r="K3" s="1797"/>
      <c r="L3" s="1797"/>
      <c r="M3" s="1797"/>
      <c r="N3" s="1797"/>
      <c r="O3" s="1797"/>
      <c r="P3" s="1797"/>
      <c r="Q3" s="1797"/>
      <c r="R3" s="1797"/>
      <c r="S3" s="1797"/>
      <c r="T3" s="1797"/>
      <c r="U3" s="1797"/>
      <c r="V3" s="1797"/>
      <c r="W3" s="1797"/>
      <c r="X3" s="1797"/>
      <c r="Y3" s="1797"/>
      <c r="Z3" s="1797"/>
      <c r="AA3" s="1797"/>
      <c r="AB3" s="1797"/>
      <c r="AC3" s="1797"/>
      <c r="AD3" s="1797"/>
      <c r="AE3" s="1797"/>
      <c r="AF3" s="1797"/>
      <c r="AG3" s="1797"/>
      <c r="AH3" s="1797"/>
      <c r="AI3" s="1797"/>
      <c r="AJ3" s="1797"/>
      <c r="AK3" s="1797"/>
      <c r="AL3" s="1797"/>
      <c r="AM3" s="1797"/>
      <c r="AN3" s="1797"/>
      <c r="AO3" s="1797"/>
      <c r="AP3" s="1797"/>
      <c r="AQ3" s="1797"/>
      <c r="AR3" s="1797"/>
      <c r="AS3" s="1797"/>
      <c r="AT3" s="1797"/>
      <c r="AU3" s="1797"/>
      <c r="AV3" s="1797"/>
      <c r="AW3" s="1797"/>
      <c r="AX3" s="1797"/>
      <c r="AY3" s="1797"/>
      <c r="AZ3" s="1797"/>
      <c r="BA3" s="1797"/>
      <c r="BB3" s="1797"/>
      <c r="BC3" s="1797"/>
      <c r="BD3" s="1797"/>
      <c r="BE3" s="1797"/>
      <c r="BF3" s="183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4" t="s">
        <v>645</v>
      </c>
      <c r="C8" s="1815"/>
      <c r="D8" s="1815"/>
      <c r="E8" s="1815"/>
      <c r="F8" s="1815"/>
      <c r="G8" s="1815"/>
      <c r="H8" s="1815"/>
      <c r="I8" s="1815"/>
      <c r="J8" s="1815"/>
      <c r="K8" s="1815"/>
      <c r="L8" s="1815"/>
      <c r="M8" s="1815"/>
      <c r="N8" s="1815"/>
      <c r="O8" s="1815"/>
      <c r="P8" s="1815"/>
      <c r="Q8" s="1815"/>
      <c r="R8" s="1815"/>
      <c r="S8" s="1815"/>
      <c r="T8" s="1815"/>
      <c r="U8" s="1815"/>
      <c r="V8" s="1815"/>
      <c r="W8" s="1815"/>
      <c r="X8" s="1815"/>
      <c r="Y8" s="1815"/>
      <c r="Z8" s="1815"/>
      <c r="AA8" s="1815"/>
      <c r="AB8" s="1815"/>
      <c r="AC8" s="1815"/>
      <c r="AD8" s="1815"/>
      <c r="AE8" s="1815"/>
      <c r="AF8" s="1815"/>
      <c r="AG8" s="1815"/>
      <c r="AH8" s="1815"/>
      <c r="AI8" s="1815"/>
      <c r="AJ8" s="1815"/>
      <c r="AK8" s="1815"/>
      <c r="AL8" s="1815"/>
      <c r="AM8" s="1815"/>
      <c r="AN8" s="1815"/>
      <c r="AO8" s="1815"/>
      <c r="AP8" s="1815"/>
      <c r="AQ8" s="1815"/>
      <c r="AR8" s="1815"/>
      <c r="AS8" s="1815"/>
      <c r="AT8" s="1815"/>
      <c r="AU8" s="1815"/>
      <c r="AV8" s="1815"/>
      <c r="AW8" s="1815"/>
      <c r="AX8" s="1815"/>
      <c r="AY8" s="1815"/>
      <c r="AZ8" s="1815"/>
      <c r="BA8" s="1815"/>
      <c r="BB8" s="1815"/>
      <c r="BC8" s="1815"/>
      <c r="BD8" s="1815"/>
      <c r="BE8" s="1815"/>
      <c r="BF8" s="1816"/>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0" t="s">
        <v>844</v>
      </c>
      <c r="C10" s="1713"/>
      <c r="D10" s="1713"/>
      <c r="E10" s="1713"/>
      <c r="F10" s="1713"/>
      <c r="G10" s="1713"/>
      <c r="H10" s="1713"/>
      <c r="I10" s="1713"/>
      <c r="J10" s="1713"/>
      <c r="K10" s="1806">
        <f>'Tracking &amp; Profitability'!$H$5</f>
        <v>0</v>
      </c>
      <c r="L10" s="1806"/>
      <c r="M10" s="1806"/>
      <c r="N10" s="1806"/>
      <c r="O10" s="1806"/>
      <c r="P10" s="1806"/>
      <c r="Q10" s="1806"/>
      <c r="R10" s="1806"/>
      <c r="S10" s="1806"/>
      <c r="T10" s="1806"/>
      <c r="U10" s="1806"/>
      <c r="V10" s="1806"/>
      <c r="W10" s="1806"/>
      <c r="X10" s="1806"/>
      <c r="Y10" s="1806"/>
      <c r="Z10" s="1806"/>
      <c r="AA10" s="1806"/>
      <c r="AB10" s="1806"/>
      <c r="AC10" s="1806"/>
      <c r="AD10" s="1806"/>
      <c r="AE10" s="1806"/>
      <c r="AI10" s="1713" t="s">
        <v>715</v>
      </c>
      <c r="AJ10" s="1713"/>
      <c r="AK10" s="1713"/>
      <c r="AL10" s="1713"/>
      <c r="AM10" s="1713"/>
      <c r="AN10" s="1713"/>
      <c r="AO10" s="1713"/>
      <c r="AP10" s="1713"/>
      <c r="AQ10" s="1713"/>
      <c r="AR10" s="1713"/>
      <c r="AT10" s="1825"/>
      <c r="AU10" s="1825"/>
      <c r="AV10" s="1825"/>
      <c r="AW10" s="1825"/>
      <c r="AX10" s="1825"/>
      <c r="AY10" s="1825"/>
      <c r="AZ10" s="1825"/>
      <c r="BA10" s="1825"/>
      <c r="BB10" s="1825"/>
      <c r="BC10" s="1825"/>
      <c r="BD10" s="1825"/>
      <c r="BF10" s="138"/>
    </row>
    <row r="11" spans="2:68" x14ac:dyDescent="0.25">
      <c r="B11" s="137"/>
      <c r="AL11" s="2"/>
      <c r="AM11" s="2"/>
      <c r="AN11" s="2"/>
      <c r="AO11" s="2"/>
      <c r="AP11" s="2"/>
      <c r="AQ11" s="2"/>
      <c r="AR11" s="2"/>
      <c r="AS11" s="2"/>
      <c r="AT11" s="2"/>
      <c r="AU11" s="2"/>
      <c r="AV11" s="2"/>
      <c r="BF11" s="138"/>
    </row>
    <row r="12" spans="2:68" x14ac:dyDescent="0.25">
      <c r="B12" s="1809" t="s">
        <v>845</v>
      </c>
      <c r="C12" s="1801"/>
      <c r="D12" s="1801"/>
      <c r="E12" s="1801"/>
      <c r="F12" s="1801"/>
      <c r="G12" s="1801"/>
      <c r="H12" s="1801"/>
      <c r="I12" s="1801"/>
      <c r="J12" s="1801"/>
      <c r="K12" s="1780">
        <f>'Required Info to Submit'!$F$4</f>
        <v>0</v>
      </c>
      <c r="L12" s="1780"/>
      <c r="M12" s="1780"/>
      <c r="N12" s="1780"/>
      <c r="O12" s="1780"/>
      <c r="P12" s="1780"/>
      <c r="Q12" s="1780"/>
      <c r="R12" s="1780"/>
      <c r="S12" s="1780"/>
      <c r="T12" s="1780"/>
      <c r="U12" s="1780"/>
      <c r="V12" s="1780"/>
      <c r="W12" s="1780"/>
      <c r="X12" s="1780"/>
      <c r="Y12" s="1780"/>
      <c r="Z12" s="1780"/>
      <c r="AA12" s="1780"/>
      <c r="AB12" s="1780"/>
      <c r="AC12" s="1780"/>
      <c r="AD12" s="1780"/>
      <c r="AE12" s="178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09" t="s">
        <v>856</v>
      </c>
      <c r="C14" s="1801"/>
      <c r="D14" s="1801"/>
      <c r="E14" s="1801"/>
      <c r="F14" s="1801"/>
      <c r="G14" s="1801"/>
      <c r="H14" s="1801"/>
      <c r="I14" s="1801"/>
      <c r="J14" s="1801"/>
      <c r="K14" s="1801"/>
      <c r="L14" s="1801"/>
      <c r="M14" s="1801"/>
      <c r="N14" s="1801"/>
      <c r="O14" s="1801"/>
      <c r="P14" s="1801"/>
      <c r="Q14" s="1801"/>
      <c r="R14" s="1820">
        <f>'Required Info to Submit'!$F$6</f>
        <v>0</v>
      </c>
      <c r="S14" s="1820"/>
      <c r="T14" s="1820"/>
      <c r="U14" s="1820"/>
      <c r="V14" s="1820"/>
      <c r="W14" s="1820"/>
      <c r="X14" s="1820"/>
      <c r="Y14" s="1820"/>
      <c r="Z14" s="1820"/>
      <c r="AA14" s="1820"/>
      <c r="AB14" s="1820"/>
      <c r="AC14" s="1820"/>
      <c r="AD14" s="1820"/>
      <c r="AE14" s="1820"/>
      <c r="AF14" s="1820"/>
      <c r="AG14" s="1820"/>
      <c r="AH14" s="1820"/>
      <c r="AI14" s="1820"/>
      <c r="AJ14" s="1820"/>
      <c r="AK14" s="1820"/>
      <c r="AL14" s="1820"/>
      <c r="AM14" s="1820"/>
      <c r="AN14" s="1820"/>
      <c r="AO14" s="1820"/>
      <c r="AP14" s="1820"/>
      <c r="AQ14" s="1820"/>
      <c r="AR14" s="1820"/>
      <c r="AS14" s="1820"/>
      <c r="AT14" s="1820"/>
      <c r="AU14" s="1820"/>
      <c r="AV14" s="1820"/>
      <c r="AW14" s="1820"/>
      <c r="AX14" s="1820"/>
      <c r="AY14" s="1820"/>
      <c r="AZ14" s="1820"/>
      <c r="BA14" s="1820"/>
      <c r="BB14" s="1820"/>
      <c r="BC14" s="1820"/>
      <c r="BD14" s="1820"/>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09" t="s">
        <v>714</v>
      </c>
      <c r="C16" s="1801"/>
      <c r="D16" s="1801"/>
      <c r="E16" s="1801"/>
      <c r="F16" s="1801"/>
      <c r="G16" s="1801"/>
      <c r="H16" s="1801"/>
      <c r="I16" s="1801"/>
      <c r="J16" s="1801"/>
      <c r="K16" s="1801"/>
      <c r="L16" s="1801"/>
      <c r="M16" s="1801"/>
      <c r="N16" s="1801"/>
      <c r="O16" s="1801"/>
      <c r="P16" s="1801"/>
      <c r="Q16" s="1801"/>
      <c r="R16" s="1780" t="s">
        <v>239</v>
      </c>
      <c r="S16" s="1780"/>
      <c r="T16" s="1797" t="s">
        <v>646</v>
      </c>
      <c r="U16" s="1797"/>
      <c r="V16" s="1797"/>
      <c r="W16" s="1797"/>
      <c r="X16" s="1797"/>
      <c r="Y16" s="1797"/>
      <c r="Z16" s="1797"/>
      <c r="AA16" s="1797"/>
      <c r="AB16" s="1797"/>
      <c r="AC16" s="1797"/>
      <c r="AD16" s="1797"/>
      <c r="AE16" s="1797"/>
      <c r="AF16" s="1797"/>
      <c r="AG16" s="1797"/>
      <c r="AH16" s="1797"/>
      <c r="AI16" s="1797"/>
      <c r="AJ16" s="1797"/>
      <c r="AK16" s="1797"/>
      <c r="AL16" s="1797"/>
      <c r="AO16" s="1797"/>
      <c r="AP16" s="1797"/>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1" t="s">
        <v>838</v>
      </c>
      <c r="C18" s="1822"/>
      <c r="D18" s="1822"/>
      <c r="E18" s="1822"/>
      <c r="F18" s="1822"/>
      <c r="G18" s="1822"/>
      <c r="H18" s="1822"/>
      <c r="I18" s="1822"/>
      <c r="J18" s="1822"/>
      <c r="K18" s="1822"/>
      <c r="L18" s="1822"/>
      <c r="M18" s="1822"/>
      <c r="N18" s="1822"/>
      <c r="O18" s="1822"/>
      <c r="P18" s="1822"/>
      <c r="Q18" s="1822"/>
      <c r="R18" s="1806">
        <f>'Required Info to Submit'!$F$8</f>
        <v>0</v>
      </c>
      <c r="S18" s="1806"/>
      <c r="T18" s="1806"/>
      <c r="U18" s="1806"/>
      <c r="V18" s="1806"/>
      <c r="W18" s="1806"/>
      <c r="X18" s="1806"/>
      <c r="Y18" s="1806"/>
      <c r="Z18" s="1806"/>
      <c r="AA18" s="1806"/>
      <c r="AB18" s="1806"/>
      <c r="AC18" s="1806"/>
      <c r="AD18" s="1806"/>
      <c r="AE18" s="1806"/>
      <c r="AF18" s="1806"/>
      <c r="AG18" s="1806"/>
      <c r="AH18" s="1806"/>
      <c r="AI18" s="1806"/>
      <c r="AJ18" s="1806"/>
      <c r="AK18" s="1806"/>
      <c r="AL18" s="1806"/>
      <c r="AN18" s="1801" t="s">
        <v>840</v>
      </c>
      <c r="AO18" s="1801"/>
      <c r="AP18" s="1801"/>
      <c r="AQ18" s="1801"/>
      <c r="AR18" s="1801"/>
      <c r="AS18" s="1801"/>
      <c r="AT18" s="1801"/>
      <c r="AU18" s="1801"/>
      <c r="AV18" s="1806">
        <f>'Required Info to Submit'!F10</f>
        <v>0</v>
      </c>
      <c r="AW18" s="1806"/>
      <c r="AX18" s="1806"/>
      <c r="AY18" s="1806"/>
      <c r="AZ18" s="1806"/>
      <c r="BA18" s="1806"/>
      <c r="BB18" s="1806"/>
      <c r="BC18" s="1806"/>
      <c r="BD18" s="1806"/>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09" t="s">
        <v>839</v>
      </c>
      <c r="C20" s="1801"/>
      <c r="D20" s="1801"/>
      <c r="E20" s="1801"/>
      <c r="F20" s="1801"/>
      <c r="G20" s="1801"/>
      <c r="H20" s="1801"/>
      <c r="I20" s="1801"/>
      <c r="J20" s="1801"/>
      <c r="K20" s="1801"/>
      <c r="L20" s="1801"/>
      <c r="M20" s="1801"/>
      <c r="N20" s="1801"/>
      <c r="O20" s="1801"/>
      <c r="P20" s="1801"/>
      <c r="Q20" s="1801"/>
      <c r="R20" s="1806">
        <f>'Required Info to Submit'!F9</f>
        <v>0</v>
      </c>
      <c r="S20" s="1806"/>
      <c r="T20" s="1806"/>
      <c r="U20" s="1806"/>
      <c r="V20" s="1806"/>
      <c r="W20" s="1806"/>
      <c r="X20" s="1806"/>
      <c r="Y20" s="1806"/>
      <c r="Z20" s="1806"/>
      <c r="AA20" s="1806"/>
      <c r="AB20" s="1806"/>
      <c r="AC20" s="1806"/>
      <c r="AD20" s="1806"/>
      <c r="AE20" s="1806"/>
      <c r="AF20" s="1806"/>
      <c r="AG20" s="1806"/>
      <c r="AH20" s="1806"/>
      <c r="AI20" s="1806"/>
      <c r="AJ20" s="1806"/>
      <c r="AK20" s="1806"/>
      <c r="AL20" s="1806"/>
      <c r="AN20" s="1801" t="s">
        <v>799</v>
      </c>
      <c r="AO20" s="1801"/>
      <c r="AP20" s="1801"/>
      <c r="AQ20" s="1801"/>
      <c r="AR20" s="1801"/>
      <c r="AS20" s="1801"/>
      <c r="AT20" s="1801"/>
      <c r="AU20" s="1801"/>
      <c r="AV20" s="1806">
        <f>'Required Info to Submit'!F11</f>
        <v>0</v>
      </c>
      <c r="AW20" s="1806"/>
      <c r="AX20" s="1806"/>
      <c r="AY20" s="1806"/>
      <c r="AZ20" s="1806"/>
      <c r="BA20" s="1806"/>
      <c r="BB20" s="1806"/>
      <c r="BC20" s="1806"/>
      <c r="BD20" s="1806"/>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09" t="s">
        <v>841</v>
      </c>
      <c r="C22" s="1801"/>
      <c r="D22" s="1801"/>
      <c r="E22" s="1801"/>
      <c r="F22" s="1801"/>
      <c r="G22" s="1801"/>
      <c r="H22" s="1801"/>
      <c r="I22" s="1801"/>
      <c r="J22" s="1801"/>
      <c r="K22" s="1801"/>
      <c r="L22" s="1801"/>
      <c r="M22" s="1801"/>
      <c r="N22" s="1801"/>
      <c r="O22" s="1801"/>
      <c r="P22" s="1801"/>
      <c r="Q22" s="1801"/>
      <c r="R22" s="1806">
        <f>'Required Info to Submit'!F12</f>
        <v>0</v>
      </c>
      <c r="S22" s="1806"/>
      <c r="T22" s="1806"/>
      <c r="U22" s="1806"/>
      <c r="V22" s="1806"/>
      <c r="W22" s="1806"/>
      <c r="X22" s="1806"/>
      <c r="Y22" s="1806"/>
      <c r="Z22" s="1806"/>
      <c r="AA22" s="1806"/>
      <c r="AB22" s="1806"/>
      <c r="AC22" s="1806"/>
      <c r="AD22" s="1806"/>
      <c r="AE22" s="1806"/>
      <c r="AF22" s="1806"/>
      <c r="AG22" s="1806"/>
      <c r="AH22" s="1806"/>
      <c r="AI22" s="1806"/>
      <c r="AJ22" s="1806"/>
      <c r="AK22" s="1806"/>
      <c r="AL22" s="1806"/>
      <c r="AN22" s="1801"/>
      <c r="AO22" s="1801"/>
      <c r="AP22" s="1801"/>
      <c r="AQ22" s="1801"/>
      <c r="AR22" s="1801"/>
      <c r="AS22" s="1801"/>
      <c r="AT22" s="1801"/>
      <c r="AU22" s="1801"/>
      <c r="AV22" s="1823"/>
      <c r="AW22" s="1823"/>
      <c r="AX22" s="1823"/>
      <c r="AY22" s="1823"/>
      <c r="AZ22" s="1823"/>
      <c r="BA22" s="1823"/>
      <c r="BB22" s="1823"/>
      <c r="BC22" s="1823"/>
      <c r="BD22" s="1823"/>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09" t="s">
        <v>842</v>
      </c>
      <c r="C24" s="1801"/>
      <c r="D24" s="1801"/>
      <c r="E24" s="1801"/>
      <c r="F24" s="1801"/>
      <c r="G24" s="1801"/>
      <c r="H24" s="1801"/>
      <c r="I24" s="1801"/>
      <c r="J24" s="1801"/>
      <c r="K24" s="1801"/>
      <c r="L24" s="1801"/>
      <c r="M24" s="1801"/>
      <c r="N24" s="1801"/>
      <c r="O24" s="1801"/>
      <c r="P24" s="1801"/>
      <c r="Q24" s="1801"/>
      <c r="R24" s="1818">
        <f>'Required Info to Submit'!$F$14</f>
        <v>0</v>
      </c>
      <c r="S24" s="1818"/>
      <c r="T24" s="1818"/>
      <c r="U24" s="1818"/>
      <c r="V24" s="1818"/>
      <c r="W24" s="1818"/>
      <c r="X24" s="1818"/>
      <c r="Y24" s="1818"/>
      <c r="Z24" s="1818"/>
      <c r="AA24" s="1818"/>
      <c r="AB24" s="1818"/>
      <c r="AC24" s="1818"/>
      <c r="AN24" s="1713" t="s">
        <v>846</v>
      </c>
      <c r="AO24" s="1713"/>
      <c r="AP24" s="1713"/>
      <c r="AQ24" s="1713"/>
      <c r="AR24" s="1713"/>
      <c r="AS24" s="1713"/>
      <c r="AT24" s="1713"/>
      <c r="AU24" s="1713"/>
      <c r="AV24" s="1824" t="str">
        <f>'Required Info to Submit'!$F$17</f>
        <v/>
      </c>
      <c r="AW24" s="1824"/>
      <c r="AX24" s="1824"/>
      <c r="AY24" s="1824"/>
      <c r="AZ24" s="1824"/>
      <c r="BA24" s="1824"/>
      <c r="BB24" s="1824"/>
      <c r="BC24" s="1824"/>
      <c r="BD24" s="1824"/>
      <c r="BF24" s="138"/>
    </row>
    <row r="25" spans="2:68" ht="17.25" x14ac:dyDescent="0.25">
      <c r="B25" s="137"/>
      <c r="C25" s="263"/>
      <c r="D25" s="263"/>
      <c r="E25" s="263"/>
      <c r="F25" s="263"/>
      <c r="G25" s="263"/>
      <c r="H25" s="1817" t="s">
        <v>713</v>
      </c>
      <c r="I25" s="1817"/>
      <c r="J25" s="1817"/>
      <c r="K25" s="1817"/>
      <c r="L25" s="1817"/>
      <c r="M25" s="1817"/>
      <c r="N25" s="1817"/>
      <c r="O25" s="1817"/>
      <c r="P25" s="1817"/>
      <c r="Q25" s="263"/>
      <c r="AN25" s="1817" t="s">
        <v>712</v>
      </c>
      <c r="AO25" s="1817"/>
      <c r="AP25" s="1817"/>
      <c r="AQ25" s="1817"/>
      <c r="AR25" s="1817"/>
      <c r="AS25" s="1817"/>
      <c r="AT25" s="1817"/>
      <c r="BF25" s="138"/>
    </row>
    <row r="26" spans="2:68" ht="18.75" x14ac:dyDescent="0.3">
      <c r="B26" s="1814" t="s">
        <v>650</v>
      </c>
      <c r="C26" s="1815"/>
      <c r="D26" s="1815"/>
      <c r="E26" s="1815"/>
      <c r="F26" s="1815"/>
      <c r="G26" s="1815"/>
      <c r="H26" s="1815"/>
      <c r="I26" s="1815"/>
      <c r="J26" s="1815"/>
      <c r="K26" s="1815"/>
      <c r="L26" s="1815"/>
      <c r="M26" s="1815"/>
      <c r="N26" s="1815"/>
      <c r="O26" s="1815"/>
      <c r="P26" s="1815"/>
      <c r="Q26" s="1815"/>
      <c r="R26" s="1815"/>
      <c r="S26" s="1815"/>
      <c r="T26" s="1815"/>
      <c r="U26" s="1815"/>
      <c r="V26" s="1815"/>
      <c r="W26" s="1815"/>
      <c r="X26" s="1815"/>
      <c r="Y26" s="1815"/>
      <c r="Z26" s="1815"/>
      <c r="AA26" s="1815"/>
      <c r="AB26" s="1815"/>
      <c r="AC26" s="1815"/>
      <c r="AD26" s="1815"/>
      <c r="AE26" s="1815"/>
      <c r="AF26" s="1815"/>
      <c r="AG26" s="1815"/>
      <c r="AH26" s="1815"/>
      <c r="AI26" s="1815"/>
      <c r="AJ26" s="1815"/>
      <c r="AK26" s="1815"/>
      <c r="AL26" s="1815"/>
      <c r="AM26" s="1815"/>
      <c r="AN26" s="1815"/>
      <c r="AO26" s="1815"/>
      <c r="AP26" s="1815"/>
      <c r="AQ26" s="1815"/>
      <c r="AR26" s="1815"/>
      <c r="AS26" s="1815"/>
      <c r="AT26" s="1815"/>
      <c r="AU26" s="1815"/>
      <c r="AV26" s="1815"/>
      <c r="AW26" s="1815"/>
      <c r="AX26" s="1815"/>
      <c r="AY26" s="1815"/>
      <c r="AZ26" s="1815"/>
      <c r="BA26" s="1815"/>
      <c r="BB26" s="1815"/>
      <c r="BC26" s="1815"/>
      <c r="BD26" s="1815"/>
      <c r="BE26" s="1815"/>
      <c r="BF26" s="1816"/>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7" t="s">
        <v>651</v>
      </c>
      <c r="C28" s="1808"/>
      <c r="D28" s="1808"/>
      <c r="E28" s="1808"/>
      <c r="F28" s="1808"/>
      <c r="G28" s="1808"/>
      <c r="H28" s="1808"/>
      <c r="I28" s="1808"/>
      <c r="J28" s="1808"/>
      <c r="K28" s="1808"/>
      <c r="L28" s="1808"/>
      <c r="M28" s="1808"/>
      <c r="N28" s="1808"/>
      <c r="O28" s="1808"/>
      <c r="P28" s="1808"/>
      <c r="Q28" s="1808"/>
      <c r="T28" s="1811">
        <f>'Tracking &amp; Profitability'!$E$6</f>
        <v>0</v>
      </c>
      <c r="U28" s="1811"/>
      <c r="V28" s="1811"/>
      <c r="W28" s="1811"/>
      <c r="X28" s="1811"/>
      <c r="Y28" s="1811"/>
      <c r="Z28" s="1811"/>
      <c r="AA28" s="1811"/>
      <c r="AB28" s="1811"/>
      <c r="AF28" t="s">
        <v>711</v>
      </c>
      <c r="AO28" s="1780">
        <f>Welcome!$D$26</f>
        <v>0</v>
      </c>
      <c r="AP28" s="1780"/>
      <c r="AQ28" s="1780"/>
      <c r="AR28" s="1797" t="s">
        <v>652</v>
      </c>
      <c r="AS28" s="1797"/>
      <c r="AU28" s="1780">
        <f>Welcome!$E$26</f>
        <v>0</v>
      </c>
      <c r="AV28" s="1780"/>
      <c r="AW28" s="1780"/>
      <c r="AX28" s="1797" t="s">
        <v>710</v>
      </c>
      <c r="AY28" s="1797"/>
      <c r="BA28" s="1780">
        <f>Welcome!$F$26</f>
        <v>0</v>
      </c>
      <c r="BB28" s="1780"/>
      <c r="BC28" s="1780"/>
      <c r="BD28" s="1797" t="s">
        <v>653</v>
      </c>
      <c r="BE28" s="1797"/>
      <c r="BF28" s="138"/>
    </row>
    <row r="29" spans="2:68" ht="17.25" x14ac:dyDescent="0.25">
      <c r="B29" s="137"/>
      <c r="T29" s="134"/>
      <c r="U29" s="134"/>
      <c r="V29" s="134"/>
      <c r="W29" s="134"/>
      <c r="X29" s="134"/>
      <c r="Y29" s="134"/>
      <c r="Z29" s="134"/>
      <c r="AA29" s="134"/>
      <c r="AB29" s="134"/>
      <c r="AF29" s="1817" t="s">
        <v>709</v>
      </c>
      <c r="AG29" s="1817"/>
      <c r="AH29" s="1817"/>
      <c r="AI29" s="1817"/>
      <c r="AJ29" s="1817"/>
      <c r="AK29" s="1817"/>
      <c r="AL29" s="1817"/>
      <c r="AM29" s="1817"/>
      <c r="AN29" s="1817"/>
      <c r="AO29" s="1817"/>
      <c r="AP29" s="1817"/>
      <c r="AQ29" s="1817"/>
      <c r="AR29" s="1817"/>
      <c r="AS29" s="1817"/>
      <c r="AT29" s="1817"/>
      <c r="AU29" s="1817"/>
      <c r="AV29" s="1817"/>
      <c r="AW29" s="1817"/>
      <c r="AX29" s="1817"/>
      <c r="AY29" s="1817"/>
      <c r="AZ29" s="1817"/>
      <c r="BA29" s="1817"/>
      <c r="BB29" s="1817"/>
      <c r="BC29" s="1817"/>
      <c r="BD29" s="1817"/>
      <c r="BE29" s="1817"/>
      <c r="BF29" s="138"/>
    </row>
    <row r="30" spans="2:68" x14ac:dyDescent="0.25">
      <c r="B30" s="1810" t="s">
        <v>706</v>
      </c>
      <c r="C30" s="1713"/>
      <c r="D30" s="1713"/>
      <c r="E30" s="1713"/>
      <c r="F30" s="1713"/>
      <c r="G30" s="1713"/>
      <c r="H30" s="1713"/>
      <c r="I30" s="1713"/>
      <c r="J30" s="1713"/>
      <c r="K30" s="1713"/>
      <c r="L30" s="1713"/>
      <c r="M30" s="1713"/>
      <c r="N30" s="1713"/>
      <c r="O30" s="1713"/>
      <c r="P30" s="1713"/>
      <c r="Q30" s="1713"/>
      <c r="T30" s="1813">
        <v>1</v>
      </c>
      <c r="U30" s="1813"/>
      <c r="V30" s="1813"/>
      <c r="W30" s="1813"/>
      <c r="AF30" s="1776" t="s">
        <v>708</v>
      </c>
      <c r="AG30" s="1776"/>
      <c r="AH30" s="1776"/>
      <c r="AI30" s="1776"/>
      <c r="AJ30" s="1776"/>
      <c r="AK30" s="1776"/>
      <c r="AL30" s="1776"/>
      <c r="AM30" s="1776"/>
      <c r="AN30" s="1776"/>
      <c r="AO30" s="1776"/>
      <c r="AP30" s="1780">
        <f>Welcome!$D$20</f>
        <v>0</v>
      </c>
      <c r="AQ30" s="1780"/>
      <c r="AR30" s="1780"/>
      <c r="AT30" s="1776" t="s">
        <v>707</v>
      </c>
      <c r="AU30" s="1776"/>
      <c r="AV30" s="1776"/>
      <c r="AW30" s="1776"/>
      <c r="AX30" s="1776"/>
      <c r="AY30" s="1776"/>
      <c r="AZ30" s="1776"/>
      <c r="BA30" s="1776"/>
      <c r="BB30" s="1776"/>
      <c r="BC30" s="1776"/>
      <c r="BF30" s="138"/>
    </row>
    <row r="31" spans="2:68" x14ac:dyDescent="0.25">
      <c r="B31" s="137"/>
      <c r="BF31" s="138"/>
      <c r="BP31" s="262"/>
    </row>
    <row r="32" spans="2:68" x14ac:dyDescent="0.25">
      <c r="B32" s="1810" t="s">
        <v>703</v>
      </c>
      <c r="C32" s="1713"/>
      <c r="D32" s="1713"/>
      <c r="E32" s="1713"/>
      <c r="F32" s="1713"/>
      <c r="G32" s="1713"/>
      <c r="H32" s="1713"/>
      <c r="I32" s="1713"/>
      <c r="J32" s="1713"/>
      <c r="K32" s="1713"/>
      <c r="L32" s="1713"/>
      <c r="M32" s="1713"/>
      <c r="N32" s="1713"/>
      <c r="O32" s="1713"/>
      <c r="P32" s="1713"/>
      <c r="Q32" s="1713"/>
      <c r="T32" s="1819" t="s">
        <v>974</v>
      </c>
      <c r="U32" s="1819"/>
      <c r="V32" s="1819"/>
      <c r="W32" s="1819"/>
      <c r="X32" s="1819"/>
      <c r="Y32" s="1819"/>
      <c r="Z32" s="1819"/>
      <c r="AA32" s="1819"/>
      <c r="AB32" s="1819"/>
      <c r="AC32" s="1819"/>
      <c r="AD32" s="1819"/>
      <c r="AE32" s="1819"/>
      <c r="AF32" s="1819"/>
      <c r="AG32" s="1819"/>
      <c r="AH32" s="1819"/>
      <c r="AI32" s="1819"/>
      <c r="AJ32" s="1819"/>
      <c r="AK32" s="1819"/>
      <c r="AL32" s="1819"/>
      <c r="AM32" s="1819"/>
      <c r="AN32" s="1819"/>
      <c r="AO32" s="1819"/>
      <c r="BF32" s="138"/>
    </row>
    <row r="33" spans="2:92" x14ac:dyDescent="0.25">
      <c r="B33" s="137"/>
      <c r="BF33" s="138"/>
    </row>
    <row r="34" spans="2:92" x14ac:dyDescent="0.25">
      <c r="B34" s="137"/>
      <c r="C34" s="82"/>
      <c r="D34" s="82"/>
      <c r="E34" s="82"/>
      <c r="F34" s="82"/>
      <c r="G34" s="82"/>
      <c r="H34" s="82"/>
      <c r="I34" s="1780"/>
      <c r="J34" s="1780"/>
      <c r="K34" s="1797" t="s">
        <v>482</v>
      </c>
      <c r="L34" s="1797"/>
      <c r="M34" s="1797"/>
      <c r="N34" s="1797"/>
      <c r="O34" s="1797"/>
      <c r="P34" s="1797"/>
      <c r="Q34" s="1797"/>
      <c r="R34" s="1780" t="s">
        <v>239</v>
      </c>
      <c r="S34" s="1780"/>
      <c r="T34" s="1797" t="s">
        <v>481</v>
      </c>
      <c r="U34" s="1797"/>
      <c r="V34" s="1797"/>
      <c r="W34" s="1797"/>
      <c r="X34" s="1780"/>
      <c r="Y34" s="1780"/>
      <c r="Z34" s="1797" t="s">
        <v>480</v>
      </c>
      <c r="AA34" s="1797"/>
      <c r="AB34" s="1797"/>
      <c r="AF34" t="s">
        <v>705</v>
      </c>
      <c r="AL34" s="1780">
        <f>Welcome!$H$26</f>
        <v>5</v>
      </c>
      <c r="AM34" s="1780"/>
      <c r="AN34" s="1780"/>
      <c r="AO34" t="s">
        <v>704</v>
      </c>
      <c r="BF34" s="138"/>
    </row>
    <row r="35" spans="2:92" x14ac:dyDescent="0.25">
      <c r="B35" s="137"/>
      <c r="BF35" s="138"/>
      <c r="BP35" s="264"/>
      <c r="CN35" s="262"/>
    </row>
    <row r="36" spans="2:92" x14ac:dyDescent="0.25">
      <c r="B36" s="1807" t="s">
        <v>702</v>
      </c>
      <c r="C36" s="1808"/>
      <c r="D36" s="1808"/>
      <c r="E36" s="1808"/>
      <c r="F36" s="1808"/>
      <c r="G36" s="1808"/>
      <c r="H36" s="1808"/>
      <c r="I36" s="1808"/>
      <c r="J36" s="1808"/>
      <c r="K36" s="1808"/>
      <c r="L36" s="1808"/>
      <c r="M36" s="1808"/>
      <c r="N36" s="1808"/>
      <c r="O36" s="1808"/>
      <c r="P36" s="1808"/>
      <c r="Q36" s="1808"/>
      <c r="R36" s="1808"/>
      <c r="T36" s="1788" t="str">
        <f>IFERROR($T$28/('Tracking &amp; Profitability'!$E$7*52*Welcome!$D$14),"Error on A La Carte")</f>
        <v>Error on A La Carte</v>
      </c>
      <c r="U36" s="1788"/>
      <c r="V36" s="1788"/>
      <c r="W36" s="1788"/>
      <c r="X36" s="1788"/>
      <c r="Y36" s="1788"/>
      <c r="Z36" s="1788"/>
      <c r="AA36" s="1788"/>
      <c r="AB36" s="1788"/>
      <c r="AF36" s="1808" t="s">
        <v>477</v>
      </c>
      <c r="AG36" s="1808"/>
      <c r="AH36" s="1808"/>
      <c r="AI36" s="1808"/>
      <c r="AJ36" s="1808"/>
      <c r="AK36" s="1808"/>
      <c r="AL36" s="1808"/>
      <c r="AM36" s="1808"/>
      <c r="AN36" s="1808"/>
      <c r="AO36" s="1808"/>
      <c r="AP36" s="1808"/>
      <c r="AQ36" s="1808"/>
      <c r="AR36" s="1808"/>
      <c r="AS36" s="1808"/>
      <c r="AU36" s="1780" t="e">
        <f>ROUND(((1-(('PIM Model'!$G$15+'PIM Model'!$G$17+'PIM Model'!$G$18)/'PIM Model'!$G$31))*100),0)&amp;"%/"&amp;ROUND((('PIM Model'!$G$15+'PIM Model'!$G$17+'PIM Model'!$G$18)/'PIM Model'!$G$31*100),0)&amp;"%"</f>
        <v>#DIV/0!</v>
      </c>
      <c r="AV36" s="1780"/>
      <c r="AW36" s="1780"/>
      <c r="AX36" s="1780"/>
      <c r="AY36" s="1780"/>
      <c r="AZ36" s="1780"/>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7" t="s">
        <v>700</v>
      </c>
      <c r="C38" s="1808"/>
      <c r="D38" s="1808"/>
      <c r="E38" s="1808"/>
      <c r="F38" s="1808"/>
      <c r="G38" s="1808"/>
      <c r="H38" s="1808"/>
      <c r="I38" s="1808"/>
      <c r="J38" s="1808"/>
      <c r="K38" s="1808"/>
      <c r="L38" s="1808"/>
      <c r="M38" s="1808"/>
      <c r="N38" s="1808"/>
      <c r="O38" s="1808"/>
      <c r="P38" s="1808"/>
      <c r="Q38" s="1808"/>
      <c r="R38" s="1808"/>
      <c r="T38" s="1789" t="str">
        <f>IFERROR('PIM Model'!$H$31/('PIM Model'!$E$6*52*Welcome!$D$14),"Error on A La Carte")</f>
        <v>Error on A La Carte</v>
      </c>
      <c r="U38" s="1789"/>
      <c r="V38" s="1789"/>
      <c r="W38" s="1789"/>
      <c r="X38" s="1789"/>
      <c r="Y38" s="1789"/>
      <c r="Z38" s="1789"/>
      <c r="AA38" s="1789"/>
      <c r="AB38" s="1789"/>
      <c r="AC38" s="265"/>
      <c r="AD38" s="265"/>
      <c r="AF38" s="1713" t="s">
        <v>654</v>
      </c>
      <c r="AG38" s="1713"/>
      <c r="AH38" s="1713"/>
      <c r="AI38" s="1713"/>
      <c r="AJ38" s="1713"/>
      <c r="AK38" s="1713"/>
      <c r="AL38" s="1713"/>
      <c r="AM38" s="1713"/>
      <c r="AN38" s="1713"/>
      <c r="AO38" s="1713"/>
      <c r="AP38" s="1713"/>
      <c r="AQ38" s="1713"/>
      <c r="AR38" s="1713"/>
      <c r="AS38" s="1713"/>
      <c r="AU38" s="1780">
        <f>COUNTIF('PIM Model'!$E$10:$E$30,"Include")</f>
        <v>21</v>
      </c>
      <c r="AV38" s="1780"/>
      <c r="AW38" s="1780"/>
      <c r="AX38" s="1780"/>
      <c r="AY38" s="1780"/>
      <c r="AZ38" s="1780"/>
      <c r="BF38" s="138"/>
    </row>
    <row r="39" spans="2:92" x14ac:dyDescent="0.25">
      <c r="B39" s="137"/>
      <c r="BF39" s="138"/>
    </row>
    <row r="40" spans="2:92" x14ac:dyDescent="0.25">
      <c r="B40" s="1807" t="s">
        <v>698</v>
      </c>
      <c r="C40" s="1808"/>
      <c r="D40" s="1808"/>
      <c r="E40" s="1808"/>
      <c r="F40" s="1808"/>
      <c r="G40" s="1808"/>
      <c r="H40" s="1808"/>
      <c r="I40" s="1808"/>
      <c r="J40" s="1808"/>
      <c r="K40" s="1808"/>
      <c r="L40" s="1808"/>
      <c r="M40" s="1808"/>
      <c r="N40" s="1808"/>
      <c r="O40" s="1808"/>
      <c r="P40" s="1808"/>
      <c r="Q40" s="1808"/>
      <c r="R40" s="1808"/>
      <c r="T40" s="1811">
        <f>IFERROR('PIM Model'!$G$31/'PIM Model'!$H$31,0)</f>
        <v>0</v>
      </c>
      <c r="U40" s="1811"/>
      <c r="V40" s="1811"/>
      <c r="W40" s="1811"/>
      <c r="X40" s="1811"/>
      <c r="Y40" s="1811"/>
      <c r="Z40" s="1811"/>
      <c r="AA40" s="1811"/>
      <c r="AB40" s="1811"/>
      <c r="AF40" s="1713" t="s">
        <v>701</v>
      </c>
      <c r="AG40" s="1713"/>
      <c r="AH40" s="1713"/>
      <c r="AI40" s="1713"/>
      <c r="AJ40" s="1713"/>
      <c r="AK40" s="1713"/>
      <c r="AL40" s="1713"/>
      <c r="AM40" s="1713"/>
      <c r="AN40" s="1713"/>
      <c r="AO40" s="1713"/>
      <c r="AP40" s="1713"/>
      <c r="AQ40" s="1713"/>
      <c r="AR40" s="1713"/>
      <c r="AS40" s="1713"/>
      <c r="AU40" s="1780">
        <f>Welcome!$G$26</f>
        <v>0</v>
      </c>
      <c r="AV40" s="1780"/>
      <c r="AW40" s="1780"/>
      <c r="BC40" s="1797"/>
      <c r="BD40" s="1797"/>
      <c r="BE40" s="1797"/>
      <c r="BF40" s="138"/>
    </row>
    <row r="41" spans="2:92" x14ac:dyDescent="0.25">
      <c r="B41" s="137"/>
      <c r="BF41" s="138"/>
      <c r="BP41" s="262"/>
      <c r="CN41" s="264"/>
    </row>
    <row r="42" spans="2:92" x14ac:dyDescent="0.25">
      <c r="B42" s="1810" t="s">
        <v>696</v>
      </c>
      <c r="C42" s="1713"/>
      <c r="D42" s="1713"/>
      <c r="E42" s="1713"/>
      <c r="F42" s="1713"/>
      <c r="G42" s="1713"/>
      <c r="H42" s="1713"/>
      <c r="I42" s="1713"/>
      <c r="J42" s="1713"/>
      <c r="K42" s="1713"/>
      <c r="L42" s="1713"/>
      <c r="M42" s="1713"/>
      <c r="N42" s="1713"/>
      <c r="O42" s="1713"/>
      <c r="P42" s="1713"/>
      <c r="Q42" s="1713"/>
      <c r="R42" s="1713"/>
      <c r="T42" s="1811" t="s">
        <v>731</v>
      </c>
      <c r="U42" s="1811"/>
      <c r="V42" s="1811"/>
      <c r="W42" s="1811"/>
      <c r="X42" s="1811"/>
      <c r="Y42" s="1811"/>
      <c r="Z42" s="1811"/>
      <c r="AA42" s="1811"/>
      <c r="AB42" s="1811"/>
      <c r="AF42" s="1713" t="s">
        <v>699</v>
      </c>
      <c r="AG42" s="1713"/>
      <c r="AH42" s="1713"/>
      <c r="AI42" s="1713"/>
      <c r="AJ42" s="1713"/>
      <c r="AK42" s="1713"/>
      <c r="AL42" s="1713"/>
      <c r="AM42" s="1713"/>
      <c r="AN42" s="1713"/>
      <c r="AO42" s="1713"/>
      <c r="AP42" s="1713"/>
      <c r="AQ42" s="1713"/>
      <c r="AR42" s="1713"/>
      <c r="AS42" s="1713"/>
      <c r="AU42" s="1780" t="s">
        <v>647</v>
      </c>
      <c r="AV42" s="1780"/>
      <c r="AW42" s="1780"/>
      <c r="BC42" s="1797"/>
      <c r="BD42" s="1797"/>
      <c r="BE42" s="1797"/>
      <c r="BF42" s="138"/>
    </row>
    <row r="43" spans="2:92" x14ac:dyDescent="0.25">
      <c r="B43" s="137"/>
      <c r="BF43" s="138"/>
      <c r="BP43" s="262"/>
      <c r="CN43" s="264"/>
    </row>
    <row r="44" spans="2:92" x14ac:dyDescent="0.25">
      <c r="B44" s="1807" t="s">
        <v>694</v>
      </c>
      <c r="C44" s="1808"/>
      <c r="D44" s="1808"/>
      <c r="E44" s="1808"/>
      <c r="F44" s="1808"/>
      <c r="G44" s="1808"/>
      <c r="H44" s="1808"/>
      <c r="I44" s="1808"/>
      <c r="J44" s="1808"/>
      <c r="K44" s="1808"/>
      <c r="L44" s="1808"/>
      <c r="M44" s="1808"/>
      <c r="N44" s="1808"/>
      <c r="O44" s="1808"/>
      <c r="P44" s="1808"/>
      <c r="Q44" s="1808"/>
      <c r="R44" s="1808"/>
      <c r="T44" s="1812">
        <f>'Tracking &amp; Profitability'!$E$7</f>
        <v>0</v>
      </c>
      <c r="U44" s="1812"/>
      <c r="V44" s="1812"/>
      <c r="W44" s="1812"/>
      <c r="X44" s="1812"/>
      <c r="Y44" s="1812"/>
      <c r="Z44" s="1812"/>
      <c r="AA44" s="1812"/>
      <c r="AB44" s="1812"/>
      <c r="AF44" s="1713" t="s">
        <v>697</v>
      </c>
      <c r="AG44" s="1713"/>
      <c r="AH44" s="1713"/>
      <c r="AI44" s="1713"/>
      <c r="AJ44" s="1713"/>
      <c r="AK44" s="1713"/>
      <c r="AL44" s="1713"/>
      <c r="AM44" s="1713"/>
      <c r="AN44" s="1713"/>
      <c r="AO44" s="1713"/>
      <c r="AP44" s="1713"/>
      <c r="AQ44" s="1713"/>
      <c r="AR44" s="1713"/>
      <c r="AS44" s="1713"/>
      <c r="AU44" s="1780" t="s">
        <v>647</v>
      </c>
      <c r="AV44" s="1780"/>
      <c r="AW44" s="1780"/>
      <c r="BC44" s="1797"/>
      <c r="BD44" s="1797"/>
      <c r="BE44" s="1797"/>
      <c r="BF44" s="138"/>
    </row>
    <row r="45" spans="2:92" x14ac:dyDescent="0.25">
      <c r="B45" s="137"/>
      <c r="BF45" s="138"/>
      <c r="CN45" s="264"/>
    </row>
    <row r="46" spans="2:92" x14ac:dyDescent="0.25">
      <c r="B46" s="1803" t="s">
        <v>655</v>
      </c>
      <c r="C46" s="1804"/>
      <c r="D46" s="1804"/>
      <c r="E46" s="1804"/>
      <c r="F46" s="1804"/>
      <c r="G46" s="1804"/>
      <c r="H46" s="1804"/>
      <c r="I46" s="1804"/>
      <c r="J46" s="1804"/>
      <c r="K46" s="1804"/>
      <c r="L46" s="1804"/>
      <c r="M46" s="1804"/>
      <c r="N46" s="1804"/>
      <c r="O46" s="1804"/>
      <c r="P46" s="1804"/>
      <c r="Q46" s="1804"/>
      <c r="R46" s="1804"/>
      <c r="T46" s="1805">
        <f>'Agreement Worksheet'!$C$10</f>
        <v>500</v>
      </c>
      <c r="U46" s="1806"/>
      <c r="V46" s="1806"/>
      <c r="W46" s="1806"/>
      <c r="X46" s="1806"/>
      <c r="Y46" s="1806"/>
      <c r="Z46" s="1806"/>
      <c r="AA46" s="1806"/>
      <c r="AB46" s="1806"/>
      <c r="AF46" s="1786" t="s">
        <v>695</v>
      </c>
      <c r="AG46" s="1786"/>
      <c r="AH46" s="1786"/>
      <c r="AI46" s="1786"/>
      <c r="AJ46" s="1786"/>
      <c r="AK46" s="1786"/>
      <c r="AL46" s="1786"/>
      <c r="AM46" s="1786"/>
      <c r="AN46" s="1786"/>
      <c r="AO46" s="1786"/>
      <c r="AP46" s="1786"/>
      <c r="AQ46" s="1786"/>
      <c r="AR46" s="1786"/>
      <c r="AS46" s="1786"/>
      <c r="AU46" s="1793">
        <f>'Agreement Worksheet'!$C$13/100</f>
        <v>0.3</v>
      </c>
      <c r="AV46" s="1793"/>
      <c r="AW46" s="1793"/>
      <c r="AX46" s="1793"/>
      <c r="AY46" s="1793"/>
      <c r="AZ46" s="1793"/>
      <c r="BF46" s="138"/>
    </row>
    <row r="47" spans="2:92" x14ac:dyDescent="0.25">
      <c r="B47" s="137"/>
      <c r="BF47" s="138"/>
      <c r="CN47" s="264"/>
    </row>
    <row r="48" spans="2:92" x14ac:dyDescent="0.25">
      <c r="B48" s="1807" t="s">
        <v>478</v>
      </c>
      <c r="C48" s="1808"/>
      <c r="D48" s="1808"/>
      <c r="E48" s="1808"/>
      <c r="F48" s="1808"/>
      <c r="G48" s="1808"/>
      <c r="H48" s="1808"/>
      <c r="I48" s="1808"/>
      <c r="J48" s="1808"/>
      <c r="K48" s="1808"/>
      <c r="L48" s="1808"/>
      <c r="M48" s="1808"/>
      <c r="N48" s="1808"/>
      <c r="O48" s="1808"/>
      <c r="P48" s="1808"/>
      <c r="Q48" s="1808"/>
      <c r="R48" s="1808"/>
      <c r="T48" s="1806">
        <f>$K$10</f>
        <v>0</v>
      </c>
      <c r="U48" s="1806"/>
      <c r="V48" s="1806"/>
      <c r="W48" s="1806"/>
      <c r="X48" s="1806"/>
      <c r="Y48" s="1806"/>
      <c r="Z48" s="1806"/>
      <c r="AA48" s="1806"/>
      <c r="AB48" s="1806"/>
      <c r="AF48" s="1786" t="s">
        <v>693</v>
      </c>
      <c r="AG48" s="1786"/>
      <c r="AH48" s="1786"/>
      <c r="AI48" s="1786"/>
      <c r="AJ48" s="1786"/>
      <c r="AK48" s="1786"/>
      <c r="AL48" s="1786"/>
      <c r="AM48" s="1786"/>
      <c r="AN48" s="1786"/>
      <c r="AO48" s="1786"/>
      <c r="AP48" s="1786"/>
      <c r="AQ48" s="1786"/>
      <c r="AR48" s="1786"/>
      <c r="AS48" s="1786"/>
      <c r="AU48" s="1778">
        <f>'Agreement Worksheet'!$F$13</f>
        <v>2.25</v>
      </c>
      <c r="AV48" s="1779"/>
      <c r="AW48" s="1779"/>
      <c r="AX48" s="1779"/>
      <c r="AY48" s="1779"/>
      <c r="AZ48" s="1779"/>
      <c r="BF48" s="138"/>
    </row>
    <row r="49" spans="2:92" x14ac:dyDescent="0.25">
      <c r="B49" s="137"/>
      <c r="BF49" s="138"/>
      <c r="CN49" s="264"/>
    </row>
    <row r="50" spans="2:92" x14ac:dyDescent="0.25">
      <c r="B50" s="1785" t="s">
        <v>692</v>
      </c>
      <c r="C50" s="1786"/>
      <c r="D50" s="1786"/>
      <c r="E50" s="1786"/>
      <c r="F50" s="1786"/>
      <c r="G50" s="1786"/>
      <c r="H50" s="1786"/>
      <c r="I50" s="1786"/>
      <c r="J50" s="1786"/>
      <c r="K50" s="1786"/>
      <c r="L50" s="1786"/>
      <c r="M50" s="1786"/>
      <c r="N50" s="1786"/>
      <c r="O50" s="1786"/>
      <c r="P50" s="1786"/>
      <c r="Q50" s="1786"/>
      <c r="R50" s="1786"/>
      <c r="T50" s="1787">
        <f>'Agreement Worksheet'!$E$10</f>
        <v>500</v>
      </c>
      <c r="U50" s="1787"/>
      <c r="V50" s="1787"/>
      <c r="W50" s="1787"/>
      <c r="X50" s="1787"/>
      <c r="Y50" s="1787"/>
      <c r="Z50" s="1713" t="s">
        <v>691</v>
      </c>
      <c r="AA50" s="1713"/>
      <c r="AB50" s="1713"/>
      <c r="AC50" s="1787">
        <f>'Agreement Worksheet'!$F$10</f>
        <v>35</v>
      </c>
      <c r="AD50" s="1787"/>
      <c r="AE50" s="1787"/>
      <c r="AF50" s="1787"/>
      <c r="AG50" s="178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0" t="s">
        <v>675</v>
      </c>
      <c r="C53" s="1791"/>
      <c r="D53" s="1791"/>
      <c r="E53" s="1791"/>
      <c r="F53" s="1791"/>
      <c r="G53" s="1791"/>
      <c r="H53" s="1791"/>
      <c r="I53" s="1791"/>
      <c r="J53" s="1791"/>
      <c r="K53" s="1791"/>
      <c r="L53" s="1791"/>
      <c r="M53" s="1791"/>
      <c r="N53" s="1791"/>
      <c r="O53" s="1791"/>
      <c r="P53" s="1791"/>
      <c r="Q53" s="1791"/>
      <c r="R53" s="1791"/>
      <c r="S53" s="1791"/>
      <c r="T53" s="1791"/>
      <c r="U53" s="1791"/>
      <c r="V53" s="1791"/>
      <c r="W53" s="1791"/>
      <c r="X53" s="1791"/>
      <c r="Y53" s="1791"/>
      <c r="Z53" s="1791"/>
      <c r="AA53" s="1791"/>
      <c r="AB53" s="1791"/>
      <c r="AC53" s="1791"/>
      <c r="AD53" s="1791"/>
      <c r="AE53" s="1791"/>
      <c r="AF53" s="1791"/>
      <c r="AG53" s="1791"/>
      <c r="AH53" s="1791"/>
      <c r="AI53" s="1791"/>
      <c r="AJ53" s="1791"/>
      <c r="AK53" s="1791"/>
      <c r="AL53" s="1791"/>
      <c r="AM53" s="1791"/>
      <c r="AN53" s="1791"/>
      <c r="AO53" s="1791"/>
      <c r="AP53" s="1791"/>
      <c r="AQ53" s="1791"/>
      <c r="AR53" s="1791"/>
      <c r="AS53" s="1791"/>
      <c r="AT53" s="1791"/>
      <c r="AU53" s="1791"/>
      <c r="AV53" s="1791"/>
      <c r="AW53" s="1791"/>
      <c r="AX53" s="1791"/>
      <c r="AY53" s="1791"/>
      <c r="AZ53" s="1791"/>
      <c r="BA53" s="1791"/>
      <c r="BB53" s="1791"/>
      <c r="BC53" s="1791"/>
      <c r="BD53" s="1791"/>
      <c r="BE53" s="1791"/>
      <c r="BF53" s="1792"/>
    </row>
    <row r="54" spans="2:92" x14ac:dyDescent="0.25">
      <c r="B54" s="1794" t="s">
        <v>690</v>
      </c>
      <c r="C54" s="1795"/>
      <c r="D54" s="1795"/>
      <c r="E54" s="1795"/>
      <c r="F54" s="1795"/>
      <c r="G54" s="1795"/>
      <c r="H54" s="1795"/>
      <c r="I54" s="1795"/>
      <c r="J54" s="1795"/>
      <c r="K54" s="1795"/>
      <c r="L54" s="1795"/>
      <c r="M54" s="1795"/>
      <c r="N54" s="1795"/>
      <c r="O54" s="1795"/>
      <c r="P54" s="1795"/>
      <c r="Q54" s="1795"/>
      <c r="R54" s="1795"/>
      <c r="S54" s="1795"/>
      <c r="T54" s="1795"/>
      <c r="U54" s="1795"/>
      <c r="V54" s="1795"/>
      <c r="W54" s="1795"/>
      <c r="X54" s="1795"/>
      <c r="Y54" s="1795"/>
      <c r="Z54" s="1795"/>
      <c r="AA54" s="1795"/>
      <c r="AB54" s="1795"/>
      <c r="AC54" s="1795"/>
      <c r="AD54" s="1795"/>
      <c r="AE54" s="1795"/>
      <c r="AF54" s="1795"/>
      <c r="AG54" s="1795"/>
      <c r="AH54" s="1795"/>
      <c r="AI54" s="1795"/>
      <c r="AJ54" s="1795"/>
      <c r="AK54" s="1795"/>
      <c r="AL54" s="1795"/>
      <c r="AM54" s="1795"/>
      <c r="AN54" s="1795"/>
      <c r="AO54" s="1795"/>
      <c r="AP54" s="1795"/>
      <c r="AQ54" s="1795"/>
      <c r="AR54" s="1795"/>
      <c r="AS54" s="1795"/>
      <c r="AT54" s="1795"/>
      <c r="AU54" s="1795"/>
      <c r="AV54" s="1795"/>
      <c r="AW54" s="1795"/>
      <c r="AX54" s="1795"/>
      <c r="AY54" s="1795"/>
      <c r="AZ54" s="1795"/>
      <c r="BA54" s="1795"/>
      <c r="BB54" s="1795"/>
      <c r="BC54" s="1795"/>
      <c r="BD54" s="1795"/>
      <c r="BE54" s="1795"/>
      <c r="BF54" s="1796"/>
      <c r="BP54" s="262"/>
    </row>
    <row r="55" spans="2:92" x14ac:dyDescent="0.25">
      <c r="B55" s="137"/>
      <c r="AC55" s="267"/>
      <c r="AD55" s="267"/>
      <c r="AE55" s="267"/>
      <c r="AF55" s="267"/>
      <c r="AG55" s="267"/>
      <c r="AH55" s="267"/>
      <c r="AK55" s="1801"/>
      <c r="AL55" s="1801"/>
      <c r="AM55" s="1801"/>
      <c r="AN55" s="1801"/>
      <c r="AO55" s="1661"/>
      <c r="AP55" s="1661"/>
      <c r="AQ55" s="1661"/>
      <c r="AR55" s="134"/>
      <c r="AS55" s="134"/>
      <c r="AT55" s="1661"/>
      <c r="AU55" s="1661"/>
      <c r="AV55" s="1661"/>
      <c r="AW55" s="134"/>
      <c r="AX55" s="134"/>
      <c r="AY55" s="1661"/>
      <c r="AZ55" s="1661"/>
      <c r="BA55" s="1661"/>
      <c r="BB55" s="134"/>
      <c r="BC55" s="134"/>
      <c r="BD55" s="1661"/>
      <c r="BE55" s="1661"/>
      <c r="BF55" s="1777"/>
      <c r="BP55" s="268"/>
    </row>
    <row r="56" spans="2:92" x14ac:dyDescent="0.25">
      <c r="B56" s="137"/>
      <c r="C56" s="1776" t="s">
        <v>103</v>
      </c>
      <c r="D56" s="1776"/>
      <c r="E56" s="1776"/>
      <c r="F56" s="1776"/>
      <c r="G56" s="1776"/>
      <c r="H56" s="1776"/>
      <c r="I56" s="1776"/>
      <c r="J56" s="1776"/>
      <c r="K56" s="1776"/>
      <c r="L56" s="1776"/>
      <c r="M56" s="1776"/>
      <c r="N56" s="1776"/>
      <c r="O56" s="1776"/>
      <c r="P56" s="1776"/>
      <c r="Q56" s="1776"/>
      <c r="R56" s="1776"/>
      <c r="S56" s="1776"/>
      <c r="T56" s="1776"/>
      <c r="U56" s="1776"/>
      <c r="V56" s="1776"/>
      <c r="W56" s="1776"/>
      <c r="X56" s="1776"/>
      <c r="Y56" s="1776"/>
      <c r="Z56" s="1776"/>
      <c r="AC56" s="1780" t="str">
        <f>'PIM Model'!$AD$11</f>
        <v/>
      </c>
      <c r="AD56" s="1780"/>
      <c r="AE56" s="1780" t="str">
        <f>'PIM Model'!$D$11</f>
        <v>%</v>
      </c>
      <c r="AF56" s="1780"/>
      <c r="AG56" s="1780" t="str">
        <f>'PIM Model'!$D$11</f>
        <v>%</v>
      </c>
      <c r="AH56" s="1780"/>
      <c r="AI56" s="1797" t="str">
        <f>'PIM Model'!$D$11</f>
        <v>%</v>
      </c>
      <c r="AJ56" s="1797"/>
      <c r="AK56" s="134"/>
      <c r="AL56" s="134"/>
      <c r="AM56" s="134"/>
      <c r="AN56" s="134"/>
      <c r="AO56" s="1661"/>
      <c r="AP56" s="1661"/>
      <c r="AQ56" s="1661"/>
      <c r="AR56" s="134"/>
      <c r="AS56" s="134"/>
      <c r="AT56" s="1661"/>
      <c r="AU56" s="1661"/>
      <c r="AV56" s="1661"/>
      <c r="AW56" s="134"/>
      <c r="AX56" s="134"/>
      <c r="AY56" s="1661"/>
      <c r="AZ56" s="1661"/>
      <c r="BA56" s="1661"/>
      <c r="BB56" s="134"/>
      <c r="BC56" s="134"/>
      <c r="BD56" s="1661"/>
      <c r="BE56" s="1661"/>
      <c r="BF56" s="1777"/>
      <c r="BP56" s="262"/>
    </row>
    <row r="57" spans="2:92" x14ac:dyDescent="0.25">
      <c r="B57" s="137"/>
      <c r="C57" s="1776" t="s">
        <v>102</v>
      </c>
      <c r="D57" s="1776"/>
      <c r="E57" s="1776"/>
      <c r="F57" s="1776"/>
      <c r="G57" s="1776"/>
      <c r="H57" s="1776"/>
      <c r="I57" s="1776"/>
      <c r="J57" s="1776"/>
      <c r="K57" s="1776"/>
      <c r="L57" s="1776"/>
      <c r="M57" s="1776"/>
      <c r="N57" s="1776"/>
      <c r="O57" s="1776"/>
      <c r="P57" s="1776"/>
      <c r="Q57" s="1776"/>
      <c r="R57" s="1776"/>
      <c r="S57" s="1776"/>
      <c r="T57" s="1776"/>
      <c r="U57" s="1776"/>
      <c r="V57" s="1776"/>
      <c r="W57" s="1776"/>
      <c r="X57" s="1776"/>
      <c r="Y57" s="1776"/>
      <c r="Z57" s="1776"/>
      <c r="AC57" s="1800" t="str">
        <f>'PIM Model'!$AD$13</f>
        <v/>
      </c>
      <c r="AD57" s="1800"/>
      <c r="AE57" s="1800" t="str">
        <f>'PIM Model'!$D$13</f>
        <v>%</v>
      </c>
      <c r="AF57" s="1800"/>
      <c r="AG57" s="1800" t="str">
        <f>'PIM Model'!$D$13</f>
        <v>%</v>
      </c>
      <c r="AH57" s="1800"/>
      <c r="AI57" s="1797" t="str">
        <f>'PIM Model'!$D$13</f>
        <v>%</v>
      </c>
      <c r="AJ57" s="179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76" t="s">
        <v>101</v>
      </c>
      <c r="D58" s="1776"/>
      <c r="E58" s="1776"/>
      <c r="F58" s="1776"/>
      <c r="G58" s="1776"/>
      <c r="H58" s="1776"/>
      <c r="I58" s="1776"/>
      <c r="J58" s="1776"/>
      <c r="K58" s="1776"/>
      <c r="L58" s="1776"/>
      <c r="M58" s="1776"/>
      <c r="N58" s="1776"/>
      <c r="O58" s="1776"/>
      <c r="P58" s="1776"/>
      <c r="Q58" s="1776"/>
      <c r="R58" s="1776"/>
      <c r="S58" s="1776"/>
      <c r="T58" s="1776"/>
      <c r="U58" s="1776"/>
      <c r="V58" s="1776"/>
      <c r="W58" s="1776"/>
      <c r="X58" s="1776"/>
      <c r="Y58" s="1776"/>
      <c r="Z58" s="1776"/>
      <c r="AC58" s="1800" t="str">
        <f>'PIM Model'!$AD$19</f>
        <v/>
      </c>
      <c r="AD58" s="1800"/>
      <c r="AE58" s="1800" t="str">
        <f>'PIM Model'!$D$19</f>
        <v>%</v>
      </c>
      <c r="AF58" s="1800"/>
      <c r="AG58" s="1800" t="str">
        <f>'PIM Model'!$D$19</f>
        <v>%</v>
      </c>
      <c r="AH58" s="1800"/>
      <c r="AI58" s="1797" t="str">
        <f>'PIM Model'!$D$19</f>
        <v>%</v>
      </c>
      <c r="AJ58" s="179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76" t="s">
        <v>100</v>
      </c>
      <c r="D59" s="1776"/>
      <c r="E59" s="1776"/>
      <c r="F59" s="1776"/>
      <c r="G59" s="1776"/>
      <c r="H59" s="1776"/>
      <c r="I59" s="1776"/>
      <c r="J59" s="1776"/>
      <c r="K59" s="1776"/>
      <c r="L59" s="1776"/>
      <c r="M59" s="1776"/>
      <c r="N59" s="1776"/>
      <c r="O59" s="1776"/>
      <c r="P59" s="1776"/>
      <c r="Q59" s="1776"/>
      <c r="R59" s="1776"/>
      <c r="S59" s="1776"/>
      <c r="T59" s="1776"/>
      <c r="U59" s="1776"/>
      <c r="V59" s="1776"/>
      <c r="W59" s="1776"/>
      <c r="X59" s="1776"/>
      <c r="Y59" s="1776"/>
      <c r="Z59" s="1776"/>
      <c r="AC59" s="1800" t="str">
        <f>'PIM Model'!$AD$14</f>
        <v/>
      </c>
      <c r="AD59" s="1800"/>
      <c r="AE59" s="1800" t="str">
        <f>'PIM Model'!$D$14</f>
        <v>%</v>
      </c>
      <c r="AF59" s="1800"/>
      <c r="AG59" s="1800" t="str">
        <f>'PIM Model'!$D$14</f>
        <v>%</v>
      </c>
      <c r="AH59" s="1800"/>
      <c r="AI59" s="1797" t="str">
        <f>'PIM Model'!$D$14</f>
        <v>%</v>
      </c>
      <c r="AJ59" s="179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76" t="s">
        <v>104</v>
      </c>
      <c r="D60" s="1776"/>
      <c r="E60" s="1776"/>
      <c r="F60" s="1776"/>
      <c r="G60" s="1776"/>
      <c r="H60" s="1776"/>
      <c r="I60" s="1776"/>
      <c r="J60" s="1776"/>
      <c r="K60" s="1776"/>
      <c r="L60" s="1776"/>
      <c r="M60" s="1776"/>
      <c r="N60" s="1776"/>
      <c r="O60" s="1776"/>
      <c r="P60" s="1776"/>
      <c r="Q60" s="1776"/>
      <c r="R60" s="1776"/>
      <c r="S60" s="1776"/>
      <c r="T60" s="1776"/>
      <c r="U60" s="1776"/>
      <c r="V60" s="1776"/>
      <c r="W60" s="1776"/>
      <c r="X60" s="1776"/>
      <c r="Y60" s="1776"/>
      <c r="Z60" s="1776"/>
      <c r="AC60" s="1800" t="str">
        <f>'PIM Model'!$AD$15</f>
        <v/>
      </c>
      <c r="AD60" s="1800"/>
      <c r="AE60" s="1800" t="str">
        <f>'PIM Model'!$D$15</f>
        <v>%</v>
      </c>
      <c r="AF60" s="1800"/>
      <c r="AG60" s="1800" t="str">
        <f>'PIM Model'!$D$15</f>
        <v>%</v>
      </c>
      <c r="AH60" s="1800"/>
      <c r="AI60" s="1797" t="str">
        <f>'PIM Model'!$D$15</f>
        <v>%</v>
      </c>
      <c r="AJ60" s="179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76" t="s">
        <v>99</v>
      </c>
      <c r="D61" s="1776"/>
      <c r="E61" s="1776"/>
      <c r="F61" s="1776"/>
      <c r="G61" s="1776"/>
      <c r="H61" s="1776"/>
      <c r="I61" s="1776"/>
      <c r="J61" s="1776"/>
      <c r="K61" s="1776"/>
      <c r="L61" s="1776"/>
      <c r="M61" s="1776"/>
      <c r="N61" s="1776"/>
      <c r="O61" s="1776"/>
      <c r="P61" s="1776"/>
      <c r="Q61" s="1776"/>
      <c r="R61" s="1776"/>
      <c r="S61" s="1776"/>
      <c r="T61" s="1776"/>
      <c r="U61" s="1776"/>
      <c r="V61" s="1776"/>
      <c r="W61" s="1776"/>
      <c r="X61" s="1776"/>
      <c r="Y61" s="1776"/>
      <c r="Z61" s="1776"/>
      <c r="AC61" s="1800" t="str">
        <f>'PIM Model'!$AD$10</f>
        <v/>
      </c>
      <c r="AD61" s="1800"/>
      <c r="AE61" s="1800" t="str">
        <f>'PIM Model'!$D$10</f>
        <v>%</v>
      </c>
      <c r="AF61" s="1800"/>
      <c r="AG61" s="1800" t="str">
        <f>'PIM Model'!$D$10</f>
        <v>%</v>
      </c>
      <c r="AH61" s="1800"/>
      <c r="AI61" s="1797" t="str">
        <f>'PIM Model'!$D$10</f>
        <v>%</v>
      </c>
      <c r="AJ61" s="179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89" t="s">
        <v>98</v>
      </c>
      <c r="D62" s="1589"/>
      <c r="E62" s="1589"/>
      <c r="F62" s="1589"/>
      <c r="G62" s="1589"/>
      <c r="H62" s="1589"/>
      <c r="I62" s="1589"/>
      <c r="J62" s="1589"/>
      <c r="K62" s="1589"/>
      <c r="L62" s="1589"/>
      <c r="M62" s="1589"/>
      <c r="N62" s="1589"/>
      <c r="O62" s="1589"/>
      <c r="P62" s="1589"/>
      <c r="Q62" s="1589"/>
      <c r="R62" s="1589"/>
      <c r="S62" s="1589"/>
      <c r="T62" s="1589"/>
      <c r="U62" s="1589"/>
      <c r="V62" s="1589"/>
      <c r="W62" s="1589"/>
      <c r="X62" s="1589"/>
      <c r="Y62" s="1589"/>
      <c r="Z62" s="1589"/>
      <c r="AC62" s="1800" t="str">
        <f>'PIM Model'!$AD$16</f>
        <v/>
      </c>
      <c r="AD62" s="1800"/>
      <c r="AE62" s="1800" t="str">
        <f>'PIM Model'!$D$16</f>
        <v>%</v>
      </c>
      <c r="AF62" s="1800"/>
      <c r="AG62" s="1800" t="str">
        <f>'PIM Model'!$D$16</f>
        <v>%</v>
      </c>
      <c r="AH62" s="1800"/>
      <c r="AI62" s="1797" t="str">
        <f>'PIM Model'!$D$16</f>
        <v>%</v>
      </c>
      <c r="AJ62" s="179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89" t="s">
        <v>97</v>
      </c>
      <c r="D63" s="1589"/>
      <c r="E63" s="1589"/>
      <c r="F63" s="1589"/>
      <c r="G63" s="1589"/>
      <c r="H63" s="1589"/>
      <c r="I63" s="1589"/>
      <c r="J63" s="1589"/>
      <c r="K63" s="1589"/>
      <c r="L63" s="1589"/>
      <c r="M63" s="1589"/>
      <c r="N63" s="1589"/>
      <c r="O63" s="1589"/>
      <c r="P63" s="1589"/>
      <c r="Q63" s="1589"/>
      <c r="R63" s="1589"/>
      <c r="S63" s="1589"/>
      <c r="T63" s="1589"/>
      <c r="U63" s="1589"/>
      <c r="V63" s="1589"/>
      <c r="W63" s="1589"/>
      <c r="X63" s="1589"/>
      <c r="Y63" s="1589"/>
      <c r="Z63" s="1589"/>
      <c r="AC63" s="1800" t="str">
        <f>'PIM Model'!$AD$20</f>
        <v/>
      </c>
      <c r="AD63" s="1800"/>
      <c r="AE63" s="1800" t="str">
        <f>'PIM Model'!$D$20</f>
        <v>%</v>
      </c>
      <c r="AF63" s="1800"/>
      <c r="AG63" s="1800" t="str">
        <f>'PIM Model'!$D$20</f>
        <v>%</v>
      </c>
      <c r="AH63" s="1800"/>
      <c r="AI63" s="1797" t="str">
        <f>'PIM Model'!$D$20</f>
        <v>%</v>
      </c>
      <c r="AJ63" s="179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89" t="s">
        <v>96</v>
      </c>
      <c r="D64" s="1589"/>
      <c r="E64" s="1589"/>
      <c r="F64" s="1589"/>
      <c r="G64" s="1589"/>
      <c r="H64" s="1589"/>
      <c r="I64" s="1589"/>
      <c r="J64" s="1589"/>
      <c r="K64" s="1589"/>
      <c r="L64" s="1589"/>
      <c r="M64" s="1589"/>
      <c r="N64" s="1589"/>
      <c r="O64" s="1589"/>
      <c r="P64" s="1589"/>
      <c r="Q64" s="1589"/>
      <c r="R64" s="1589"/>
      <c r="S64" s="1589"/>
      <c r="T64" s="1589"/>
      <c r="U64" s="1589"/>
      <c r="V64" s="1589"/>
      <c r="W64" s="1589"/>
      <c r="X64" s="1589"/>
      <c r="Y64" s="1589"/>
      <c r="Z64" s="1589"/>
      <c r="AC64" s="1800" t="str">
        <f>'PIM Model'!$AD$18</f>
        <v/>
      </c>
      <c r="AD64" s="1800"/>
      <c r="AE64" s="1800" t="str">
        <f>'PIM Model'!$D$18</f>
        <v>%</v>
      </c>
      <c r="AF64" s="1800"/>
      <c r="AG64" s="1800" t="str">
        <f>'PIM Model'!$D$18</f>
        <v>%</v>
      </c>
      <c r="AH64" s="1800"/>
      <c r="AI64" s="1797" t="str">
        <f>'PIM Model'!$D$18</f>
        <v>%</v>
      </c>
      <c r="AJ64" s="179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89" t="s">
        <v>95</v>
      </c>
      <c r="D65" s="1589"/>
      <c r="E65" s="1589"/>
      <c r="F65" s="1589"/>
      <c r="G65" s="1589"/>
      <c r="H65" s="1589"/>
      <c r="I65" s="1589"/>
      <c r="J65" s="1589"/>
      <c r="K65" s="1589"/>
      <c r="L65" s="1589"/>
      <c r="M65" s="1589"/>
      <c r="N65" s="1589"/>
      <c r="O65" s="1589"/>
      <c r="P65" s="1589"/>
      <c r="Q65" s="1589"/>
      <c r="R65" s="1589"/>
      <c r="S65" s="1589"/>
      <c r="T65" s="1589"/>
      <c r="U65" s="1589"/>
      <c r="V65" s="1589"/>
      <c r="W65" s="1589"/>
      <c r="X65" s="1589"/>
      <c r="Y65" s="1589"/>
      <c r="Z65" s="1589"/>
      <c r="AC65" s="1800" t="str">
        <f>'PIM Model'!$AD$17</f>
        <v/>
      </c>
      <c r="AD65" s="1800"/>
      <c r="AE65" s="1800" t="str">
        <f>'PIM Model'!$D$17</f>
        <v>%</v>
      </c>
      <c r="AF65" s="1800"/>
      <c r="AG65" s="1800" t="str">
        <f>'PIM Model'!$D$17</f>
        <v>%</v>
      </c>
      <c r="AH65" s="1800"/>
      <c r="AI65" s="1797" t="str">
        <f>'PIM Model'!$D$17</f>
        <v>%</v>
      </c>
      <c r="AJ65" s="179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89" t="s">
        <v>94</v>
      </c>
      <c r="D66" s="1589"/>
      <c r="E66" s="1589"/>
      <c r="F66" s="1589"/>
      <c r="G66" s="1589"/>
      <c r="H66" s="1589"/>
      <c r="I66" s="1589"/>
      <c r="J66" s="1589"/>
      <c r="K66" s="1589"/>
      <c r="L66" s="1589"/>
      <c r="M66" s="1589"/>
      <c r="N66" s="1589"/>
      <c r="O66" s="1589"/>
      <c r="P66" s="1589"/>
      <c r="Q66" s="1589"/>
      <c r="R66" s="1589"/>
      <c r="S66" s="1589"/>
      <c r="T66" s="1589"/>
      <c r="U66" s="1589"/>
      <c r="V66" s="1589"/>
      <c r="W66" s="1589"/>
      <c r="X66" s="1589"/>
      <c r="Y66" s="1589"/>
      <c r="Z66" s="1589"/>
      <c r="AC66" s="1800" t="str">
        <f>'PIM Model'!$AD$27</f>
        <v/>
      </c>
      <c r="AD66" s="1800"/>
      <c r="AE66" s="1800" t="str">
        <f>'PIM Model'!$D$27</f>
        <v>%</v>
      </c>
      <c r="AF66" s="1800"/>
      <c r="AG66" s="1800" t="str">
        <f>'PIM Model'!$D$27</f>
        <v>%</v>
      </c>
      <c r="AH66" s="1800"/>
      <c r="AI66" s="1797" t="str">
        <f>'PIM Model'!$D$27</f>
        <v>%</v>
      </c>
      <c r="AJ66" s="179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7" t="s">
        <v>689</v>
      </c>
      <c r="F67" s="1797"/>
      <c r="G67" s="1797"/>
      <c r="H67" s="1797"/>
      <c r="I67" s="1797"/>
      <c r="J67" s="1797"/>
      <c r="K67" s="1797"/>
      <c r="M67" s="1798" t="str">
        <f>'Pricing Schedule'!$E$21</f>
        <v>T</v>
      </c>
      <c r="N67" s="1798"/>
      <c r="O67" s="1798"/>
      <c r="P67" t="s">
        <v>647</v>
      </c>
      <c r="S67" s="1799"/>
      <c r="T67" s="1799"/>
      <c r="U67" s="1799"/>
      <c r="V67" s="1797" t="s">
        <v>649</v>
      </c>
      <c r="W67" s="179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89" t="s">
        <v>93</v>
      </c>
      <c r="D68" s="1589"/>
      <c r="E68" s="1589"/>
      <c r="F68" s="1589"/>
      <c r="G68" s="1589"/>
      <c r="H68" s="1589"/>
      <c r="I68" s="1589"/>
      <c r="J68" s="1589"/>
      <c r="K68" s="1589"/>
      <c r="L68" s="1589"/>
      <c r="M68" s="1589"/>
      <c r="N68" s="1589"/>
      <c r="O68" s="1589"/>
      <c r="P68" s="1589"/>
      <c r="Q68" s="1589"/>
      <c r="R68" s="1589"/>
      <c r="S68" s="1589"/>
      <c r="T68" s="1589"/>
      <c r="U68" s="1589"/>
      <c r="V68" s="1589"/>
      <c r="W68" s="1589"/>
      <c r="X68" s="1589"/>
      <c r="Y68" s="1589"/>
      <c r="Z68" s="1589"/>
      <c r="AC68" s="1800" t="str">
        <f>'PIM Model'!$AD$21</f>
        <v/>
      </c>
      <c r="AD68" s="1800"/>
      <c r="AE68" s="1800" t="str">
        <f>'PIM Model'!$D$21</f>
        <v>%</v>
      </c>
      <c r="AF68" s="1800"/>
      <c r="AG68" s="1800" t="str">
        <f>'PIM Model'!$D$21</f>
        <v>%</v>
      </c>
      <c r="AH68" s="1800"/>
      <c r="AI68" s="1797" t="str">
        <f>'PIM Model'!$D$21</f>
        <v>%</v>
      </c>
      <c r="AJ68" s="179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89" t="s">
        <v>92</v>
      </c>
      <c r="D69" s="1589"/>
      <c r="E69" s="1589"/>
      <c r="F69" s="1589"/>
      <c r="G69" s="1589"/>
      <c r="H69" s="1589"/>
      <c r="I69" s="1589"/>
      <c r="J69" s="1589"/>
      <c r="K69" s="1589"/>
      <c r="L69" s="1589"/>
      <c r="M69" s="1589"/>
      <c r="N69" s="1589"/>
      <c r="O69" s="1589"/>
      <c r="P69" s="1589"/>
      <c r="Q69" s="1589"/>
      <c r="R69" s="1589"/>
      <c r="S69" s="1589"/>
      <c r="T69" s="1589"/>
      <c r="U69" s="1589"/>
      <c r="V69" s="1589"/>
      <c r="W69" s="1589"/>
      <c r="X69" s="1589"/>
      <c r="Y69" s="1589"/>
      <c r="Z69" s="1589"/>
      <c r="AC69" s="1800" t="str">
        <f>'PIM Model'!$AD$23</f>
        <v/>
      </c>
      <c r="AD69" s="1800"/>
      <c r="AE69" s="1800" t="str">
        <f>'PIM Model'!$D$23</f>
        <v>%</v>
      </c>
      <c r="AF69" s="1800"/>
      <c r="AG69" s="1800" t="str">
        <f>'PIM Model'!$D$23</f>
        <v>%</v>
      </c>
      <c r="AH69" s="1800"/>
      <c r="AI69" s="1797" t="str">
        <f>'PIM Model'!$D$23</f>
        <v>%</v>
      </c>
      <c r="AJ69" s="179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89" t="s">
        <v>91</v>
      </c>
      <c r="D70" s="1589"/>
      <c r="E70" s="1589"/>
      <c r="F70" s="1589"/>
      <c r="G70" s="1589"/>
      <c r="H70" s="1589"/>
      <c r="I70" s="1589"/>
      <c r="J70" s="1589"/>
      <c r="K70" s="1589"/>
      <c r="L70" s="1589"/>
      <c r="M70" s="1589"/>
      <c r="N70" s="1589"/>
      <c r="O70" s="1589"/>
      <c r="P70" s="1589"/>
      <c r="Q70" s="1589"/>
      <c r="R70" s="1589"/>
      <c r="S70" s="1589"/>
      <c r="T70" s="1589"/>
      <c r="U70" s="1589"/>
      <c r="V70" s="1589"/>
      <c r="W70" s="1589"/>
      <c r="X70" s="1589"/>
      <c r="Y70" s="1589"/>
      <c r="Z70" s="1589"/>
      <c r="AC70" s="1800" t="str">
        <f>'PIM Model'!$AD$24</f>
        <v/>
      </c>
      <c r="AD70" s="1800"/>
      <c r="AE70" s="1800" t="str">
        <f>'PIM Model'!$D$24</f>
        <v>%</v>
      </c>
      <c r="AF70" s="1800"/>
      <c r="AG70" s="1800" t="str">
        <f>'PIM Model'!$D$24</f>
        <v>%</v>
      </c>
      <c r="AH70" s="1800"/>
      <c r="AI70" s="1797" t="str">
        <f>'PIM Model'!$D$24</f>
        <v>%</v>
      </c>
      <c r="AJ70" s="1797"/>
      <c r="AK70" s="134"/>
      <c r="AL70" s="134"/>
      <c r="AM70" s="134"/>
      <c r="AN70" s="134"/>
      <c r="AO70" s="1661"/>
      <c r="AP70" s="1661"/>
      <c r="AQ70" s="1661"/>
      <c r="AR70" s="134"/>
      <c r="AS70" s="134"/>
      <c r="AT70" s="1661"/>
      <c r="AU70" s="1661"/>
      <c r="AV70" s="1661"/>
      <c r="AW70" s="134"/>
      <c r="AX70" s="134"/>
      <c r="AY70" s="1661"/>
      <c r="AZ70" s="1661"/>
      <c r="BA70" s="1661"/>
      <c r="BB70" s="134"/>
      <c r="BC70" s="134"/>
      <c r="BD70" s="1661"/>
      <c r="BE70" s="1661"/>
      <c r="BF70" s="1777"/>
    </row>
    <row r="71" spans="2:70" x14ac:dyDescent="0.25">
      <c r="B71" s="137"/>
      <c r="C71" s="1589" t="s">
        <v>90</v>
      </c>
      <c r="D71" s="1589"/>
      <c r="E71" s="1589"/>
      <c r="F71" s="1589"/>
      <c r="G71" s="1589"/>
      <c r="H71" s="1589"/>
      <c r="I71" s="1589"/>
      <c r="J71" s="1589"/>
      <c r="K71" s="1589"/>
      <c r="L71" s="1589"/>
      <c r="M71" s="1589"/>
      <c r="N71" s="1589"/>
      <c r="O71" s="1589"/>
      <c r="P71" s="1589"/>
      <c r="Q71" s="1589"/>
      <c r="R71" s="1589"/>
      <c r="S71" s="1589"/>
      <c r="T71" s="1589"/>
      <c r="U71" s="1589"/>
      <c r="V71" s="1589"/>
      <c r="W71" s="1589"/>
      <c r="X71" s="1589"/>
      <c r="Y71" s="1589"/>
      <c r="Z71" s="1589"/>
      <c r="AC71" s="1800" t="str">
        <f>'PIM Model'!$AD$25</f>
        <v/>
      </c>
      <c r="AD71" s="1800"/>
      <c r="AE71" s="1800" t="str">
        <f>'PIM Model'!$D$25</f>
        <v>%</v>
      </c>
      <c r="AF71" s="1800"/>
      <c r="AG71" s="1800" t="str">
        <f>'PIM Model'!$D$25</f>
        <v>%</v>
      </c>
      <c r="AH71" s="1800"/>
      <c r="AI71" s="1797" t="str">
        <f>'PIM Model'!$D$25</f>
        <v>%</v>
      </c>
      <c r="AJ71" s="1797"/>
      <c r="AK71" s="134"/>
      <c r="AL71" s="134"/>
      <c r="AM71" s="134"/>
      <c r="AN71" s="134"/>
      <c r="AO71" s="1661"/>
      <c r="AP71" s="1661"/>
      <c r="AQ71" s="1661"/>
      <c r="AR71" s="134"/>
      <c r="AS71" s="134"/>
      <c r="AT71" s="1661"/>
      <c r="AU71" s="1661"/>
      <c r="AV71" s="1661"/>
      <c r="AW71" s="134"/>
      <c r="AX71" s="134"/>
      <c r="AY71" s="1661"/>
      <c r="AZ71" s="1661"/>
      <c r="BA71" s="1661"/>
      <c r="BB71" s="134"/>
      <c r="BC71" s="134"/>
      <c r="BD71" s="1661"/>
      <c r="BE71" s="1661"/>
      <c r="BF71" s="1777"/>
    </row>
    <row r="72" spans="2:70" x14ac:dyDescent="0.25">
      <c r="B72" s="137"/>
      <c r="C72" s="1589" t="s">
        <v>89</v>
      </c>
      <c r="D72" s="1589"/>
      <c r="E72" s="1589"/>
      <c r="F72" s="1589"/>
      <c r="G72" s="1589"/>
      <c r="H72" s="1589"/>
      <c r="I72" s="1589"/>
      <c r="J72" s="1589"/>
      <c r="K72" s="1589"/>
      <c r="L72" s="1589"/>
      <c r="M72" s="1589"/>
      <c r="N72" s="1589"/>
      <c r="O72" s="1589"/>
      <c r="P72" s="1589"/>
      <c r="Q72" s="1589"/>
      <c r="R72" s="1589"/>
      <c r="S72" s="1589"/>
      <c r="T72" s="1589"/>
      <c r="U72" s="1589"/>
      <c r="V72" s="1589"/>
      <c r="W72" s="1589"/>
      <c r="X72" s="1589"/>
      <c r="Y72" s="1589"/>
      <c r="Z72" s="1589"/>
      <c r="AC72" s="1800" t="str">
        <f>'PIM Model'!$AD$26</f>
        <v/>
      </c>
      <c r="AD72" s="1800"/>
      <c r="AE72" s="1800" t="str">
        <f>'PIM Model'!$D$26</f>
        <v>%</v>
      </c>
      <c r="AF72" s="1800"/>
      <c r="AG72" s="1800" t="str">
        <f>'PIM Model'!$D$26</f>
        <v>%</v>
      </c>
      <c r="AH72" s="1800"/>
      <c r="AI72" s="1797" t="str">
        <f>'PIM Model'!$D$26</f>
        <v>%</v>
      </c>
      <c r="AJ72" s="1797"/>
      <c r="AK72" s="134"/>
      <c r="AL72" s="134"/>
      <c r="AM72" s="134"/>
      <c r="AN72" s="134"/>
      <c r="AO72" s="1661"/>
      <c r="AP72" s="1661"/>
      <c r="AQ72" s="1661"/>
      <c r="AR72" s="134"/>
      <c r="AS72" s="134"/>
      <c r="AT72" s="1661"/>
      <c r="AU72" s="1661"/>
      <c r="AV72" s="1661"/>
      <c r="AW72" s="134"/>
      <c r="AX72" s="134"/>
      <c r="AY72" s="1661"/>
      <c r="AZ72" s="1661"/>
      <c r="BA72" s="1661"/>
      <c r="BB72" s="134"/>
      <c r="BC72" s="134"/>
      <c r="BD72" s="1661"/>
      <c r="BE72" s="1661"/>
      <c r="BF72" s="1777"/>
    </row>
    <row r="73" spans="2:70" x14ac:dyDescent="0.25">
      <c r="B73" s="137"/>
      <c r="C73" s="1589" t="s">
        <v>88</v>
      </c>
      <c r="D73" s="1589"/>
      <c r="E73" s="1589"/>
      <c r="F73" s="1589"/>
      <c r="G73" s="1589"/>
      <c r="H73" s="1589"/>
      <c r="I73" s="1589"/>
      <c r="J73" s="1589"/>
      <c r="K73" s="1589"/>
      <c r="L73" s="1589"/>
      <c r="M73" s="1589"/>
      <c r="N73" s="1589"/>
      <c r="O73" s="1589"/>
      <c r="P73" s="1589"/>
      <c r="Q73" s="1589"/>
      <c r="R73" s="1589"/>
      <c r="S73" s="1589"/>
      <c r="T73" s="1589"/>
      <c r="U73" s="1589"/>
      <c r="V73" s="1589"/>
      <c r="W73" s="1589"/>
      <c r="X73" s="1589"/>
      <c r="Y73" s="1589"/>
      <c r="Z73" s="1589"/>
      <c r="AC73" s="1800" t="str">
        <f>'PIM Model'!$AD$29</f>
        <v/>
      </c>
      <c r="AD73" s="1800"/>
      <c r="AE73" s="1800" t="str">
        <f>'PIM Model'!$D$29</f>
        <v>%</v>
      </c>
      <c r="AF73" s="1800"/>
      <c r="AG73" s="1800" t="str">
        <f>'PIM Model'!$D$29</f>
        <v>%</v>
      </c>
      <c r="AH73" s="1800"/>
      <c r="AI73" s="1797" t="str">
        <f>'PIM Model'!$D$29</f>
        <v>%</v>
      </c>
      <c r="AJ73" s="1797"/>
      <c r="AK73" s="134"/>
      <c r="AL73" s="134"/>
      <c r="AM73" s="134"/>
      <c r="AN73" s="134"/>
      <c r="AO73" s="1661"/>
      <c r="AP73" s="1661"/>
      <c r="AQ73" s="1661"/>
      <c r="AR73" s="134"/>
      <c r="AS73" s="134"/>
      <c r="AT73" s="1661"/>
      <c r="AU73" s="1661"/>
      <c r="AV73" s="1661"/>
      <c r="AW73" s="134"/>
      <c r="AX73" s="134"/>
      <c r="AY73" s="1661"/>
      <c r="AZ73" s="1661"/>
      <c r="BA73" s="1661"/>
      <c r="BB73" s="134"/>
      <c r="BC73" s="134"/>
      <c r="BD73" s="1661"/>
      <c r="BE73" s="1661"/>
      <c r="BF73" s="1777"/>
    </row>
    <row r="74" spans="2:70" x14ac:dyDescent="0.25">
      <c r="B74" s="137"/>
      <c r="C74" s="1589" t="s">
        <v>87</v>
      </c>
      <c r="D74" s="1589"/>
      <c r="E74" s="1589"/>
      <c r="F74" s="1589"/>
      <c r="G74" s="1589"/>
      <c r="H74" s="1589"/>
      <c r="I74" s="1589"/>
      <c r="J74" s="1589"/>
      <c r="K74" s="1589"/>
      <c r="L74" s="1589"/>
      <c r="M74" s="1589"/>
      <c r="N74" s="1589"/>
      <c r="O74" s="1589"/>
      <c r="P74" s="1589"/>
      <c r="Q74" s="1589"/>
      <c r="R74" s="1589"/>
      <c r="S74" s="1589"/>
      <c r="T74" s="1589"/>
      <c r="U74" s="1589"/>
      <c r="V74" s="1589"/>
      <c r="W74" s="1589"/>
      <c r="X74" s="1589"/>
      <c r="Y74" s="1589"/>
      <c r="Z74" s="1589"/>
      <c r="AC74" s="1800" t="str">
        <f>'PIM Model'!$AD$30</f>
        <v/>
      </c>
      <c r="AD74" s="1800"/>
      <c r="AE74" s="1800" t="str">
        <f>'PIM Model'!$D$30</f>
        <v>%</v>
      </c>
      <c r="AF74" s="1800"/>
      <c r="AG74" s="1800" t="str">
        <f>'PIM Model'!$D$30</f>
        <v>%</v>
      </c>
      <c r="AH74" s="1800"/>
      <c r="AI74" s="1797" t="str">
        <f>'PIM Model'!$D$30</f>
        <v>%</v>
      </c>
      <c r="AJ74" s="1797"/>
      <c r="AK74" s="134"/>
      <c r="AL74" s="134"/>
      <c r="AM74" s="134"/>
      <c r="AN74" s="134"/>
      <c r="AO74" s="1661"/>
      <c r="AP74" s="1661"/>
      <c r="AQ74" s="1661"/>
      <c r="AR74" s="134"/>
      <c r="AS74" s="134"/>
      <c r="AT74" s="1661"/>
      <c r="AU74" s="1661"/>
      <c r="AV74" s="1661"/>
      <c r="AW74" s="134"/>
      <c r="AX74" s="134"/>
      <c r="AY74" s="1661"/>
      <c r="AZ74" s="1661"/>
      <c r="BA74" s="1661"/>
      <c r="BB74" s="134"/>
      <c r="BC74" s="134"/>
      <c r="BD74" s="1661"/>
      <c r="BE74" s="1661"/>
      <c r="BF74" s="1777"/>
    </row>
    <row r="75" spans="2:70" x14ac:dyDescent="0.25">
      <c r="B75" s="137"/>
      <c r="C75" s="1589" t="s">
        <v>86</v>
      </c>
      <c r="D75" s="1589"/>
      <c r="E75" s="1589"/>
      <c r="F75" s="1589"/>
      <c r="G75" s="1589"/>
      <c r="H75" s="1589"/>
      <c r="I75" s="1589"/>
      <c r="J75" s="1589"/>
      <c r="K75" s="1589"/>
      <c r="L75" s="1589"/>
      <c r="M75" s="1589"/>
      <c r="N75" s="1589"/>
      <c r="O75" s="1589"/>
      <c r="P75" s="1589"/>
      <c r="Q75" s="1589"/>
      <c r="R75" s="1589"/>
      <c r="S75" s="1589"/>
      <c r="T75" s="1589"/>
      <c r="U75" s="1589"/>
      <c r="V75" s="1589"/>
      <c r="W75" s="1589"/>
      <c r="X75" s="1589"/>
      <c r="Y75" s="1589"/>
      <c r="Z75" s="1589"/>
      <c r="AC75" s="1800" t="str">
        <f>'PIM Model'!$AD$28</f>
        <v/>
      </c>
      <c r="AD75" s="1800"/>
      <c r="AE75" s="1800" t="str">
        <f>'PIM Model'!$D$28</f>
        <v>%</v>
      </c>
      <c r="AF75" s="1800"/>
      <c r="AG75" s="1800" t="str">
        <f>'PIM Model'!$D$28</f>
        <v>%</v>
      </c>
      <c r="AH75" s="1800"/>
      <c r="AI75" s="1797" t="str">
        <f>'PIM Model'!$D$28</f>
        <v>%</v>
      </c>
      <c r="AJ75" s="1797"/>
      <c r="BF75" s="138"/>
    </row>
    <row r="76" spans="2:70" x14ac:dyDescent="0.25">
      <c r="B76" s="137"/>
      <c r="C76" s="1589" t="s">
        <v>105</v>
      </c>
      <c r="D76" s="1589"/>
      <c r="E76" s="1589"/>
      <c r="F76" s="1589"/>
      <c r="G76" s="1589"/>
      <c r="H76" s="1589"/>
      <c r="I76" s="1589"/>
      <c r="J76" s="1589"/>
      <c r="K76" s="1589"/>
      <c r="L76" s="1589"/>
      <c r="M76" s="1589"/>
      <c r="N76" s="1589"/>
      <c r="O76" s="1589"/>
      <c r="P76" s="1589"/>
      <c r="Q76" s="1589"/>
      <c r="R76" s="1589"/>
      <c r="S76" s="1589"/>
      <c r="T76" s="1589"/>
      <c r="U76" s="1589"/>
      <c r="V76" s="1589"/>
      <c r="W76" s="1589"/>
      <c r="X76" s="1589"/>
      <c r="Y76" s="1589"/>
      <c r="Z76" s="1589"/>
      <c r="AC76" s="1800" t="str">
        <f>'PIM Model'!$AD$22</f>
        <v/>
      </c>
      <c r="AD76" s="1800"/>
      <c r="AE76" s="1800" t="str">
        <f>'PIM Model'!$D$22</f>
        <v>%</v>
      </c>
      <c r="AF76" s="1800"/>
      <c r="AG76" s="1800" t="str">
        <f>'PIM Model'!$D$22</f>
        <v>%</v>
      </c>
      <c r="AH76" s="1800"/>
      <c r="AI76" s="1797" t="str">
        <f>'PIM Model'!$D$22</f>
        <v>%</v>
      </c>
      <c r="AJ76" s="1797"/>
      <c r="BF76" s="138"/>
    </row>
    <row r="77" spans="2:70" x14ac:dyDescent="0.25">
      <c r="B77" s="596"/>
      <c r="C77" s="1802" t="s">
        <v>720</v>
      </c>
      <c r="D77" s="1802"/>
      <c r="E77" s="1802"/>
      <c r="F77" s="1802"/>
      <c r="G77" s="1802"/>
      <c r="H77" s="1802"/>
      <c r="I77" s="1802"/>
      <c r="J77" s="1802"/>
      <c r="K77" s="1802"/>
      <c r="L77" s="1802"/>
      <c r="M77" s="1802"/>
      <c r="N77" s="1802"/>
      <c r="O77" s="1802"/>
      <c r="P77" s="1802"/>
      <c r="Q77" s="1802"/>
      <c r="R77" s="1802"/>
      <c r="S77" s="1802"/>
      <c r="T77" s="1802"/>
      <c r="U77" s="1802"/>
      <c r="V77" s="1802"/>
      <c r="W77" s="1802"/>
      <c r="X77" s="1802"/>
      <c r="Y77" s="1802"/>
      <c r="Z77" s="1802"/>
      <c r="AC77" s="1800" t="str">
        <f>'PIM Model'!$AD$12</f>
        <v/>
      </c>
      <c r="AD77" s="1800"/>
      <c r="AE77" s="1800" t="str">
        <f>'PIM Model'!$D$12</f>
        <v>%</v>
      </c>
      <c r="AF77" s="1800"/>
      <c r="AG77" s="1800" t="str">
        <f>'PIM Model'!$D$12</f>
        <v>%</v>
      </c>
      <c r="AH77" s="1800"/>
      <c r="AI77" s="1797" t="str">
        <f>'PIM Model'!$D$12</f>
        <v>%</v>
      </c>
      <c r="AJ77" s="1797"/>
      <c r="BF77" s="138"/>
    </row>
    <row r="78" spans="2:70" x14ac:dyDescent="0.25">
      <c r="B78" s="137"/>
      <c r="C78" s="1802" t="s">
        <v>721</v>
      </c>
      <c r="D78" s="1802"/>
      <c r="E78" s="1802"/>
      <c r="F78" s="1802"/>
      <c r="G78" s="1802"/>
      <c r="H78" s="1802"/>
      <c r="I78" s="1802"/>
      <c r="J78" s="1802"/>
      <c r="K78" s="1802"/>
      <c r="L78" s="1802"/>
      <c r="M78" s="1802"/>
      <c r="N78" s="1802"/>
      <c r="O78" s="1802"/>
      <c r="P78" s="1802"/>
      <c r="Q78" s="1802"/>
      <c r="R78" s="1802"/>
      <c r="S78" s="1802"/>
      <c r="T78" s="1802"/>
      <c r="U78" s="1802"/>
      <c r="V78" s="1802"/>
      <c r="W78" s="1802"/>
      <c r="X78" s="1802"/>
      <c r="Y78" s="1802"/>
      <c r="Z78" s="1802"/>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97" t="s">
        <v>688</v>
      </c>
      <c r="E81" s="1797"/>
      <c r="F81" s="1797"/>
      <c r="G81" s="1797"/>
      <c r="H81" s="1797"/>
      <c r="I81" s="1797"/>
      <c r="J81" s="1797"/>
      <c r="K81" s="1797"/>
      <c r="L81" s="1797"/>
      <c r="M81" s="1797"/>
      <c r="N81" s="1797"/>
      <c r="O81" s="1797"/>
      <c r="P81" s="1797"/>
      <c r="Q81" s="1797"/>
      <c r="R81" s="1797"/>
      <c r="S81" s="1797"/>
      <c r="T81" s="1797"/>
      <c r="U81" s="1797"/>
      <c r="V81" s="1797"/>
      <c r="W81" s="1797"/>
      <c r="X81" s="1797"/>
      <c r="Y81" s="1797"/>
      <c r="Z81" s="1797"/>
      <c r="AA81" s="1797"/>
      <c r="AB81" s="1797"/>
      <c r="AC81" s="1797"/>
      <c r="AD81" s="1797"/>
      <c r="AE81" s="1797"/>
      <c r="AF81" s="1797"/>
      <c r="AG81" s="1797"/>
      <c r="AH81" s="1797"/>
      <c r="AI81" s="1797"/>
      <c r="AJ81" s="1797"/>
      <c r="AK81" s="1797"/>
      <c r="AL81" s="1797"/>
      <c r="AM81" s="1797"/>
      <c r="AN81" s="1797"/>
      <c r="AO81" s="1797"/>
      <c r="AP81" s="1797"/>
      <c r="AQ81" s="1797"/>
      <c r="AR81" s="1797"/>
      <c r="AS81" s="1797"/>
      <c r="AT81" s="1797"/>
      <c r="AU81" s="1797"/>
      <c r="AV81" s="1797"/>
      <c r="AW81" s="1797"/>
      <c r="AX81" s="1797"/>
      <c r="AY81" s="1797"/>
      <c r="AZ81" s="1797"/>
      <c r="BA81" s="1797"/>
      <c r="BB81" s="1797"/>
      <c r="BC81" s="1797"/>
      <c r="BD81" s="1797"/>
      <c r="BF81" s="138"/>
    </row>
    <row r="82" spans="1:70" x14ac:dyDescent="0.25">
      <c r="B82" s="137"/>
      <c r="D82" s="1798" t="s">
        <v>239</v>
      </c>
      <c r="E82" s="1798"/>
      <c r="F82" s="1797" t="s">
        <v>687</v>
      </c>
      <c r="G82" s="1797"/>
      <c r="H82" s="1797"/>
      <c r="I82" s="1797"/>
      <c r="J82" s="1797"/>
      <c r="K82" s="1797"/>
      <c r="L82" s="1797"/>
      <c r="M82" s="1797"/>
      <c r="N82" s="1797"/>
      <c r="O82" s="1797"/>
      <c r="P82" s="1797"/>
      <c r="Q82" s="1797"/>
      <c r="R82" s="1797"/>
      <c r="S82" s="1797"/>
      <c r="T82" s="1797"/>
      <c r="U82" s="1797"/>
      <c r="V82" s="1797"/>
      <c r="W82" s="1797"/>
      <c r="X82" s="1797"/>
      <c r="Y82" s="1797"/>
      <c r="Z82" s="1797"/>
      <c r="AA82" s="1797"/>
      <c r="AB82" s="1797"/>
      <c r="AC82" s="1797"/>
      <c r="AD82" s="1797"/>
      <c r="AE82" s="1797"/>
      <c r="AF82" s="1797"/>
      <c r="AG82" s="1797"/>
      <c r="AH82" s="1797"/>
      <c r="AI82" s="1797"/>
      <c r="AJ82" s="1797"/>
      <c r="AK82" s="1797"/>
      <c r="AL82" s="1797"/>
      <c r="AM82" s="1797"/>
      <c r="AN82" s="1797"/>
      <c r="AO82" s="1797"/>
      <c r="AP82" s="1797"/>
      <c r="AQ82" s="1797"/>
      <c r="AR82" s="1797"/>
      <c r="AS82" s="1797"/>
      <c r="AT82" s="1797"/>
      <c r="AU82" s="1797"/>
      <c r="AV82" s="1797"/>
      <c r="AW82" s="1797"/>
      <c r="AX82" s="1797"/>
      <c r="AY82" s="1797"/>
      <c r="AZ82" s="1797"/>
      <c r="BA82" s="1797"/>
      <c r="BB82" s="1797"/>
      <c r="BC82" s="1797"/>
      <c r="BD82" s="1797"/>
      <c r="BF82" s="138"/>
    </row>
    <row r="83" spans="1:70" x14ac:dyDescent="0.25">
      <c r="B83" s="137"/>
      <c r="D83" s="1799"/>
      <c r="E83" s="1799"/>
      <c r="F83" s="1797" t="s">
        <v>686</v>
      </c>
      <c r="G83" s="1797"/>
      <c r="H83" s="1797"/>
      <c r="I83" s="1797"/>
      <c r="J83" s="1797"/>
      <c r="K83" s="1797"/>
      <c r="L83" s="1797"/>
      <c r="M83" s="1797"/>
      <c r="N83" s="1797"/>
      <c r="O83" s="1797"/>
      <c r="P83" s="1797"/>
      <c r="Q83" s="1797"/>
      <c r="R83" s="1797"/>
      <c r="S83" s="1797"/>
      <c r="T83" s="1797"/>
      <c r="U83" s="1797"/>
      <c r="V83" s="1797"/>
      <c r="W83" s="1797"/>
      <c r="X83" s="1797"/>
      <c r="Y83" s="1797"/>
      <c r="Z83" s="1797"/>
      <c r="AA83" s="1797"/>
      <c r="AB83" s="1797"/>
      <c r="AC83" s="1797"/>
      <c r="AD83" s="1797"/>
      <c r="AE83" s="1797"/>
      <c r="AF83" s="1797"/>
      <c r="AG83" s="1797"/>
      <c r="AH83" s="1797"/>
      <c r="AI83" s="1797"/>
      <c r="AJ83" s="1797"/>
      <c r="AK83" s="1797"/>
      <c r="AL83" s="1797"/>
      <c r="AM83" s="1797"/>
      <c r="AN83" s="1797"/>
      <c r="AO83" s="1797"/>
      <c r="AP83" s="1797"/>
      <c r="AQ83" s="1797"/>
      <c r="AR83" s="1797"/>
      <c r="AS83" s="1797"/>
      <c r="AT83" s="1797"/>
      <c r="AU83" s="1797"/>
      <c r="AV83" s="1797"/>
      <c r="AW83" s="1797"/>
      <c r="AX83" s="1797"/>
      <c r="AY83" s="1797"/>
      <c r="AZ83" s="1797"/>
      <c r="BA83" s="1797"/>
      <c r="BB83" s="1797"/>
      <c r="BC83" s="1797"/>
      <c r="BD83" s="1797"/>
      <c r="BF83" s="138"/>
    </row>
    <row r="84" spans="1:70" x14ac:dyDescent="0.25">
      <c r="A84" s="269"/>
      <c r="B84" s="137"/>
      <c r="D84" s="1799"/>
      <c r="E84" s="1799"/>
      <c r="F84" s="1797" t="s">
        <v>685</v>
      </c>
      <c r="G84" s="1797"/>
      <c r="H84" s="1797"/>
      <c r="I84" s="1797"/>
      <c r="J84" s="1797"/>
      <c r="K84" s="1797"/>
      <c r="L84" s="1797"/>
      <c r="M84" s="1797"/>
      <c r="N84" s="1797"/>
      <c r="O84" s="1797"/>
      <c r="P84" s="1797"/>
      <c r="Q84" s="1797"/>
      <c r="R84" s="1797"/>
      <c r="S84" s="1797"/>
      <c r="T84" s="1797"/>
      <c r="U84" s="1797"/>
      <c r="V84" s="1797"/>
      <c r="W84" s="1797"/>
      <c r="X84" s="1797"/>
      <c r="Y84" s="1797"/>
      <c r="Z84" s="1797"/>
      <c r="AA84" s="1797"/>
      <c r="AB84" s="1797"/>
      <c r="AC84" s="1797"/>
      <c r="AD84" s="1797"/>
      <c r="AE84" s="1797"/>
      <c r="AF84" s="1797"/>
      <c r="AG84" s="1797"/>
      <c r="AH84" s="1797"/>
      <c r="AI84" s="1797"/>
      <c r="AJ84" s="1797"/>
      <c r="AK84" s="1797"/>
      <c r="AL84" s="1797"/>
      <c r="AM84" s="1797"/>
      <c r="AN84" s="1797"/>
      <c r="AO84" s="1797"/>
      <c r="AP84" s="1797"/>
      <c r="AQ84" s="1797"/>
      <c r="AR84" s="1797"/>
      <c r="AS84" s="1797"/>
      <c r="AT84" s="1797"/>
      <c r="AU84" s="1797"/>
      <c r="AV84" s="1797"/>
      <c r="AW84" s="1797"/>
      <c r="AX84" s="1797"/>
      <c r="AY84" s="1797"/>
      <c r="AZ84" s="1797"/>
      <c r="BA84" s="1797"/>
      <c r="BB84" s="1797"/>
      <c r="BC84" s="1797"/>
      <c r="BD84" s="1797"/>
      <c r="BF84" s="138"/>
    </row>
    <row r="85" spans="1:70" x14ac:dyDescent="0.25">
      <c r="B85" s="137"/>
      <c r="BF85" s="138"/>
    </row>
    <row r="86" spans="1:70" x14ac:dyDescent="0.25">
      <c r="B86" s="137"/>
      <c r="D86" s="1797" t="s">
        <v>684</v>
      </c>
      <c r="E86" s="1797"/>
      <c r="F86" s="1797"/>
      <c r="G86" s="1797"/>
      <c r="H86" s="1797"/>
      <c r="I86" s="1797"/>
      <c r="J86" s="1797"/>
      <c r="K86" s="1797"/>
      <c r="L86" s="1797"/>
      <c r="M86" s="1797"/>
      <c r="N86" s="1797"/>
      <c r="O86" s="1797"/>
      <c r="P86" s="1797"/>
      <c r="Q86" s="1797"/>
      <c r="R86" s="1797"/>
      <c r="S86" s="1797"/>
      <c r="T86" s="1797"/>
      <c r="U86" s="1797"/>
      <c r="V86" s="1797"/>
      <c r="W86" s="1797"/>
      <c r="X86" s="1797"/>
      <c r="Y86" s="1797"/>
      <c r="Z86" s="1797"/>
      <c r="AA86" s="1797"/>
      <c r="AB86" s="1797"/>
      <c r="AC86" s="1797"/>
      <c r="AD86" s="1797"/>
      <c r="AE86" s="1797"/>
      <c r="AF86" s="1797"/>
      <c r="AG86" s="1797"/>
      <c r="AH86" s="1797"/>
      <c r="AI86" s="1797"/>
      <c r="AJ86" s="1797"/>
      <c r="AK86" s="1797"/>
      <c r="AL86" s="1797"/>
      <c r="AM86" s="1797"/>
      <c r="AN86" s="1797"/>
      <c r="AO86" s="1797"/>
      <c r="AP86" s="1797"/>
      <c r="AQ86" s="1797"/>
      <c r="AR86" s="1797"/>
      <c r="AS86" s="1797"/>
      <c r="AT86" s="1797"/>
      <c r="AU86" s="1797"/>
      <c r="AV86" s="1797"/>
      <c r="AW86" s="1797"/>
      <c r="AX86" s="1797"/>
      <c r="AY86" s="1797"/>
      <c r="AZ86" s="1797"/>
      <c r="BA86" s="1797"/>
      <c r="BB86" s="1797"/>
      <c r="BC86" s="1797"/>
      <c r="BD86" s="1797"/>
      <c r="BF86" s="138"/>
    </row>
    <row r="87" spans="1:70" x14ac:dyDescent="0.25">
      <c r="B87" s="137"/>
      <c r="D87" s="1798" t="s">
        <v>239</v>
      </c>
      <c r="E87" s="1798"/>
      <c r="F87" s="1797" t="s">
        <v>683</v>
      </c>
      <c r="G87" s="1797"/>
      <c r="H87" s="1797"/>
      <c r="I87" s="1797"/>
      <c r="J87" s="1797"/>
      <c r="K87" s="1797"/>
      <c r="L87" s="1797"/>
      <c r="M87" s="1797"/>
      <c r="N87" s="1797"/>
      <c r="O87" s="1797"/>
      <c r="P87" s="1797"/>
      <c r="Q87" s="1797"/>
      <c r="R87" s="1797"/>
      <c r="S87" s="1797"/>
      <c r="T87" s="1797"/>
      <c r="U87" s="1797"/>
      <c r="V87" s="1797"/>
      <c r="W87" s="1797"/>
      <c r="X87" s="1797"/>
      <c r="Y87" s="1797"/>
      <c r="Z87" s="1797"/>
      <c r="AA87" s="1797"/>
      <c r="AB87" s="1797"/>
      <c r="AC87" s="1797"/>
      <c r="AD87" s="1797"/>
      <c r="AE87" s="1797"/>
      <c r="AF87" s="1797"/>
      <c r="AG87" s="1797"/>
      <c r="AH87" s="1797"/>
      <c r="AI87" s="1797"/>
      <c r="AJ87" s="1797"/>
      <c r="AK87" s="1797"/>
      <c r="AL87" s="1797"/>
      <c r="AM87" s="1797"/>
      <c r="AN87" s="1797"/>
      <c r="AO87" s="1797"/>
      <c r="AP87" s="1797"/>
      <c r="AQ87" s="1797"/>
      <c r="AR87" s="1797"/>
      <c r="AS87" s="1797"/>
      <c r="AT87" s="1797"/>
      <c r="AU87" s="1797"/>
      <c r="AV87" s="1797"/>
      <c r="AW87" s="1797"/>
      <c r="AX87" s="1797"/>
      <c r="AY87" s="1797"/>
      <c r="AZ87" s="1797"/>
      <c r="BA87" s="1797"/>
      <c r="BB87" s="1797"/>
      <c r="BC87" s="1797"/>
      <c r="BD87" s="1797"/>
      <c r="BF87" s="138"/>
    </row>
    <row r="88" spans="1:70" x14ac:dyDescent="0.25">
      <c r="B88" s="137"/>
      <c r="D88" s="1799"/>
      <c r="E88" s="1799"/>
      <c r="F88" s="1797" t="s">
        <v>682</v>
      </c>
      <c r="G88" s="1797"/>
      <c r="H88" s="1797"/>
      <c r="I88" s="1797"/>
      <c r="J88" s="1797"/>
      <c r="K88" s="1797"/>
      <c r="L88" s="1797"/>
      <c r="M88" s="1797"/>
      <c r="N88" s="1797"/>
      <c r="O88" s="1797"/>
      <c r="P88" s="1797"/>
      <c r="Q88" s="1797"/>
      <c r="R88" s="1797"/>
      <c r="S88" s="1797"/>
      <c r="T88" s="1797"/>
      <c r="U88" s="1797"/>
      <c r="V88" s="1797"/>
      <c r="W88" s="1797"/>
      <c r="X88" s="1797"/>
      <c r="Y88" s="1797"/>
      <c r="Z88" s="1797"/>
      <c r="AA88" s="1797"/>
      <c r="AB88" s="1797"/>
      <c r="AC88" s="1797"/>
      <c r="AD88" s="1797"/>
      <c r="AE88" s="1797"/>
      <c r="AF88" s="1797"/>
      <c r="AG88" s="1797"/>
      <c r="AH88" s="1797"/>
      <c r="AI88" s="1797"/>
      <c r="AJ88" s="1797"/>
      <c r="AK88" s="1797"/>
      <c r="AL88" s="1797"/>
      <c r="AM88" s="1797"/>
      <c r="AN88" s="1797"/>
      <c r="AO88" s="1797"/>
      <c r="AP88" s="1797"/>
      <c r="AQ88" s="1797"/>
      <c r="AR88" s="1797"/>
      <c r="AS88" s="1797"/>
      <c r="AT88" s="1797"/>
      <c r="AU88" s="1797"/>
      <c r="AV88" s="1797"/>
      <c r="AW88" s="1797"/>
      <c r="AX88" s="1797"/>
      <c r="AY88" s="1797"/>
      <c r="AZ88" s="1797"/>
      <c r="BA88" s="1797"/>
      <c r="BB88" s="1797"/>
      <c r="BC88" s="1797"/>
      <c r="BD88" s="179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4" t="s">
        <v>963</v>
      </c>
      <c r="C92" s="1815"/>
      <c r="D92" s="1815"/>
      <c r="E92" s="1815"/>
      <c r="F92" s="1815"/>
      <c r="G92" s="1815"/>
      <c r="H92" s="1815"/>
      <c r="I92" s="1815"/>
      <c r="J92" s="1815"/>
      <c r="K92" s="1815"/>
      <c r="L92" s="1815"/>
      <c r="M92" s="1815"/>
      <c r="N92" s="1815"/>
      <c r="O92" s="1815"/>
      <c r="P92" s="1815"/>
      <c r="Q92" s="1815"/>
      <c r="R92" s="1815"/>
      <c r="S92" s="1815"/>
      <c r="T92" s="1815"/>
      <c r="U92" s="1815"/>
      <c r="V92" s="1815"/>
      <c r="W92" s="1815"/>
      <c r="X92" s="1815"/>
      <c r="Y92" s="1815"/>
      <c r="Z92" s="1815"/>
      <c r="AA92" s="1815"/>
      <c r="AB92" s="1815"/>
      <c r="AC92" s="1815"/>
      <c r="AD92" s="1815"/>
      <c r="AE92" s="1815"/>
      <c r="AF92" s="1815"/>
      <c r="AG92" s="1815"/>
      <c r="AH92" s="1815"/>
      <c r="AI92" s="1815"/>
      <c r="AJ92" s="1815"/>
      <c r="AK92" s="1815"/>
      <c r="AL92" s="1815"/>
      <c r="AM92" s="1815"/>
      <c r="AN92" s="1815"/>
      <c r="AO92" s="1815"/>
      <c r="AP92" s="1815"/>
      <c r="AQ92" s="1815"/>
      <c r="AR92" s="1815"/>
      <c r="AS92" s="1815"/>
      <c r="AT92" s="1815"/>
      <c r="AU92" s="1815"/>
      <c r="AV92" s="1815"/>
      <c r="AW92" s="1815"/>
      <c r="AX92" s="1815"/>
      <c r="AY92" s="1815"/>
      <c r="AZ92" s="1815"/>
      <c r="BA92" s="1815"/>
      <c r="BB92" s="1815"/>
      <c r="BC92" s="1815"/>
      <c r="BD92" s="1815"/>
      <c r="BE92" s="1815"/>
      <c r="BF92" s="1816"/>
    </row>
    <row r="93" spans="1:70" ht="15.75" thickBot="1" x14ac:dyDescent="0.3">
      <c r="B93" s="137"/>
      <c r="BF93" s="138"/>
      <c r="BR93" s="262"/>
    </row>
    <row r="94" spans="1:70" ht="15.75" thickBot="1" x14ac:dyDescent="0.3">
      <c r="B94" s="137"/>
      <c r="D94" s="1828" t="s">
        <v>724</v>
      </c>
      <c r="E94" s="1829"/>
      <c r="F94" s="1829"/>
      <c r="G94" s="1829"/>
      <c r="H94" s="1829"/>
      <c r="I94" s="1829"/>
      <c r="J94" s="1829"/>
      <c r="K94" s="1835" t="s">
        <v>725</v>
      </c>
      <c r="L94" s="1829"/>
      <c r="M94" s="1829"/>
      <c r="N94" s="1829"/>
      <c r="O94" s="1829"/>
      <c r="P94" s="1829"/>
      <c r="Q94" s="1829"/>
      <c r="R94" s="1829"/>
      <c r="S94" s="1829"/>
      <c r="T94" s="1829"/>
      <c r="U94" s="1835" t="s">
        <v>768</v>
      </c>
      <c r="V94" s="1829"/>
      <c r="W94" s="1829"/>
      <c r="X94" s="1829"/>
      <c r="Y94" s="1829"/>
      <c r="Z94" s="1829"/>
      <c r="AA94" s="1829"/>
      <c r="AB94" s="1829"/>
      <c r="AC94" s="1829"/>
      <c r="AD94" s="1829"/>
      <c r="AE94" s="1829"/>
      <c r="AF94" s="1829"/>
      <c r="AG94" s="1829"/>
      <c r="AH94" s="1829"/>
      <c r="AI94" s="1829"/>
      <c r="AJ94" s="1835" t="s">
        <v>769</v>
      </c>
      <c r="AK94" s="1829"/>
      <c r="AL94" s="1829"/>
      <c r="AM94" s="1829"/>
      <c r="AN94" s="1829"/>
      <c r="AO94" s="1829"/>
      <c r="AP94" s="1829"/>
      <c r="AQ94" s="1829"/>
      <c r="AR94" s="1829"/>
      <c r="AS94" s="1829"/>
      <c r="AT94" s="1847"/>
      <c r="AU94" s="1835" t="s">
        <v>770</v>
      </c>
      <c r="AV94" s="1829"/>
      <c r="AW94" s="1829"/>
      <c r="AX94" s="1847"/>
      <c r="AY94" s="1835" t="s">
        <v>814</v>
      </c>
      <c r="AZ94" s="1829"/>
      <c r="BA94" s="1829"/>
      <c r="BB94" s="1829"/>
      <c r="BC94" s="1856"/>
      <c r="BF94" s="138"/>
    </row>
    <row r="95" spans="1:70" x14ac:dyDescent="0.25">
      <c r="B95" s="137"/>
      <c r="C95" s="555">
        <v>1</v>
      </c>
      <c r="D95" s="1827">
        <f>'Customer Inputs'!$B$6</f>
        <v>0</v>
      </c>
      <c r="E95" s="1827"/>
      <c r="F95" s="1827"/>
      <c r="G95" s="1827"/>
      <c r="H95" s="1827"/>
      <c r="I95" s="1827"/>
      <c r="J95" s="1827"/>
      <c r="K95" s="1782" t="str">
        <f>IFERROR(IFERROR('Multi-Customer'!$BG$39,VLOOKUP($D95,'Required Info to Submit'!$E$23:$J$32,2,FALSE)),"")</f>
        <v/>
      </c>
      <c r="L95" s="1782"/>
      <c r="M95" s="1782"/>
      <c r="N95" s="1782"/>
      <c r="O95" s="1782"/>
      <c r="P95" s="1782"/>
      <c r="Q95" s="1782"/>
      <c r="R95" s="1782"/>
      <c r="S95" s="1782"/>
      <c r="T95" s="1782"/>
      <c r="U95" s="1782" t="str">
        <f>IFERROR(IFERROR('Multi-Customer'!$BG$41&amp;" "&amp;'Multi-Customer'!$BG$42,VLOOKUP($D95,'Required Info to Submit'!$E$23:$J$32,3,FALSE)),"")</f>
        <v/>
      </c>
      <c r="V95" s="1782"/>
      <c r="W95" s="1782"/>
      <c r="X95" s="1782"/>
      <c r="Y95" s="1782"/>
      <c r="Z95" s="1782"/>
      <c r="AA95" s="1782"/>
      <c r="AB95" s="1782"/>
      <c r="AC95" s="1782"/>
      <c r="AD95" s="1782"/>
      <c r="AE95" s="1782"/>
      <c r="AF95" s="1782"/>
      <c r="AG95" s="1782"/>
      <c r="AH95" s="1782"/>
      <c r="AI95" s="1782"/>
      <c r="AJ95" s="1844" t="str">
        <f>IFERROR(IFERROR('Multi-Customer'!$BG$43,VLOOKUP($D95,'Required Info to Submit'!$E$23:$J$32,4,FALSE)),"")</f>
        <v/>
      </c>
      <c r="AK95" s="1845"/>
      <c r="AL95" s="1845"/>
      <c r="AM95" s="1845"/>
      <c r="AN95" s="1845"/>
      <c r="AO95" s="1845"/>
      <c r="AP95" s="1845"/>
      <c r="AQ95" s="1845"/>
      <c r="AR95" s="1845"/>
      <c r="AS95" s="1845"/>
      <c r="AT95" s="1846"/>
      <c r="AU95" s="1848" t="str">
        <f>IFERROR(IFERROR('Multi-Customer'!$BG$44,VLOOKUP($D95,'Required Info to Submit'!$E$23:$J$32,5,FALSE)),"")</f>
        <v/>
      </c>
      <c r="AV95" s="1849"/>
      <c r="AW95" s="1849"/>
      <c r="AX95" s="1850"/>
      <c r="AY95" s="1853" t="str">
        <f>IFERROR(IFERROR('Multi-Customer'!$BG$45,VLOOKUP($D95,'Required Info to Submit'!$E$23:$J$32,6,FALSE)),"")</f>
        <v/>
      </c>
      <c r="AZ95" s="1854"/>
      <c r="BA95" s="1854"/>
      <c r="BB95" s="1854"/>
      <c r="BC95" s="1855"/>
      <c r="BF95" s="138"/>
    </row>
    <row r="96" spans="1:70" x14ac:dyDescent="0.25">
      <c r="B96" s="137"/>
      <c r="C96" s="556">
        <v>2</v>
      </c>
      <c r="D96" s="1826">
        <f>'Customer Inputs'!$B$7</f>
        <v>0</v>
      </c>
      <c r="E96" s="1826"/>
      <c r="F96" s="1826"/>
      <c r="G96" s="1826"/>
      <c r="H96" s="1826"/>
      <c r="I96" s="1826"/>
      <c r="J96" s="1826"/>
      <c r="K96" s="1768" t="str">
        <f>IFERROR(IFERROR('Multi-Customer'!$CD$39,VLOOKUP($D96,'Required Info to Submit'!$E$23:$J$32,2,FALSE)),"")</f>
        <v/>
      </c>
      <c r="L96" s="1768"/>
      <c r="M96" s="1768"/>
      <c r="N96" s="1768"/>
      <c r="O96" s="1768"/>
      <c r="P96" s="1768"/>
      <c r="Q96" s="1768"/>
      <c r="R96" s="1768"/>
      <c r="S96" s="1768"/>
      <c r="T96" s="1768"/>
      <c r="U96" s="1768" t="str">
        <f>IFERROR(IFERROR('Multi-Customer'!$CD$41&amp;" "&amp;'Multi-Customer'!$CD$42,VLOOKUP($D96,'Required Info to Submit'!$E$23:$J$32,3,FALSE)),"")</f>
        <v/>
      </c>
      <c r="V96" s="1768"/>
      <c r="W96" s="1768"/>
      <c r="X96" s="1768"/>
      <c r="Y96" s="1768"/>
      <c r="Z96" s="1768"/>
      <c r="AA96" s="1768"/>
      <c r="AB96" s="1768"/>
      <c r="AC96" s="1768"/>
      <c r="AD96" s="1768"/>
      <c r="AE96" s="1768"/>
      <c r="AF96" s="1768"/>
      <c r="AG96" s="1768"/>
      <c r="AH96" s="1768"/>
      <c r="AI96" s="1768"/>
      <c r="AJ96" s="1841" t="str">
        <f>IFERROR(IFERROR('Multi-Customer'!$CD$43,VLOOKUP($D96,'Required Info to Submit'!$E$23:$J$32,4,FALSE)),"")</f>
        <v/>
      </c>
      <c r="AK96" s="1842"/>
      <c r="AL96" s="1842"/>
      <c r="AM96" s="1842"/>
      <c r="AN96" s="1842"/>
      <c r="AO96" s="1842"/>
      <c r="AP96" s="1842"/>
      <c r="AQ96" s="1842"/>
      <c r="AR96" s="1842"/>
      <c r="AS96" s="1842"/>
      <c r="AT96" s="1843"/>
      <c r="AU96" s="1710" t="str">
        <f>IFERROR(IFERROR('Multi-Customer'!$CD$44,VLOOKUP($D96,'Required Info to Submit'!$E$23:$J$32,5,FALSE)),"")</f>
        <v/>
      </c>
      <c r="AV96" s="1711"/>
      <c r="AW96" s="1711"/>
      <c r="AX96" s="1712"/>
      <c r="AY96" s="1759" t="str">
        <f>IFERROR(IFERROR('Multi-Customer'!$CD$45,VLOOKUP($D96,'Required Info to Submit'!$E$23:$J$32,6,FALSE)),"")</f>
        <v/>
      </c>
      <c r="AZ96" s="1760"/>
      <c r="BA96" s="1760"/>
      <c r="BB96" s="1760"/>
      <c r="BC96" s="1761"/>
      <c r="BF96" s="138"/>
    </row>
    <row r="97" spans="2:58" x14ac:dyDescent="0.25">
      <c r="B97" s="137"/>
      <c r="C97" s="556">
        <v>3</v>
      </c>
      <c r="D97" s="1826">
        <f>'Customer Inputs'!$B$8</f>
        <v>0</v>
      </c>
      <c r="E97" s="1826"/>
      <c r="F97" s="1826"/>
      <c r="G97" s="1826"/>
      <c r="H97" s="1826"/>
      <c r="I97" s="1826"/>
      <c r="J97" s="1826"/>
      <c r="K97" s="1768" t="str">
        <f>IFERROR(IFERROR('Multi-Customer'!$DA$39,VLOOKUP($D97,'Required Info to Submit'!$E$23:$J$32,2,FALSE)),"")</f>
        <v/>
      </c>
      <c r="L97" s="1768"/>
      <c r="M97" s="1768"/>
      <c r="N97" s="1768"/>
      <c r="O97" s="1768"/>
      <c r="P97" s="1768"/>
      <c r="Q97" s="1768"/>
      <c r="R97" s="1768"/>
      <c r="S97" s="1768"/>
      <c r="T97" s="1768"/>
      <c r="U97" s="1768" t="str">
        <f>IFERROR(IFERROR('Multi-Customer'!$DA$41&amp;" "&amp;'Multi-Customer'!$DA$42,VLOOKUP($D97,'Required Info to Submit'!$E$23:$J$32,3,FALSE)),"")</f>
        <v/>
      </c>
      <c r="V97" s="1768"/>
      <c r="W97" s="1768"/>
      <c r="X97" s="1768"/>
      <c r="Y97" s="1768"/>
      <c r="Z97" s="1768"/>
      <c r="AA97" s="1768"/>
      <c r="AB97" s="1768"/>
      <c r="AC97" s="1768"/>
      <c r="AD97" s="1768"/>
      <c r="AE97" s="1768"/>
      <c r="AF97" s="1768"/>
      <c r="AG97" s="1768"/>
      <c r="AH97" s="1768"/>
      <c r="AI97" s="1768"/>
      <c r="AJ97" s="1841" t="str">
        <f>IFERROR(IFERROR('Multi-Customer'!$DA$43,VLOOKUP($D97,'Required Info to Submit'!$E$23:$J$32,4,FALSE)),"")</f>
        <v/>
      </c>
      <c r="AK97" s="1842"/>
      <c r="AL97" s="1842"/>
      <c r="AM97" s="1842"/>
      <c r="AN97" s="1842"/>
      <c r="AO97" s="1842"/>
      <c r="AP97" s="1842"/>
      <c r="AQ97" s="1842"/>
      <c r="AR97" s="1842"/>
      <c r="AS97" s="1842"/>
      <c r="AT97" s="1843"/>
      <c r="AU97" s="1710" t="str">
        <f>IFERROR(IFERROR('Multi-Customer'!$DA$44,VLOOKUP($D97,'Required Info to Submit'!$E$23:$J$32,5,FALSE)),"")</f>
        <v/>
      </c>
      <c r="AV97" s="1711"/>
      <c r="AW97" s="1711"/>
      <c r="AX97" s="1712"/>
      <c r="AY97" s="1759" t="str">
        <f>IFERROR(IFERROR('Multi-Customer'!$DA$45,VLOOKUP($D97,'Required Info to Submit'!$E$23:$J$32,6,FALSE)),"")</f>
        <v/>
      </c>
      <c r="AZ97" s="1760"/>
      <c r="BA97" s="1760"/>
      <c r="BB97" s="1760"/>
      <c r="BC97" s="1761"/>
      <c r="BF97" s="138"/>
    </row>
    <row r="98" spans="2:58" x14ac:dyDescent="0.25">
      <c r="B98" s="137"/>
      <c r="C98" s="556">
        <v>4</v>
      </c>
      <c r="D98" s="1826">
        <f>'Customer Inputs'!$B$9</f>
        <v>0</v>
      </c>
      <c r="E98" s="1826"/>
      <c r="F98" s="1826"/>
      <c r="G98" s="1826"/>
      <c r="H98" s="1826"/>
      <c r="I98" s="1826"/>
      <c r="J98" s="1826"/>
      <c r="K98" s="1768" t="str">
        <f>IFERROR(IFERROR('Multi-Customer'!$DX$39,VLOOKUP($D98,'Required Info to Submit'!$E$23:$J$32,2,FALSE)),"")</f>
        <v/>
      </c>
      <c r="L98" s="1768"/>
      <c r="M98" s="1768"/>
      <c r="N98" s="1768"/>
      <c r="O98" s="1768"/>
      <c r="P98" s="1768"/>
      <c r="Q98" s="1768"/>
      <c r="R98" s="1768"/>
      <c r="S98" s="1768"/>
      <c r="T98" s="1768"/>
      <c r="U98" s="1768" t="str">
        <f>IFERROR(IFERROR('Multi-Customer'!$DX$41&amp;" "&amp;'Multi-Customer'!$DX$42,VLOOKUP($D98,'Required Info to Submit'!$E$23:$J$32,3,FALSE)),"")</f>
        <v/>
      </c>
      <c r="V98" s="1768"/>
      <c r="W98" s="1768"/>
      <c r="X98" s="1768"/>
      <c r="Y98" s="1768"/>
      <c r="Z98" s="1768"/>
      <c r="AA98" s="1768"/>
      <c r="AB98" s="1768"/>
      <c r="AC98" s="1768"/>
      <c r="AD98" s="1768"/>
      <c r="AE98" s="1768"/>
      <c r="AF98" s="1768"/>
      <c r="AG98" s="1768"/>
      <c r="AH98" s="1768"/>
      <c r="AI98" s="1768"/>
      <c r="AJ98" s="1841" t="str">
        <f>IFERROR(IFERROR('Multi-Customer'!$DX$43,VLOOKUP($D98,'Required Info to Submit'!$E$23:$J$32,4,FALSE)),"")</f>
        <v/>
      </c>
      <c r="AK98" s="1842"/>
      <c r="AL98" s="1842"/>
      <c r="AM98" s="1842"/>
      <c r="AN98" s="1842"/>
      <c r="AO98" s="1842"/>
      <c r="AP98" s="1842"/>
      <c r="AQ98" s="1842"/>
      <c r="AR98" s="1842"/>
      <c r="AS98" s="1842"/>
      <c r="AT98" s="1843"/>
      <c r="AU98" s="1710" t="str">
        <f>IFERROR(IFERROR('Multi-Customer'!$DX$44,VLOOKUP($D98,'Required Info to Submit'!$E$23:$J$32,5,FALSE)),"")</f>
        <v/>
      </c>
      <c r="AV98" s="1711"/>
      <c r="AW98" s="1711"/>
      <c r="AX98" s="1712"/>
      <c r="AY98" s="1759" t="str">
        <f>IFERROR(IFERROR('Multi-Customer'!$DX$45,VLOOKUP($D98,'Required Info to Submit'!$E$23:$J$32,6,FALSE)),"")</f>
        <v/>
      </c>
      <c r="AZ98" s="1760"/>
      <c r="BA98" s="1760"/>
      <c r="BB98" s="1760"/>
      <c r="BC98" s="1761"/>
      <c r="BF98" s="138"/>
    </row>
    <row r="99" spans="2:58" x14ac:dyDescent="0.25">
      <c r="B99" s="137"/>
      <c r="C99" s="556">
        <v>5</v>
      </c>
      <c r="D99" s="1826">
        <f>'Customer Inputs'!$B$10</f>
        <v>0</v>
      </c>
      <c r="E99" s="1826"/>
      <c r="F99" s="1826"/>
      <c r="G99" s="1826"/>
      <c r="H99" s="1826"/>
      <c r="I99" s="1826"/>
      <c r="J99" s="1826"/>
      <c r="K99" s="1768" t="str">
        <f>IFERROR(IFERROR('Multi-Customer'!$EU$39,VLOOKUP($D99,'Required Info to Submit'!$E$23:$J$32,2,FALSE)),"")</f>
        <v/>
      </c>
      <c r="L99" s="1768"/>
      <c r="M99" s="1768"/>
      <c r="N99" s="1768"/>
      <c r="O99" s="1768"/>
      <c r="P99" s="1768"/>
      <c r="Q99" s="1768"/>
      <c r="R99" s="1768"/>
      <c r="S99" s="1768"/>
      <c r="T99" s="1768"/>
      <c r="U99" s="1768" t="str">
        <f>IFERROR(IFERROR('Multi-Customer'!$EU$41&amp;" "&amp;'Multi-Customer'!$EU$42,VLOOKUP($D99,'Required Info to Submit'!$E$23:$J$32,3,FALSE)),"")</f>
        <v/>
      </c>
      <c r="V99" s="1768"/>
      <c r="W99" s="1768"/>
      <c r="X99" s="1768"/>
      <c r="Y99" s="1768"/>
      <c r="Z99" s="1768"/>
      <c r="AA99" s="1768"/>
      <c r="AB99" s="1768"/>
      <c r="AC99" s="1768"/>
      <c r="AD99" s="1768"/>
      <c r="AE99" s="1768"/>
      <c r="AF99" s="1768"/>
      <c r="AG99" s="1768"/>
      <c r="AH99" s="1768"/>
      <c r="AI99" s="1768"/>
      <c r="AJ99" s="1841" t="str">
        <f>IFERROR(IFERROR('Multi-Customer'!$EU$43,VLOOKUP($D99,'Required Info to Submit'!$E$23:$J$32,4,FALSE)),"")</f>
        <v/>
      </c>
      <c r="AK99" s="1842"/>
      <c r="AL99" s="1842"/>
      <c r="AM99" s="1842"/>
      <c r="AN99" s="1842"/>
      <c r="AO99" s="1842"/>
      <c r="AP99" s="1842"/>
      <c r="AQ99" s="1842"/>
      <c r="AR99" s="1842"/>
      <c r="AS99" s="1842"/>
      <c r="AT99" s="1843"/>
      <c r="AU99" s="1710" t="str">
        <f>IFERROR(IFERROR('Multi-Customer'!$EU$44,VLOOKUP($D99,'Required Info to Submit'!$E$23:$J$32,5,FALSE)),"")</f>
        <v/>
      </c>
      <c r="AV99" s="1711"/>
      <c r="AW99" s="1711"/>
      <c r="AX99" s="1712"/>
      <c r="AY99" s="1759" t="str">
        <f>IFERROR(IFERROR('Multi-Customer'!$EU$45,VLOOKUP($D99,'Required Info to Submit'!$E$23:$J$32,6,FALSE)),"")</f>
        <v/>
      </c>
      <c r="AZ99" s="1760"/>
      <c r="BA99" s="1760"/>
      <c r="BB99" s="1760"/>
      <c r="BC99" s="1761"/>
      <c r="BF99" s="138"/>
    </row>
    <row r="100" spans="2:58" x14ac:dyDescent="0.25">
      <c r="B100" s="137"/>
      <c r="C100" s="556">
        <v>6</v>
      </c>
      <c r="D100" s="1826">
        <f>'Customer Inputs'!$B$11</f>
        <v>0</v>
      </c>
      <c r="E100" s="1826"/>
      <c r="F100" s="1826"/>
      <c r="G100" s="1826"/>
      <c r="H100" s="1826"/>
      <c r="I100" s="1826"/>
      <c r="J100" s="1826"/>
      <c r="K100" s="1768" t="str">
        <f>IFERROR(IFERROR('Multi-Customer'!$FR$39,VLOOKUP($D100,'Required Info to Submit'!$E$23:$J$32,2,FALSE)),"")</f>
        <v/>
      </c>
      <c r="L100" s="1768"/>
      <c r="M100" s="1768"/>
      <c r="N100" s="1768"/>
      <c r="O100" s="1768"/>
      <c r="P100" s="1768"/>
      <c r="Q100" s="1768"/>
      <c r="R100" s="1768"/>
      <c r="S100" s="1768"/>
      <c r="T100" s="1768"/>
      <c r="U100" s="1768" t="str">
        <f>IFERROR(IFERROR('Multi-Customer'!$FR$41&amp;" "&amp;'Multi-Customer'!$FR$42,VLOOKUP($D100,'Required Info to Submit'!$E$23:$J$32,3,FALSE)),"")</f>
        <v/>
      </c>
      <c r="V100" s="1768"/>
      <c r="W100" s="1768"/>
      <c r="X100" s="1768"/>
      <c r="Y100" s="1768"/>
      <c r="Z100" s="1768"/>
      <c r="AA100" s="1768"/>
      <c r="AB100" s="1768"/>
      <c r="AC100" s="1768"/>
      <c r="AD100" s="1768"/>
      <c r="AE100" s="1768"/>
      <c r="AF100" s="1768"/>
      <c r="AG100" s="1768"/>
      <c r="AH100" s="1768"/>
      <c r="AI100" s="1768"/>
      <c r="AJ100" s="1841" t="str">
        <f>IFERROR(IFERROR('Multi-Customer'!$FR$43,VLOOKUP($D100,'Required Info to Submit'!$E$23:$J$32,4,FALSE)),"")</f>
        <v/>
      </c>
      <c r="AK100" s="1842"/>
      <c r="AL100" s="1842"/>
      <c r="AM100" s="1842"/>
      <c r="AN100" s="1842"/>
      <c r="AO100" s="1842"/>
      <c r="AP100" s="1842"/>
      <c r="AQ100" s="1842"/>
      <c r="AR100" s="1842"/>
      <c r="AS100" s="1842"/>
      <c r="AT100" s="1843"/>
      <c r="AU100" s="1710" t="str">
        <f>IFERROR(IFERROR('Multi-Customer'!$FR$44,VLOOKUP($D100,'Required Info to Submit'!$E$23:$J$32,5,FALSE)),"")</f>
        <v/>
      </c>
      <c r="AV100" s="1711"/>
      <c r="AW100" s="1711"/>
      <c r="AX100" s="1712"/>
      <c r="AY100" s="1759" t="str">
        <f>IFERROR(IFERROR('Multi-Customer'!$FR$45,VLOOKUP($D100,'Required Info to Submit'!$E$23:$J$32,6,FALSE)),"")</f>
        <v/>
      </c>
      <c r="AZ100" s="1760"/>
      <c r="BA100" s="1760"/>
      <c r="BB100" s="1760"/>
      <c r="BC100" s="1761"/>
      <c r="BF100" s="138"/>
    </row>
    <row r="101" spans="2:58" x14ac:dyDescent="0.25">
      <c r="B101" s="137"/>
      <c r="C101" s="556">
        <v>7</v>
      </c>
      <c r="D101" s="1826">
        <f>'Customer Inputs'!$B$12</f>
        <v>0</v>
      </c>
      <c r="E101" s="1826"/>
      <c r="F101" s="1826"/>
      <c r="G101" s="1826"/>
      <c r="H101" s="1826"/>
      <c r="I101" s="1826"/>
      <c r="J101" s="1826"/>
      <c r="K101" s="1768" t="str">
        <f>IFERROR(IFERROR('Multi-Customer'!$GO$39,VLOOKUP($D101,'Required Info to Submit'!$E$23:$J$32,2,FALSE)),"")</f>
        <v/>
      </c>
      <c r="L101" s="1768"/>
      <c r="M101" s="1768"/>
      <c r="N101" s="1768"/>
      <c r="O101" s="1768"/>
      <c r="P101" s="1768"/>
      <c r="Q101" s="1768"/>
      <c r="R101" s="1768"/>
      <c r="S101" s="1768"/>
      <c r="T101" s="1768"/>
      <c r="U101" s="1768" t="str">
        <f>IFERROR(IFERROR('Multi-Customer'!$GO$41&amp;" "&amp;'Multi-Customer'!$GO$42,VLOOKUP($D101,'Required Info to Submit'!$E$23:$J$32,3,FALSE)),"")</f>
        <v/>
      </c>
      <c r="V101" s="1768"/>
      <c r="W101" s="1768"/>
      <c r="X101" s="1768"/>
      <c r="Y101" s="1768"/>
      <c r="Z101" s="1768"/>
      <c r="AA101" s="1768"/>
      <c r="AB101" s="1768"/>
      <c r="AC101" s="1768"/>
      <c r="AD101" s="1768"/>
      <c r="AE101" s="1768"/>
      <c r="AF101" s="1768"/>
      <c r="AG101" s="1768"/>
      <c r="AH101" s="1768"/>
      <c r="AI101" s="1768"/>
      <c r="AJ101" s="1841" t="str">
        <f>IFERROR(IFERROR('Multi-Customer'!$GO$43,VLOOKUP($D101,'Required Info to Submit'!$E$23:$J$32,4,FALSE)),"")</f>
        <v/>
      </c>
      <c r="AK101" s="1842"/>
      <c r="AL101" s="1842"/>
      <c r="AM101" s="1842"/>
      <c r="AN101" s="1842"/>
      <c r="AO101" s="1842"/>
      <c r="AP101" s="1842"/>
      <c r="AQ101" s="1842"/>
      <c r="AR101" s="1842"/>
      <c r="AS101" s="1842"/>
      <c r="AT101" s="1843"/>
      <c r="AU101" s="1710" t="str">
        <f>IFERROR(IFERROR('Multi-Customer'!$GO$44,VLOOKUP($D101,'Required Info to Submit'!$E$23:$J$32,5,FALSE)),"")</f>
        <v/>
      </c>
      <c r="AV101" s="1711"/>
      <c r="AW101" s="1711"/>
      <c r="AX101" s="1712"/>
      <c r="AY101" s="1759" t="str">
        <f>IFERROR(IFERROR('Multi-Customer'!$GO$45,VLOOKUP($D101,'Required Info to Submit'!$E$23:$J$32,6,FALSE)),"")</f>
        <v/>
      </c>
      <c r="AZ101" s="1760"/>
      <c r="BA101" s="1760"/>
      <c r="BB101" s="1760"/>
      <c r="BC101" s="1761"/>
      <c r="BF101" s="138"/>
    </row>
    <row r="102" spans="2:58" x14ac:dyDescent="0.25">
      <c r="B102" s="137"/>
      <c r="C102" s="556">
        <v>8</v>
      </c>
      <c r="D102" s="1826">
        <f>'Customer Inputs'!$B$13</f>
        <v>0</v>
      </c>
      <c r="E102" s="1826"/>
      <c r="F102" s="1826"/>
      <c r="G102" s="1826"/>
      <c r="H102" s="1826"/>
      <c r="I102" s="1826"/>
      <c r="J102" s="1826"/>
      <c r="K102" s="1768" t="str">
        <f>IFERROR(IFERROR('Multi-Customer'!$HL$39,VLOOKUP($D102,'Required Info to Submit'!$E$23:$J$32,2,FALSE)),"")</f>
        <v/>
      </c>
      <c r="L102" s="1768"/>
      <c r="M102" s="1768"/>
      <c r="N102" s="1768"/>
      <c r="O102" s="1768"/>
      <c r="P102" s="1768"/>
      <c r="Q102" s="1768"/>
      <c r="R102" s="1768"/>
      <c r="S102" s="1768"/>
      <c r="T102" s="1768"/>
      <c r="U102" s="1768" t="str">
        <f>IFERROR(IFERROR('Multi-Customer'!$HL$41&amp;" "&amp;'Multi-Customer'!$HL$42,VLOOKUP($D102,'Required Info to Submit'!$E$23:$J$32,3,FALSE)),"")</f>
        <v/>
      </c>
      <c r="V102" s="1768"/>
      <c r="W102" s="1768"/>
      <c r="X102" s="1768"/>
      <c r="Y102" s="1768"/>
      <c r="Z102" s="1768"/>
      <c r="AA102" s="1768"/>
      <c r="AB102" s="1768"/>
      <c r="AC102" s="1768"/>
      <c r="AD102" s="1768"/>
      <c r="AE102" s="1768"/>
      <c r="AF102" s="1768"/>
      <c r="AG102" s="1768"/>
      <c r="AH102" s="1768"/>
      <c r="AI102" s="1768"/>
      <c r="AJ102" s="1841" t="str">
        <f>IFERROR(IFERROR('Multi-Customer'!$HL$43,VLOOKUP($D102,'Required Info to Submit'!$E$23:$J$32,4,FALSE)),"")</f>
        <v/>
      </c>
      <c r="AK102" s="1842"/>
      <c r="AL102" s="1842"/>
      <c r="AM102" s="1842"/>
      <c r="AN102" s="1842"/>
      <c r="AO102" s="1842"/>
      <c r="AP102" s="1842"/>
      <c r="AQ102" s="1842"/>
      <c r="AR102" s="1842"/>
      <c r="AS102" s="1842"/>
      <c r="AT102" s="1843"/>
      <c r="AU102" s="1710" t="str">
        <f>IFERROR(IFERROR('Multi-Customer'!$HL$44,VLOOKUP($D102,'Required Info to Submit'!$E$23:$J$32,5,FALSE)),"")</f>
        <v/>
      </c>
      <c r="AV102" s="1711"/>
      <c r="AW102" s="1711"/>
      <c r="AX102" s="1712"/>
      <c r="AY102" s="1759" t="str">
        <f>IFERROR(IFERROR('Multi-Customer'!$HL$45,VLOOKUP($D102,'Required Info to Submit'!$E$23:$J$32,6,FALSE)),"")</f>
        <v/>
      </c>
      <c r="AZ102" s="1760"/>
      <c r="BA102" s="1760"/>
      <c r="BB102" s="1760"/>
      <c r="BC102" s="1761"/>
      <c r="BF102" s="138"/>
    </row>
    <row r="103" spans="2:58" x14ac:dyDescent="0.25">
      <c r="B103" s="137"/>
      <c r="C103" s="556">
        <v>9</v>
      </c>
      <c r="D103" s="1826">
        <f>'Customer Inputs'!$B$14</f>
        <v>0</v>
      </c>
      <c r="E103" s="1826"/>
      <c r="F103" s="1826"/>
      <c r="G103" s="1826"/>
      <c r="H103" s="1826"/>
      <c r="I103" s="1826"/>
      <c r="J103" s="1826"/>
      <c r="K103" s="1768" t="str">
        <f>IFERROR(IFERROR('Multi-Customer'!$II$39,VLOOKUP($D103,'Required Info to Submit'!$E$23:$J$32,2,FALSE)),"")</f>
        <v/>
      </c>
      <c r="L103" s="1768"/>
      <c r="M103" s="1768"/>
      <c r="N103" s="1768"/>
      <c r="O103" s="1768"/>
      <c r="P103" s="1768"/>
      <c r="Q103" s="1768"/>
      <c r="R103" s="1768"/>
      <c r="S103" s="1768"/>
      <c r="T103" s="1768"/>
      <c r="U103" s="1768" t="str">
        <f>IFERROR(IFERROR('Multi-Customer'!$II$41&amp;" "&amp;'Multi-Customer'!$II$42,VLOOKUP($D103,'Required Info to Submit'!$E$23:$J$32,3,FALSE)),"")</f>
        <v/>
      </c>
      <c r="V103" s="1768"/>
      <c r="W103" s="1768"/>
      <c r="X103" s="1768"/>
      <c r="Y103" s="1768"/>
      <c r="Z103" s="1768"/>
      <c r="AA103" s="1768"/>
      <c r="AB103" s="1768"/>
      <c r="AC103" s="1768"/>
      <c r="AD103" s="1768"/>
      <c r="AE103" s="1768"/>
      <c r="AF103" s="1768"/>
      <c r="AG103" s="1768"/>
      <c r="AH103" s="1768"/>
      <c r="AI103" s="1768"/>
      <c r="AJ103" s="1841" t="str">
        <f>IFERROR(IFERROR('Multi-Customer'!$II$43,VLOOKUP($D103,'Required Info to Submit'!$E$23:$J$32,4,FALSE)),"")</f>
        <v/>
      </c>
      <c r="AK103" s="1842"/>
      <c r="AL103" s="1842"/>
      <c r="AM103" s="1842"/>
      <c r="AN103" s="1842"/>
      <c r="AO103" s="1842"/>
      <c r="AP103" s="1842"/>
      <c r="AQ103" s="1842"/>
      <c r="AR103" s="1842"/>
      <c r="AS103" s="1842"/>
      <c r="AT103" s="1843"/>
      <c r="AU103" s="1710" t="str">
        <f>IFERROR(IFERROR('Multi-Customer'!$II$44,VLOOKUP($D103,'Required Info to Submit'!$E$23:$J$32,5,FALSE)),"")</f>
        <v/>
      </c>
      <c r="AV103" s="1711"/>
      <c r="AW103" s="1711"/>
      <c r="AX103" s="1712"/>
      <c r="AY103" s="1759" t="str">
        <f>IFERROR(IFERROR('Multi-Customer'!$II$45,VLOOKUP($D103,'Required Info to Submit'!$E$23:$J$32,6,FALSE)),"")</f>
        <v/>
      </c>
      <c r="AZ103" s="1760"/>
      <c r="BA103" s="1760"/>
      <c r="BB103" s="1760"/>
      <c r="BC103" s="1761"/>
      <c r="BF103" s="138"/>
    </row>
    <row r="104" spans="2:58" ht="15.75" thickBot="1" x14ac:dyDescent="0.3">
      <c r="B104" s="137"/>
      <c r="C104" s="557">
        <v>10</v>
      </c>
      <c r="D104" s="1837">
        <f>'Customer Inputs'!$B$15</f>
        <v>0</v>
      </c>
      <c r="E104" s="1837"/>
      <c r="F104" s="1837"/>
      <c r="G104" s="1837"/>
      <c r="H104" s="1837"/>
      <c r="I104" s="1837"/>
      <c r="J104" s="1837"/>
      <c r="K104" s="1836" t="str">
        <f>IFERROR(IFERROR('Multi-Customer'!$JF$39,VLOOKUP($D104,'Required Info to Submit'!$E$23:$J$32,2,FALSE)),"")</f>
        <v/>
      </c>
      <c r="L104" s="1836"/>
      <c r="M104" s="1836"/>
      <c r="N104" s="1836"/>
      <c r="O104" s="1836"/>
      <c r="P104" s="1836"/>
      <c r="Q104" s="1836"/>
      <c r="R104" s="1836"/>
      <c r="S104" s="1836"/>
      <c r="T104" s="1836"/>
      <c r="U104" s="1836" t="str">
        <f>IFERROR(IFERROR('Multi-Customer'!$JF$41&amp;" "&amp;'Multi-Customer'!$JF$42,VLOOKUP($D104,'Required Info to Submit'!$E$23:$J$32,3,FALSE)),"")</f>
        <v/>
      </c>
      <c r="V104" s="1836"/>
      <c r="W104" s="1836"/>
      <c r="X104" s="1836"/>
      <c r="Y104" s="1836"/>
      <c r="Z104" s="1836"/>
      <c r="AA104" s="1836"/>
      <c r="AB104" s="1836"/>
      <c r="AC104" s="1836"/>
      <c r="AD104" s="1836"/>
      <c r="AE104" s="1836"/>
      <c r="AF104" s="1836"/>
      <c r="AG104" s="1836"/>
      <c r="AH104" s="1836"/>
      <c r="AI104" s="1836"/>
      <c r="AJ104" s="1838" t="str">
        <f>IFERROR(IFERROR('Multi-Customer'!$JF$43,VLOOKUP($D104,'Required Info to Submit'!$E$23:$J$32,4,FALSE)),"")</f>
        <v/>
      </c>
      <c r="AK104" s="1839"/>
      <c r="AL104" s="1839"/>
      <c r="AM104" s="1839"/>
      <c r="AN104" s="1839"/>
      <c r="AO104" s="1839"/>
      <c r="AP104" s="1839"/>
      <c r="AQ104" s="1839"/>
      <c r="AR104" s="1839"/>
      <c r="AS104" s="1839"/>
      <c r="AT104" s="1840"/>
      <c r="AU104" s="1857" t="str">
        <f>IFERROR(IFERROR('Multi-Customer'!$JF$44,VLOOKUP($D104,'Required Info to Submit'!$E$23:$J$32,5,FALSE)),"")</f>
        <v/>
      </c>
      <c r="AV104" s="1858"/>
      <c r="AW104" s="1858"/>
      <c r="AX104" s="1859"/>
      <c r="AY104" s="1851" t="str">
        <f>IFERROR(IFERROR('Multi-Customer'!$JF$45,VLOOKUP($D104,'Required Info to Submit'!$E$23:$J$32,6,FALSE)),"")</f>
        <v/>
      </c>
      <c r="AZ104" s="1852"/>
      <c r="BA104" s="1852"/>
      <c r="BB104" s="1852"/>
      <c r="BC104" s="1741"/>
      <c r="BF104" s="138"/>
    </row>
    <row r="105" spans="2:58" x14ac:dyDescent="0.25">
      <c r="B105" s="137"/>
      <c r="BF105" s="138"/>
    </row>
    <row r="106" spans="2:58" x14ac:dyDescent="0.25">
      <c r="B106" s="137"/>
      <c r="BF106" s="138"/>
    </row>
    <row r="107" spans="2:58" ht="18.75" x14ac:dyDescent="0.3">
      <c r="B107" s="1814" t="s">
        <v>971</v>
      </c>
      <c r="C107" s="1815"/>
      <c r="D107" s="1815"/>
      <c r="E107" s="1815"/>
      <c r="F107" s="1815"/>
      <c r="G107" s="1815"/>
      <c r="H107" s="1815"/>
      <c r="I107" s="1815"/>
      <c r="J107" s="1815"/>
      <c r="K107" s="1815"/>
      <c r="L107" s="1815"/>
      <c r="M107" s="1815"/>
      <c r="N107" s="1815"/>
      <c r="O107" s="1815"/>
      <c r="P107" s="1815"/>
      <c r="Q107" s="1815"/>
      <c r="R107" s="1815"/>
      <c r="S107" s="1815"/>
      <c r="T107" s="1815"/>
      <c r="U107" s="1815"/>
      <c r="V107" s="1815"/>
      <c r="W107" s="1815"/>
      <c r="X107" s="1815"/>
      <c r="Y107" s="1815"/>
      <c r="Z107" s="1815"/>
      <c r="AA107" s="1815"/>
      <c r="AB107" s="1815"/>
      <c r="AC107" s="1815"/>
      <c r="AD107" s="1815"/>
      <c r="AE107" s="1815"/>
      <c r="AF107" s="1815"/>
      <c r="AG107" s="1815"/>
      <c r="AH107" s="1815"/>
      <c r="AI107" s="1815"/>
      <c r="AJ107" s="1815"/>
      <c r="AK107" s="1815"/>
      <c r="AL107" s="1815"/>
      <c r="AM107" s="1815"/>
      <c r="AN107" s="1815"/>
      <c r="AO107" s="1815"/>
      <c r="AP107" s="1815"/>
      <c r="AQ107" s="1815"/>
      <c r="AR107" s="1815"/>
      <c r="AS107" s="1815"/>
      <c r="AT107" s="1815"/>
      <c r="AU107" s="1815"/>
      <c r="AV107" s="1815"/>
      <c r="AW107" s="1815"/>
      <c r="AX107" s="1815"/>
      <c r="AY107" s="1815"/>
      <c r="AZ107" s="1815"/>
      <c r="BA107" s="1815"/>
      <c r="BB107" s="1815"/>
      <c r="BC107" s="1815"/>
      <c r="BD107" s="1815"/>
      <c r="BE107" s="1815"/>
      <c r="BF107" s="1816"/>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784" t="s">
        <v>972</v>
      </c>
      <c r="V109" s="1754"/>
      <c r="W109" s="1754"/>
      <c r="X109" s="1754"/>
      <c r="Y109" s="1754"/>
      <c r="Z109" s="1754" t="s">
        <v>965</v>
      </c>
      <c r="AA109" s="1754"/>
      <c r="AB109" s="1754"/>
      <c r="AC109" s="1754"/>
      <c r="AD109" s="1754"/>
      <c r="AE109" s="1754"/>
      <c r="AF109" s="1754" t="s">
        <v>966</v>
      </c>
      <c r="AG109" s="1754"/>
      <c r="AH109" s="1754"/>
      <c r="AI109" s="1754"/>
      <c r="AJ109" s="1754"/>
      <c r="AK109" s="1754"/>
      <c r="AL109" s="1754"/>
      <c r="AM109" s="1754" t="s">
        <v>969</v>
      </c>
      <c r="AN109" s="1754"/>
      <c r="AO109" s="1754"/>
      <c r="AP109" s="1754"/>
      <c r="AQ109" s="1754"/>
      <c r="AR109" s="1754"/>
      <c r="AS109" s="1755"/>
      <c r="AT109" s="241"/>
      <c r="AU109" s="241"/>
      <c r="AV109" s="241"/>
      <c r="AW109" s="241"/>
      <c r="AX109" s="241"/>
      <c r="AY109" s="241"/>
      <c r="AZ109" s="241"/>
      <c r="BA109" s="241"/>
      <c r="BB109" s="241"/>
      <c r="BC109" s="241"/>
      <c r="BD109" s="241"/>
      <c r="BE109" s="241"/>
      <c r="BF109" s="559"/>
    </row>
    <row r="110" spans="2:58" x14ac:dyDescent="0.25">
      <c r="B110" s="137"/>
      <c r="D110" s="1781" t="s">
        <v>99</v>
      </c>
      <c r="E110" s="1782"/>
      <c r="F110" s="1782"/>
      <c r="G110" s="1782"/>
      <c r="H110" s="1782"/>
      <c r="I110" s="1782"/>
      <c r="J110" s="1782"/>
      <c r="K110" s="1782"/>
      <c r="L110" s="1782"/>
      <c r="M110" s="1782"/>
      <c r="N110" s="1782"/>
      <c r="O110" s="1782"/>
      <c r="P110" s="1782"/>
      <c r="Q110" s="1782"/>
      <c r="R110" s="1782"/>
      <c r="S110" s="1782"/>
      <c r="T110" s="1783"/>
      <c r="U110" s="1771" t="str">
        <f>IF('PIM Model'!$B$10=0,"",'PIM Model'!$B$10)</f>
        <v/>
      </c>
      <c r="V110" s="1772"/>
      <c r="W110" s="1772"/>
      <c r="X110" s="1772"/>
      <c r="Y110" s="1772"/>
      <c r="Z110" s="1772" t="str">
        <f>'PIM Model'!$AF$10</f>
        <v/>
      </c>
      <c r="AA110" s="1772"/>
      <c r="AB110" s="1772"/>
      <c r="AC110" s="1772"/>
      <c r="AD110" s="1772"/>
      <c r="AE110" s="1772"/>
      <c r="AF110" s="1756" t="str">
        <f>'PIM Model'!$AG$10</f>
        <v/>
      </c>
      <c r="AG110" s="1757"/>
      <c r="AH110" s="1757"/>
      <c r="AI110" s="1757"/>
      <c r="AJ110" s="1757"/>
      <c r="AK110" s="1757"/>
      <c r="AL110" s="1764"/>
      <c r="AM110" s="1756" t="str">
        <f>'PIM Model'!$AH$10</f>
        <v/>
      </c>
      <c r="AN110" s="1757"/>
      <c r="AO110" s="1757"/>
      <c r="AP110" s="1757"/>
      <c r="AQ110" s="1757"/>
      <c r="AR110" s="1757"/>
      <c r="AS110" s="1758"/>
      <c r="BF110" s="138"/>
    </row>
    <row r="111" spans="2:58" x14ac:dyDescent="0.25">
      <c r="B111" s="137"/>
      <c r="D111" s="1767" t="s">
        <v>103</v>
      </c>
      <c r="E111" s="1768"/>
      <c r="F111" s="1768"/>
      <c r="G111" s="1768"/>
      <c r="H111" s="1768"/>
      <c r="I111" s="1768"/>
      <c r="J111" s="1768"/>
      <c r="K111" s="1768"/>
      <c r="L111" s="1768"/>
      <c r="M111" s="1768"/>
      <c r="N111" s="1768"/>
      <c r="O111" s="1768"/>
      <c r="P111" s="1768"/>
      <c r="Q111" s="1768"/>
      <c r="R111" s="1768"/>
      <c r="S111" s="1768"/>
      <c r="T111" s="1769"/>
      <c r="U111" s="1766" t="str">
        <f>IF('PIM Model'!$B$11=0,"",'PIM Model'!$B$11)</f>
        <v/>
      </c>
      <c r="V111" s="1709"/>
      <c r="W111" s="1709"/>
      <c r="X111" s="1709"/>
      <c r="Y111" s="1709"/>
      <c r="Z111" s="1709" t="str">
        <f>'PIM Model'!$AF$11</f>
        <v/>
      </c>
      <c r="AA111" s="1709"/>
      <c r="AB111" s="1709"/>
      <c r="AC111" s="1709"/>
      <c r="AD111" s="1709"/>
      <c r="AE111" s="1709"/>
      <c r="AF111" s="1759" t="str">
        <f>'PIM Model'!$AG$11</f>
        <v/>
      </c>
      <c r="AG111" s="1760"/>
      <c r="AH111" s="1760"/>
      <c r="AI111" s="1760"/>
      <c r="AJ111" s="1760"/>
      <c r="AK111" s="1760"/>
      <c r="AL111" s="1765"/>
      <c r="AM111" s="1759" t="str">
        <f>'PIM Model'!$AH$11</f>
        <v/>
      </c>
      <c r="AN111" s="1760"/>
      <c r="AO111" s="1760"/>
      <c r="AP111" s="1760"/>
      <c r="AQ111" s="1760"/>
      <c r="AR111" s="1760"/>
      <c r="AS111" s="1761"/>
      <c r="BF111" s="138"/>
    </row>
    <row r="112" spans="2:58" x14ac:dyDescent="0.25">
      <c r="B112" s="137"/>
      <c r="D112" s="1767" t="s">
        <v>1308</v>
      </c>
      <c r="E112" s="1768"/>
      <c r="F112" s="1768"/>
      <c r="G112" s="1768"/>
      <c r="H112" s="1768"/>
      <c r="I112" s="1768"/>
      <c r="J112" s="1768"/>
      <c r="K112" s="1768"/>
      <c r="L112" s="1768"/>
      <c r="M112" s="1768"/>
      <c r="N112" s="1768"/>
      <c r="O112" s="1768"/>
      <c r="P112" s="1768"/>
      <c r="Q112" s="1768"/>
      <c r="R112" s="1768"/>
      <c r="S112" s="1768"/>
      <c r="T112" s="1769"/>
      <c r="U112" s="1766" t="str">
        <f>IF('PIM Model'!$B$12=0,"",'PIM Model'!$B$12)</f>
        <v/>
      </c>
      <c r="V112" s="1709"/>
      <c r="W112" s="1709"/>
      <c r="X112" s="1709"/>
      <c r="Y112" s="1709"/>
      <c r="Z112" s="1709" t="str">
        <f>'PIM Model'!$AF$12</f>
        <v/>
      </c>
      <c r="AA112" s="1709"/>
      <c r="AB112" s="1709"/>
      <c r="AC112" s="1709"/>
      <c r="AD112" s="1709"/>
      <c r="AE112" s="1709"/>
      <c r="AF112" s="1759" t="str">
        <f>'PIM Model'!$AG$12</f>
        <v/>
      </c>
      <c r="AG112" s="1760"/>
      <c r="AH112" s="1760"/>
      <c r="AI112" s="1760"/>
      <c r="AJ112" s="1760"/>
      <c r="AK112" s="1760"/>
      <c r="AL112" s="1765"/>
      <c r="AM112" s="1759" t="str">
        <f>'PIM Model'!$AH$12</f>
        <v/>
      </c>
      <c r="AN112" s="1760"/>
      <c r="AO112" s="1760"/>
      <c r="AP112" s="1760"/>
      <c r="AQ112" s="1760"/>
      <c r="AR112" s="1760"/>
      <c r="AS112" s="1761"/>
      <c r="BF112" s="138"/>
    </row>
    <row r="113" spans="2:58" x14ac:dyDescent="0.25">
      <c r="B113" s="137"/>
      <c r="D113" s="1767" t="s">
        <v>102</v>
      </c>
      <c r="E113" s="1768"/>
      <c r="F113" s="1768"/>
      <c r="G113" s="1768"/>
      <c r="H113" s="1768"/>
      <c r="I113" s="1768"/>
      <c r="J113" s="1768"/>
      <c r="K113" s="1768"/>
      <c r="L113" s="1768"/>
      <c r="M113" s="1768"/>
      <c r="N113" s="1768"/>
      <c r="O113" s="1768"/>
      <c r="P113" s="1768"/>
      <c r="Q113" s="1768"/>
      <c r="R113" s="1768"/>
      <c r="S113" s="1768"/>
      <c r="T113" s="1769"/>
      <c r="U113" s="1766" t="str">
        <f>IF('PIM Model'!$B$13=0,"",'PIM Model'!$B$13)</f>
        <v/>
      </c>
      <c r="V113" s="1709"/>
      <c r="W113" s="1709"/>
      <c r="X113" s="1709"/>
      <c r="Y113" s="1709"/>
      <c r="Z113" s="1709" t="str">
        <f>'PIM Model'!$AF$13</f>
        <v/>
      </c>
      <c r="AA113" s="1709"/>
      <c r="AB113" s="1709"/>
      <c r="AC113" s="1709"/>
      <c r="AD113" s="1709"/>
      <c r="AE113" s="1709"/>
      <c r="AF113" s="1759" t="str">
        <f>'PIM Model'!$AG$13</f>
        <v/>
      </c>
      <c r="AG113" s="1760"/>
      <c r="AH113" s="1760"/>
      <c r="AI113" s="1760"/>
      <c r="AJ113" s="1760"/>
      <c r="AK113" s="1760"/>
      <c r="AL113" s="1765"/>
      <c r="AM113" s="1759" t="str">
        <f>'PIM Model'!$AH$13</f>
        <v/>
      </c>
      <c r="AN113" s="1760"/>
      <c r="AO113" s="1760"/>
      <c r="AP113" s="1760"/>
      <c r="AQ113" s="1760"/>
      <c r="AR113" s="1760"/>
      <c r="AS113" s="1761"/>
      <c r="BF113" s="138"/>
    </row>
    <row r="114" spans="2:58" x14ac:dyDescent="0.25">
      <c r="B114" s="137"/>
      <c r="D114" s="1767" t="s">
        <v>100</v>
      </c>
      <c r="E114" s="1768"/>
      <c r="F114" s="1768"/>
      <c r="G114" s="1768"/>
      <c r="H114" s="1768"/>
      <c r="I114" s="1768"/>
      <c r="J114" s="1768"/>
      <c r="K114" s="1768"/>
      <c r="L114" s="1768"/>
      <c r="M114" s="1768"/>
      <c r="N114" s="1768"/>
      <c r="O114" s="1768"/>
      <c r="P114" s="1768"/>
      <c r="Q114" s="1768"/>
      <c r="R114" s="1768"/>
      <c r="S114" s="1768"/>
      <c r="T114" s="1769"/>
      <c r="U114" s="1766" t="str">
        <f>IF('PIM Model'!$B$14=0,"",'PIM Model'!$B$14)</f>
        <v/>
      </c>
      <c r="V114" s="1709"/>
      <c r="W114" s="1709"/>
      <c r="X114" s="1709"/>
      <c r="Y114" s="1709"/>
      <c r="Z114" s="1709" t="str">
        <f>'PIM Model'!$AF$14</f>
        <v/>
      </c>
      <c r="AA114" s="1709"/>
      <c r="AB114" s="1709"/>
      <c r="AC114" s="1709"/>
      <c r="AD114" s="1709"/>
      <c r="AE114" s="1709"/>
      <c r="AF114" s="1759" t="str">
        <f>'PIM Model'!$AG$14</f>
        <v/>
      </c>
      <c r="AG114" s="1760"/>
      <c r="AH114" s="1760"/>
      <c r="AI114" s="1760"/>
      <c r="AJ114" s="1760"/>
      <c r="AK114" s="1760"/>
      <c r="AL114" s="1765"/>
      <c r="AM114" s="1759" t="str">
        <f>'PIM Model'!$AH$14</f>
        <v/>
      </c>
      <c r="AN114" s="1760"/>
      <c r="AO114" s="1760"/>
      <c r="AP114" s="1760"/>
      <c r="AQ114" s="1760"/>
      <c r="AR114" s="1760"/>
      <c r="AS114" s="1761"/>
      <c r="BF114" s="138"/>
    </row>
    <row r="115" spans="2:58" x14ac:dyDescent="0.25">
      <c r="B115" s="137"/>
      <c r="D115" s="1767" t="s">
        <v>104</v>
      </c>
      <c r="E115" s="1768"/>
      <c r="F115" s="1768"/>
      <c r="G115" s="1768"/>
      <c r="H115" s="1768"/>
      <c r="I115" s="1768"/>
      <c r="J115" s="1768"/>
      <c r="K115" s="1768"/>
      <c r="L115" s="1768"/>
      <c r="M115" s="1768"/>
      <c r="N115" s="1768"/>
      <c r="O115" s="1768"/>
      <c r="P115" s="1768"/>
      <c r="Q115" s="1768"/>
      <c r="R115" s="1768"/>
      <c r="S115" s="1768"/>
      <c r="T115" s="1769"/>
      <c r="U115" s="1766" t="str">
        <f>IF('PIM Model'!$B$15=0,"",'PIM Model'!$B$15)</f>
        <v/>
      </c>
      <c r="V115" s="1709"/>
      <c r="W115" s="1709"/>
      <c r="X115" s="1709"/>
      <c r="Y115" s="1709"/>
      <c r="Z115" s="1709" t="str">
        <f>'PIM Model'!$AF$15</f>
        <v/>
      </c>
      <c r="AA115" s="1709"/>
      <c r="AB115" s="1709"/>
      <c r="AC115" s="1709"/>
      <c r="AD115" s="1709"/>
      <c r="AE115" s="1709"/>
      <c r="AF115" s="1759" t="str">
        <f>'PIM Model'!$AG$15</f>
        <v/>
      </c>
      <c r="AG115" s="1760"/>
      <c r="AH115" s="1760"/>
      <c r="AI115" s="1760"/>
      <c r="AJ115" s="1760"/>
      <c r="AK115" s="1760"/>
      <c r="AL115" s="1765"/>
      <c r="AM115" s="1759" t="str">
        <f>'PIM Model'!$AH$15</f>
        <v/>
      </c>
      <c r="AN115" s="1760"/>
      <c r="AO115" s="1760"/>
      <c r="AP115" s="1760"/>
      <c r="AQ115" s="1760"/>
      <c r="AR115" s="1760"/>
      <c r="AS115" s="1761"/>
      <c r="BF115" s="138"/>
    </row>
    <row r="116" spans="2:58" x14ac:dyDescent="0.25">
      <c r="B116" s="137"/>
      <c r="D116" s="1767" t="s">
        <v>98</v>
      </c>
      <c r="E116" s="1768"/>
      <c r="F116" s="1768"/>
      <c r="G116" s="1768"/>
      <c r="H116" s="1768"/>
      <c r="I116" s="1768"/>
      <c r="J116" s="1768"/>
      <c r="K116" s="1768"/>
      <c r="L116" s="1768"/>
      <c r="M116" s="1768"/>
      <c r="N116" s="1768"/>
      <c r="O116" s="1768"/>
      <c r="P116" s="1768"/>
      <c r="Q116" s="1768"/>
      <c r="R116" s="1768"/>
      <c r="S116" s="1768"/>
      <c r="T116" s="1769"/>
      <c r="U116" s="1766" t="str">
        <f>IF('PIM Model'!$B$16=0,"",'PIM Model'!$B$16)</f>
        <v/>
      </c>
      <c r="V116" s="1709"/>
      <c r="W116" s="1709"/>
      <c r="X116" s="1709"/>
      <c r="Y116" s="1709"/>
      <c r="Z116" s="1709" t="str">
        <f>'PIM Model'!$AF$16</f>
        <v/>
      </c>
      <c r="AA116" s="1709"/>
      <c r="AB116" s="1709"/>
      <c r="AC116" s="1709"/>
      <c r="AD116" s="1709"/>
      <c r="AE116" s="1709"/>
      <c r="AF116" s="1759" t="str">
        <f>'PIM Model'!$AG$16</f>
        <v/>
      </c>
      <c r="AG116" s="1760"/>
      <c r="AH116" s="1760"/>
      <c r="AI116" s="1760"/>
      <c r="AJ116" s="1760"/>
      <c r="AK116" s="1760"/>
      <c r="AL116" s="1765"/>
      <c r="AM116" s="1759" t="str">
        <f>'PIM Model'!$AH$16</f>
        <v/>
      </c>
      <c r="AN116" s="1760"/>
      <c r="AO116" s="1760"/>
      <c r="AP116" s="1760"/>
      <c r="AQ116" s="1760"/>
      <c r="AR116" s="1760"/>
      <c r="AS116" s="1761"/>
      <c r="BF116" s="138"/>
    </row>
    <row r="117" spans="2:58" x14ac:dyDescent="0.25">
      <c r="B117" s="137"/>
      <c r="D117" s="1767" t="s">
        <v>95</v>
      </c>
      <c r="E117" s="1768"/>
      <c r="F117" s="1768"/>
      <c r="G117" s="1768"/>
      <c r="H117" s="1768"/>
      <c r="I117" s="1768"/>
      <c r="J117" s="1768"/>
      <c r="K117" s="1768"/>
      <c r="L117" s="1768"/>
      <c r="M117" s="1768"/>
      <c r="N117" s="1768"/>
      <c r="O117" s="1768"/>
      <c r="P117" s="1768"/>
      <c r="Q117" s="1768"/>
      <c r="R117" s="1768"/>
      <c r="S117" s="1768"/>
      <c r="T117" s="1769"/>
      <c r="U117" s="1766" t="str">
        <f>IF('PIM Model'!$B$17=0,"",'PIM Model'!$B$17)</f>
        <v/>
      </c>
      <c r="V117" s="1709"/>
      <c r="W117" s="1709"/>
      <c r="X117" s="1709"/>
      <c r="Y117" s="1709"/>
      <c r="Z117" s="1709" t="str">
        <f>'PIM Model'!$AF$17</f>
        <v/>
      </c>
      <c r="AA117" s="1709"/>
      <c r="AB117" s="1709"/>
      <c r="AC117" s="1709"/>
      <c r="AD117" s="1709"/>
      <c r="AE117" s="1709"/>
      <c r="AF117" s="1759" t="str">
        <f>'PIM Model'!$AG$17</f>
        <v/>
      </c>
      <c r="AG117" s="1760"/>
      <c r="AH117" s="1760"/>
      <c r="AI117" s="1760"/>
      <c r="AJ117" s="1760"/>
      <c r="AK117" s="1760"/>
      <c r="AL117" s="1765"/>
      <c r="AM117" s="1759" t="str">
        <f>'PIM Model'!$AH$17</f>
        <v/>
      </c>
      <c r="AN117" s="1760"/>
      <c r="AO117" s="1760"/>
      <c r="AP117" s="1760"/>
      <c r="AQ117" s="1760"/>
      <c r="AR117" s="1760"/>
      <c r="AS117" s="1761"/>
      <c r="BF117" s="138"/>
    </row>
    <row r="118" spans="2:58" x14ac:dyDescent="0.25">
      <c r="B118" s="137"/>
      <c r="D118" s="1767" t="s">
        <v>96</v>
      </c>
      <c r="E118" s="1768"/>
      <c r="F118" s="1768"/>
      <c r="G118" s="1768"/>
      <c r="H118" s="1768"/>
      <c r="I118" s="1768"/>
      <c r="J118" s="1768"/>
      <c r="K118" s="1768"/>
      <c r="L118" s="1768"/>
      <c r="M118" s="1768"/>
      <c r="N118" s="1768"/>
      <c r="O118" s="1768"/>
      <c r="P118" s="1768"/>
      <c r="Q118" s="1768"/>
      <c r="R118" s="1768"/>
      <c r="S118" s="1768"/>
      <c r="T118" s="1769"/>
      <c r="U118" s="1766" t="str">
        <f>IF('PIM Model'!$B$18=0,"",'PIM Model'!$B$18)</f>
        <v/>
      </c>
      <c r="V118" s="1709"/>
      <c r="W118" s="1709"/>
      <c r="X118" s="1709"/>
      <c r="Y118" s="1709"/>
      <c r="Z118" s="1709" t="str">
        <f>'PIM Model'!$AF$18</f>
        <v/>
      </c>
      <c r="AA118" s="1709"/>
      <c r="AB118" s="1709"/>
      <c r="AC118" s="1709"/>
      <c r="AD118" s="1709"/>
      <c r="AE118" s="1709"/>
      <c r="AF118" s="1759" t="str">
        <f>'PIM Model'!$AG$18</f>
        <v/>
      </c>
      <c r="AG118" s="1760"/>
      <c r="AH118" s="1760"/>
      <c r="AI118" s="1760"/>
      <c r="AJ118" s="1760"/>
      <c r="AK118" s="1760"/>
      <c r="AL118" s="1765"/>
      <c r="AM118" s="1759" t="str">
        <f>'PIM Model'!$AH$18</f>
        <v/>
      </c>
      <c r="AN118" s="1760"/>
      <c r="AO118" s="1760"/>
      <c r="AP118" s="1760"/>
      <c r="AQ118" s="1760"/>
      <c r="AR118" s="1760"/>
      <c r="AS118" s="1761"/>
      <c r="BF118" s="138"/>
    </row>
    <row r="119" spans="2:58" x14ac:dyDescent="0.25">
      <c r="B119" s="137"/>
      <c r="D119" s="1767" t="s">
        <v>101</v>
      </c>
      <c r="E119" s="1768"/>
      <c r="F119" s="1768"/>
      <c r="G119" s="1768"/>
      <c r="H119" s="1768"/>
      <c r="I119" s="1768"/>
      <c r="J119" s="1768"/>
      <c r="K119" s="1768"/>
      <c r="L119" s="1768"/>
      <c r="M119" s="1768"/>
      <c r="N119" s="1768"/>
      <c r="O119" s="1768"/>
      <c r="P119" s="1768"/>
      <c r="Q119" s="1768"/>
      <c r="R119" s="1768"/>
      <c r="S119" s="1768"/>
      <c r="T119" s="1769"/>
      <c r="U119" s="1766" t="str">
        <f>IF('PIM Model'!$B$19=0,"",'PIM Model'!$B$19)</f>
        <v/>
      </c>
      <c r="V119" s="1709"/>
      <c r="W119" s="1709"/>
      <c r="X119" s="1709"/>
      <c r="Y119" s="1709"/>
      <c r="Z119" s="1709" t="str">
        <f>'PIM Model'!$AF$19</f>
        <v/>
      </c>
      <c r="AA119" s="1709"/>
      <c r="AB119" s="1709"/>
      <c r="AC119" s="1709"/>
      <c r="AD119" s="1709"/>
      <c r="AE119" s="1709"/>
      <c r="AF119" s="1759" t="str">
        <f>'PIM Model'!$AG$19</f>
        <v/>
      </c>
      <c r="AG119" s="1760"/>
      <c r="AH119" s="1760"/>
      <c r="AI119" s="1760"/>
      <c r="AJ119" s="1760"/>
      <c r="AK119" s="1760"/>
      <c r="AL119" s="1765"/>
      <c r="AM119" s="1759" t="str">
        <f>'PIM Model'!$AH$19</f>
        <v/>
      </c>
      <c r="AN119" s="1760"/>
      <c r="AO119" s="1760"/>
      <c r="AP119" s="1760"/>
      <c r="AQ119" s="1760"/>
      <c r="AR119" s="1760"/>
      <c r="AS119" s="1761"/>
      <c r="BF119" s="138"/>
    </row>
    <row r="120" spans="2:58" x14ac:dyDescent="0.25">
      <c r="B120" s="137"/>
      <c r="D120" s="1767" t="s">
        <v>97</v>
      </c>
      <c r="E120" s="1768"/>
      <c r="F120" s="1768"/>
      <c r="G120" s="1768"/>
      <c r="H120" s="1768"/>
      <c r="I120" s="1768"/>
      <c r="J120" s="1768"/>
      <c r="K120" s="1768"/>
      <c r="L120" s="1768"/>
      <c r="M120" s="1768"/>
      <c r="N120" s="1768"/>
      <c r="O120" s="1768"/>
      <c r="P120" s="1768"/>
      <c r="Q120" s="1768"/>
      <c r="R120" s="1768"/>
      <c r="S120" s="1768"/>
      <c r="T120" s="1769"/>
      <c r="U120" s="1766" t="str">
        <f>IF('PIM Model'!$B$20=0,"",'PIM Model'!$B$20)</f>
        <v/>
      </c>
      <c r="V120" s="1709"/>
      <c r="W120" s="1709"/>
      <c r="X120" s="1709"/>
      <c r="Y120" s="1709"/>
      <c r="Z120" s="1709" t="str">
        <f>'PIM Model'!$AF$20</f>
        <v/>
      </c>
      <c r="AA120" s="1709"/>
      <c r="AB120" s="1709"/>
      <c r="AC120" s="1709"/>
      <c r="AD120" s="1709"/>
      <c r="AE120" s="1709"/>
      <c r="AF120" s="1759" t="str">
        <f>'PIM Model'!$AG$20</f>
        <v/>
      </c>
      <c r="AG120" s="1760"/>
      <c r="AH120" s="1760"/>
      <c r="AI120" s="1760"/>
      <c r="AJ120" s="1760"/>
      <c r="AK120" s="1760"/>
      <c r="AL120" s="1765"/>
      <c r="AM120" s="1759" t="str">
        <f>'PIM Model'!$AH$20</f>
        <v/>
      </c>
      <c r="AN120" s="1760"/>
      <c r="AO120" s="1760"/>
      <c r="AP120" s="1760"/>
      <c r="AQ120" s="1760"/>
      <c r="AR120" s="1760"/>
      <c r="AS120" s="1761"/>
      <c r="BF120" s="138"/>
    </row>
    <row r="121" spans="2:58" x14ac:dyDescent="0.25">
      <c r="B121" s="137"/>
      <c r="D121" s="1767" t="s">
        <v>93</v>
      </c>
      <c r="E121" s="1768"/>
      <c r="F121" s="1768"/>
      <c r="G121" s="1768"/>
      <c r="H121" s="1768"/>
      <c r="I121" s="1768"/>
      <c r="J121" s="1768"/>
      <c r="K121" s="1768"/>
      <c r="L121" s="1768"/>
      <c r="M121" s="1768"/>
      <c r="N121" s="1768"/>
      <c r="O121" s="1768"/>
      <c r="P121" s="1768"/>
      <c r="Q121" s="1768"/>
      <c r="R121" s="1768"/>
      <c r="S121" s="1768"/>
      <c r="T121" s="1769"/>
      <c r="U121" s="1766" t="str">
        <f>IF('PIM Model'!$B$21=0,"",'PIM Model'!$B$21)</f>
        <v/>
      </c>
      <c r="V121" s="1709"/>
      <c r="W121" s="1709"/>
      <c r="X121" s="1709"/>
      <c r="Y121" s="1709"/>
      <c r="Z121" s="1709" t="str">
        <f>'PIM Model'!$AF$21</f>
        <v/>
      </c>
      <c r="AA121" s="1709"/>
      <c r="AB121" s="1709"/>
      <c r="AC121" s="1709"/>
      <c r="AD121" s="1709"/>
      <c r="AE121" s="1709"/>
      <c r="AF121" s="1759" t="str">
        <f>'PIM Model'!$AG$21</f>
        <v/>
      </c>
      <c r="AG121" s="1760"/>
      <c r="AH121" s="1760"/>
      <c r="AI121" s="1760"/>
      <c r="AJ121" s="1760"/>
      <c r="AK121" s="1760"/>
      <c r="AL121" s="1765"/>
      <c r="AM121" s="1759" t="str">
        <f>'PIM Model'!$AH$21</f>
        <v/>
      </c>
      <c r="AN121" s="1760"/>
      <c r="AO121" s="1760"/>
      <c r="AP121" s="1760"/>
      <c r="AQ121" s="1760"/>
      <c r="AR121" s="1760"/>
      <c r="AS121" s="1761"/>
      <c r="BF121" s="138"/>
    </row>
    <row r="122" spans="2:58" x14ac:dyDescent="0.25">
      <c r="B122" s="137"/>
      <c r="D122" s="1767" t="s">
        <v>105</v>
      </c>
      <c r="E122" s="1768"/>
      <c r="F122" s="1768"/>
      <c r="G122" s="1768"/>
      <c r="H122" s="1768"/>
      <c r="I122" s="1768"/>
      <c r="J122" s="1768"/>
      <c r="K122" s="1768"/>
      <c r="L122" s="1768"/>
      <c r="M122" s="1768"/>
      <c r="N122" s="1768"/>
      <c r="O122" s="1768"/>
      <c r="P122" s="1768"/>
      <c r="Q122" s="1768"/>
      <c r="R122" s="1768"/>
      <c r="S122" s="1768"/>
      <c r="T122" s="1769"/>
      <c r="U122" s="1766" t="str">
        <f>IF('PIM Model'!$B$22=0,"",'PIM Model'!$B$22)</f>
        <v/>
      </c>
      <c r="V122" s="1709"/>
      <c r="W122" s="1709"/>
      <c r="X122" s="1709"/>
      <c r="Y122" s="1709"/>
      <c r="Z122" s="1709" t="str">
        <f>'PIM Model'!$AF$22</f>
        <v/>
      </c>
      <c r="AA122" s="1709"/>
      <c r="AB122" s="1709"/>
      <c r="AC122" s="1709"/>
      <c r="AD122" s="1709"/>
      <c r="AE122" s="1709"/>
      <c r="AF122" s="1759" t="str">
        <f>'PIM Model'!$AG$22</f>
        <v/>
      </c>
      <c r="AG122" s="1760"/>
      <c r="AH122" s="1760"/>
      <c r="AI122" s="1760"/>
      <c r="AJ122" s="1760"/>
      <c r="AK122" s="1760"/>
      <c r="AL122" s="1765"/>
      <c r="AM122" s="1759" t="str">
        <f>'PIM Model'!$AH$22</f>
        <v/>
      </c>
      <c r="AN122" s="1760"/>
      <c r="AO122" s="1760"/>
      <c r="AP122" s="1760"/>
      <c r="AQ122" s="1760"/>
      <c r="AR122" s="1760"/>
      <c r="AS122" s="1761"/>
      <c r="BF122" s="138"/>
    </row>
    <row r="123" spans="2:58" x14ac:dyDescent="0.25">
      <c r="B123" s="137"/>
      <c r="D123" s="1767" t="s">
        <v>92</v>
      </c>
      <c r="E123" s="1768"/>
      <c r="F123" s="1768"/>
      <c r="G123" s="1768"/>
      <c r="H123" s="1768"/>
      <c r="I123" s="1768"/>
      <c r="J123" s="1768"/>
      <c r="K123" s="1768"/>
      <c r="L123" s="1768"/>
      <c r="M123" s="1768"/>
      <c r="N123" s="1768"/>
      <c r="O123" s="1768"/>
      <c r="P123" s="1768"/>
      <c r="Q123" s="1768"/>
      <c r="R123" s="1768"/>
      <c r="S123" s="1768"/>
      <c r="T123" s="1769"/>
      <c r="U123" s="1766" t="str">
        <f>IF('PIM Model'!$B$23=0,"",'PIM Model'!$B$23)</f>
        <v/>
      </c>
      <c r="V123" s="1709"/>
      <c r="W123" s="1709"/>
      <c r="X123" s="1709"/>
      <c r="Y123" s="1709"/>
      <c r="Z123" s="1709" t="str">
        <f>'PIM Model'!$AF$23</f>
        <v/>
      </c>
      <c r="AA123" s="1709"/>
      <c r="AB123" s="1709"/>
      <c r="AC123" s="1709"/>
      <c r="AD123" s="1709"/>
      <c r="AE123" s="1709"/>
      <c r="AF123" s="1759" t="str">
        <f>'PIM Model'!$AG$23</f>
        <v/>
      </c>
      <c r="AG123" s="1760"/>
      <c r="AH123" s="1760"/>
      <c r="AI123" s="1760"/>
      <c r="AJ123" s="1760"/>
      <c r="AK123" s="1760"/>
      <c r="AL123" s="1765"/>
      <c r="AM123" s="1759" t="str">
        <f>'PIM Model'!$AH$23</f>
        <v/>
      </c>
      <c r="AN123" s="1760"/>
      <c r="AO123" s="1760"/>
      <c r="AP123" s="1760"/>
      <c r="AQ123" s="1760"/>
      <c r="AR123" s="1760"/>
      <c r="AS123" s="1761"/>
      <c r="BF123" s="138"/>
    </row>
    <row r="124" spans="2:58" x14ac:dyDescent="0.25">
      <c r="B124" s="137"/>
      <c r="D124" s="1767" t="s">
        <v>91</v>
      </c>
      <c r="E124" s="1768"/>
      <c r="F124" s="1768"/>
      <c r="G124" s="1768"/>
      <c r="H124" s="1768"/>
      <c r="I124" s="1768"/>
      <c r="J124" s="1768"/>
      <c r="K124" s="1768"/>
      <c r="L124" s="1768"/>
      <c r="M124" s="1768"/>
      <c r="N124" s="1768"/>
      <c r="O124" s="1768"/>
      <c r="P124" s="1768"/>
      <c r="Q124" s="1768"/>
      <c r="R124" s="1768"/>
      <c r="S124" s="1768"/>
      <c r="T124" s="1769"/>
      <c r="U124" s="1766" t="str">
        <f>IF('PIM Model'!$B$24=0,"",'PIM Model'!$B$24)</f>
        <v/>
      </c>
      <c r="V124" s="1709"/>
      <c r="W124" s="1709"/>
      <c r="X124" s="1709"/>
      <c r="Y124" s="1709"/>
      <c r="Z124" s="1709" t="str">
        <f>'PIM Model'!$AF$24</f>
        <v/>
      </c>
      <c r="AA124" s="1709"/>
      <c r="AB124" s="1709"/>
      <c r="AC124" s="1709"/>
      <c r="AD124" s="1709"/>
      <c r="AE124" s="1709"/>
      <c r="AF124" s="1759" t="str">
        <f>'PIM Model'!$AG$24</f>
        <v/>
      </c>
      <c r="AG124" s="1760"/>
      <c r="AH124" s="1760"/>
      <c r="AI124" s="1760"/>
      <c r="AJ124" s="1760"/>
      <c r="AK124" s="1760"/>
      <c r="AL124" s="1765"/>
      <c r="AM124" s="1759" t="str">
        <f>'PIM Model'!$AH$24</f>
        <v/>
      </c>
      <c r="AN124" s="1760"/>
      <c r="AO124" s="1760"/>
      <c r="AP124" s="1760"/>
      <c r="AQ124" s="1760"/>
      <c r="AR124" s="1760"/>
      <c r="AS124" s="1761"/>
      <c r="BF124" s="138"/>
    </row>
    <row r="125" spans="2:58" x14ac:dyDescent="0.25">
      <c r="B125" s="137"/>
      <c r="D125" s="1767" t="s">
        <v>90</v>
      </c>
      <c r="E125" s="1768"/>
      <c r="F125" s="1768"/>
      <c r="G125" s="1768"/>
      <c r="H125" s="1768"/>
      <c r="I125" s="1768"/>
      <c r="J125" s="1768"/>
      <c r="K125" s="1768"/>
      <c r="L125" s="1768"/>
      <c r="M125" s="1768"/>
      <c r="N125" s="1768"/>
      <c r="O125" s="1768"/>
      <c r="P125" s="1768"/>
      <c r="Q125" s="1768"/>
      <c r="R125" s="1768"/>
      <c r="S125" s="1768"/>
      <c r="T125" s="1769"/>
      <c r="U125" s="1766" t="str">
        <f>IF('PIM Model'!$B$25=0,"",'PIM Model'!$B$25)</f>
        <v/>
      </c>
      <c r="V125" s="1709"/>
      <c r="W125" s="1709"/>
      <c r="X125" s="1709"/>
      <c r="Y125" s="1709"/>
      <c r="Z125" s="1709" t="str">
        <f>'PIM Model'!$AF$25</f>
        <v/>
      </c>
      <c r="AA125" s="1709"/>
      <c r="AB125" s="1709"/>
      <c r="AC125" s="1709"/>
      <c r="AD125" s="1709"/>
      <c r="AE125" s="1709"/>
      <c r="AF125" s="1759" t="str">
        <f>'PIM Model'!$AG$25</f>
        <v/>
      </c>
      <c r="AG125" s="1760"/>
      <c r="AH125" s="1760"/>
      <c r="AI125" s="1760"/>
      <c r="AJ125" s="1760"/>
      <c r="AK125" s="1760"/>
      <c r="AL125" s="1765"/>
      <c r="AM125" s="1759" t="str">
        <f>'PIM Model'!$AH$25</f>
        <v/>
      </c>
      <c r="AN125" s="1760"/>
      <c r="AO125" s="1760"/>
      <c r="AP125" s="1760"/>
      <c r="AQ125" s="1760"/>
      <c r="AR125" s="1760"/>
      <c r="AS125" s="1761"/>
      <c r="BF125" s="138"/>
    </row>
    <row r="126" spans="2:58" x14ac:dyDescent="0.25">
      <c r="B126" s="137"/>
      <c r="D126" s="1767" t="s">
        <v>89</v>
      </c>
      <c r="E126" s="1768"/>
      <c r="F126" s="1768"/>
      <c r="G126" s="1768"/>
      <c r="H126" s="1768"/>
      <c r="I126" s="1768"/>
      <c r="J126" s="1768"/>
      <c r="K126" s="1768"/>
      <c r="L126" s="1768"/>
      <c r="M126" s="1768"/>
      <c r="N126" s="1768"/>
      <c r="O126" s="1768"/>
      <c r="P126" s="1768"/>
      <c r="Q126" s="1768"/>
      <c r="R126" s="1768"/>
      <c r="S126" s="1768"/>
      <c r="T126" s="1769"/>
      <c r="U126" s="1766" t="str">
        <f>IF('PIM Model'!$B$26=0,"",'PIM Model'!$B$26)</f>
        <v/>
      </c>
      <c r="V126" s="1709"/>
      <c r="W126" s="1709"/>
      <c r="X126" s="1709"/>
      <c r="Y126" s="1709"/>
      <c r="Z126" s="1709" t="str">
        <f>'PIM Model'!$AF$26</f>
        <v/>
      </c>
      <c r="AA126" s="1709"/>
      <c r="AB126" s="1709"/>
      <c r="AC126" s="1709"/>
      <c r="AD126" s="1709"/>
      <c r="AE126" s="1709"/>
      <c r="AF126" s="1759" t="str">
        <f>'PIM Model'!$AG$26</f>
        <v/>
      </c>
      <c r="AG126" s="1760"/>
      <c r="AH126" s="1760"/>
      <c r="AI126" s="1760"/>
      <c r="AJ126" s="1760"/>
      <c r="AK126" s="1760"/>
      <c r="AL126" s="1765"/>
      <c r="AM126" s="1759" t="str">
        <f>'PIM Model'!$AH$26</f>
        <v/>
      </c>
      <c r="AN126" s="1760"/>
      <c r="AO126" s="1760"/>
      <c r="AP126" s="1760"/>
      <c r="AQ126" s="1760"/>
      <c r="AR126" s="1760"/>
      <c r="AS126" s="1761"/>
      <c r="BF126" s="138"/>
    </row>
    <row r="127" spans="2:58" x14ac:dyDescent="0.25">
      <c r="B127" s="137"/>
      <c r="D127" s="1767" t="s">
        <v>94</v>
      </c>
      <c r="E127" s="1768"/>
      <c r="F127" s="1768"/>
      <c r="G127" s="1768"/>
      <c r="H127" s="1768"/>
      <c r="I127" s="1768"/>
      <c r="J127" s="1768"/>
      <c r="K127" s="1768"/>
      <c r="L127" s="1768"/>
      <c r="M127" s="1768"/>
      <c r="N127" s="1768"/>
      <c r="O127" s="1768"/>
      <c r="P127" s="1768"/>
      <c r="Q127" s="1768"/>
      <c r="R127" s="1768"/>
      <c r="S127" s="1768"/>
      <c r="T127" s="1769"/>
      <c r="U127" s="1766" t="str">
        <f>IF('PIM Model'!$B$27=0,"",'PIM Model'!$B$27)</f>
        <v/>
      </c>
      <c r="V127" s="1709"/>
      <c r="W127" s="1709"/>
      <c r="X127" s="1709"/>
      <c r="Y127" s="1709"/>
      <c r="Z127" s="1709" t="str">
        <f>'PIM Model'!$AF$27</f>
        <v/>
      </c>
      <c r="AA127" s="1709"/>
      <c r="AB127" s="1709"/>
      <c r="AC127" s="1709"/>
      <c r="AD127" s="1709"/>
      <c r="AE127" s="1709"/>
      <c r="AF127" s="1759" t="str">
        <f>'PIM Model'!$AG$27</f>
        <v/>
      </c>
      <c r="AG127" s="1760"/>
      <c r="AH127" s="1760"/>
      <c r="AI127" s="1760"/>
      <c r="AJ127" s="1760"/>
      <c r="AK127" s="1760"/>
      <c r="AL127" s="1765"/>
      <c r="AM127" s="1759" t="str">
        <f>'PIM Model'!$AH$27</f>
        <v/>
      </c>
      <c r="AN127" s="1760"/>
      <c r="AO127" s="1760"/>
      <c r="AP127" s="1760"/>
      <c r="AQ127" s="1760"/>
      <c r="AR127" s="1760"/>
      <c r="AS127" s="1761"/>
      <c r="BF127" s="138"/>
    </row>
    <row r="128" spans="2:58" x14ac:dyDescent="0.25">
      <c r="B128" s="137"/>
      <c r="D128" s="1767" t="s">
        <v>86</v>
      </c>
      <c r="E128" s="1768"/>
      <c r="F128" s="1768"/>
      <c r="G128" s="1768"/>
      <c r="H128" s="1768"/>
      <c r="I128" s="1768"/>
      <c r="J128" s="1768"/>
      <c r="K128" s="1768"/>
      <c r="L128" s="1768"/>
      <c r="M128" s="1768"/>
      <c r="N128" s="1768"/>
      <c r="O128" s="1768"/>
      <c r="P128" s="1768"/>
      <c r="Q128" s="1768"/>
      <c r="R128" s="1768"/>
      <c r="S128" s="1768"/>
      <c r="T128" s="1769"/>
      <c r="U128" s="1766" t="str">
        <f>IF('PIM Model'!$B$28=0,"",'PIM Model'!$B$28)</f>
        <v/>
      </c>
      <c r="V128" s="1709"/>
      <c r="W128" s="1709"/>
      <c r="X128" s="1709"/>
      <c r="Y128" s="1709"/>
      <c r="Z128" s="1709" t="str">
        <f>'PIM Model'!$AF$28</f>
        <v/>
      </c>
      <c r="AA128" s="1709"/>
      <c r="AB128" s="1709"/>
      <c r="AC128" s="1709"/>
      <c r="AD128" s="1709"/>
      <c r="AE128" s="1709"/>
      <c r="AF128" s="1759" t="str">
        <f>'PIM Model'!$AG$28</f>
        <v/>
      </c>
      <c r="AG128" s="1760"/>
      <c r="AH128" s="1760"/>
      <c r="AI128" s="1760"/>
      <c r="AJ128" s="1760"/>
      <c r="AK128" s="1760"/>
      <c r="AL128" s="1765"/>
      <c r="AM128" s="1759" t="str">
        <f>'PIM Model'!$AH$28</f>
        <v/>
      </c>
      <c r="AN128" s="1760"/>
      <c r="AO128" s="1760"/>
      <c r="AP128" s="1760"/>
      <c r="AQ128" s="1760"/>
      <c r="AR128" s="1760"/>
      <c r="AS128" s="1761"/>
      <c r="BF128" s="138"/>
    </row>
    <row r="129" spans="2:58" x14ac:dyDescent="0.25">
      <c r="B129" s="137"/>
      <c r="D129" s="1767" t="s">
        <v>88</v>
      </c>
      <c r="E129" s="1768"/>
      <c r="F129" s="1768"/>
      <c r="G129" s="1768"/>
      <c r="H129" s="1768"/>
      <c r="I129" s="1768"/>
      <c r="J129" s="1768"/>
      <c r="K129" s="1768"/>
      <c r="L129" s="1768"/>
      <c r="M129" s="1768"/>
      <c r="N129" s="1768"/>
      <c r="O129" s="1768"/>
      <c r="P129" s="1768"/>
      <c r="Q129" s="1768"/>
      <c r="R129" s="1768"/>
      <c r="S129" s="1768"/>
      <c r="T129" s="1769"/>
      <c r="U129" s="1766" t="str">
        <f>IF('PIM Model'!$B$29=0,"",'PIM Model'!$B$29)</f>
        <v/>
      </c>
      <c r="V129" s="1709"/>
      <c r="W129" s="1709"/>
      <c r="X129" s="1709"/>
      <c r="Y129" s="1709"/>
      <c r="Z129" s="1709" t="str">
        <f>'PIM Model'!$AF$29</f>
        <v/>
      </c>
      <c r="AA129" s="1709"/>
      <c r="AB129" s="1709"/>
      <c r="AC129" s="1709"/>
      <c r="AD129" s="1709"/>
      <c r="AE129" s="1709"/>
      <c r="AF129" s="1759" t="str">
        <f>'PIM Model'!$AG$29</f>
        <v/>
      </c>
      <c r="AG129" s="1760"/>
      <c r="AH129" s="1760"/>
      <c r="AI129" s="1760"/>
      <c r="AJ129" s="1760"/>
      <c r="AK129" s="1760"/>
      <c r="AL129" s="1765"/>
      <c r="AM129" s="1759" t="str">
        <f>'PIM Model'!$AH$29</f>
        <v/>
      </c>
      <c r="AN129" s="1760"/>
      <c r="AO129" s="1760"/>
      <c r="AP129" s="1760"/>
      <c r="AQ129" s="1760"/>
      <c r="AR129" s="1760"/>
      <c r="AS129" s="1761"/>
      <c r="BF129" s="138"/>
    </row>
    <row r="130" spans="2:58" ht="15.75" thickBot="1" x14ac:dyDescent="0.3">
      <c r="B130" s="137"/>
      <c r="D130" s="1773" t="s">
        <v>87</v>
      </c>
      <c r="E130" s="1774"/>
      <c r="F130" s="1774"/>
      <c r="G130" s="1774"/>
      <c r="H130" s="1774"/>
      <c r="I130" s="1774"/>
      <c r="J130" s="1774"/>
      <c r="K130" s="1774"/>
      <c r="L130" s="1774"/>
      <c r="M130" s="1774"/>
      <c r="N130" s="1774"/>
      <c r="O130" s="1774"/>
      <c r="P130" s="1774"/>
      <c r="Q130" s="1774"/>
      <c r="R130" s="1774"/>
      <c r="S130" s="1774"/>
      <c r="T130" s="1775"/>
      <c r="U130" s="1770" t="str">
        <f>IF('PIM Model'!$B$30=0,"",'PIM Model'!$B$30)</f>
        <v/>
      </c>
      <c r="V130" s="1763"/>
      <c r="W130" s="1763"/>
      <c r="X130" s="1763"/>
      <c r="Y130" s="1763"/>
      <c r="Z130" s="1763" t="str">
        <f>'PIM Model'!$AF$30</f>
        <v/>
      </c>
      <c r="AA130" s="1763"/>
      <c r="AB130" s="1763"/>
      <c r="AC130" s="1763"/>
      <c r="AD130" s="1763"/>
      <c r="AE130" s="1763"/>
      <c r="AF130" s="1751" t="str">
        <f>'PIM Model'!$AG$30</f>
        <v/>
      </c>
      <c r="AG130" s="1752"/>
      <c r="AH130" s="1752"/>
      <c r="AI130" s="1752"/>
      <c r="AJ130" s="1752"/>
      <c r="AK130" s="1752"/>
      <c r="AL130" s="1753"/>
      <c r="AM130" s="1751" t="str">
        <f>'PIM Model'!$AH$30</f>
        <v/>
      </c>
      <c r="AN130" s="1752"/>
      <c r="AO130" s="1752"/>
      <c r="AP130" s="1752"/>
      <c r="AQ130" s="1752"/>
      <c r="AR130" s="1752"/>
      <c r="AS130" s="1762"/>
      <c r="BF130" s="138"/>
    </row>
    <row r="131" spans="2:58" ht="16.5" thickTop="1" thickBot="1" x14ac:dyDescent="0.3">
      <c r="B131" s="137"/>
      <c r="D131" s="1742" t="s">
        <v>970</v>
      </c>
      <c r="E131" s="1743"/>
      <c r="F131" s="1743"/>
      <c r="G131" s="1743"/>
      <c r="H131" s="1743"/>
      <c r="I131" s="1743"/>
      <c r="J131" s="1743"/>
      <c r="K131" s="1743"/>
      <c r="L131" s="1743"/>
      <c r="M131" s="1743"/>
      <c r="N131" s="1743"/>
      <c r="O131" s="1743"/>
      <c r="P131" s="1743"/>
      <c r="Q131" s="1743"/>
      <c r="R131" s="1743"/>
      <c r="S131" s="1743"/>
      <c r="T131" s="1744"/>
      <c r="U131" s="1745">
        <f>COUNT($U$110:$Y$130)</f>
        <v>0</v>
      </c>
      <c r="V131" s="1746"/>
      <c r="W131" s="1746"/>
      <c r="X131" s="1746"/>
      <c r="Y131" s="1746"/>
      <c r="Z131" s="1743">
        <f>COUNTIF($Z$110:$AE$130,"ABOVE")+COUNTIF($Z$110:$AE$130,"BELOW")</f>
        <v>0</v>
      </c>
      <c r="AA131" s="1743"/>
      <c r="AB131" s="1743"/>
      <c r="AC131" s="1743"/>
      <c r="AD131" s="1743"/>
      <c r="AE131" s="1743"/>
      <c r="AF131" s="1747"/>
      <c r="AG131" s="1748"/>
      <c r="AH131" s="1748"/>
      <c r="AI131" s="1748"/>
      <c r="AJ131" s="1748"/>
      <c r="AK131" s="1748"/>
      <c r="AL131" s="1749"/>
      <c r="AM131" s="1747"/>
      <c r="AN131" s="1748"/>
      <c r="AO131" s="1748"/>
      <c r="AP131" s="1748"/>
      <c r="AQ131" s="1748"/>
      <c r="AR131" s="1748"/>
      <c r="AS131" s="175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3">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3">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3">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3">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3">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3">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3">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3">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3">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3">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3">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3">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3">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3">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3">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3">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3">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3">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3">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3">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3">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3">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3">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3">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3">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3">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3">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3">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3">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3">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3">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3">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3">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3">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3">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3">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3">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3">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3">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3">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3">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3">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3">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3">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3">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3">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3">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3">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3">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3">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3">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3">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3">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3">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3">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3">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3">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3">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3">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3">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3">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3">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3">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3">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3">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3">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3">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3">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3">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3">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3">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3">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3">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3">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2" t="s">
        <v>994</v>
      </c>
      <c r="C2" s="1863"/>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0" t="s">
        <v>823</v>
      </c>
      <c r="C6" s="1861"/>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0" t="s">
        <v>824</v>
      </c>
      <c r="C13" s="1861"/>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4">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3" customWidth="1"/>
    <col min="2" max="2" width="23.5703125" style="893" customWidth="1"/>
    <col min="3" max="3" width="40.85546875" style="1152" customWidth="1"/>
    <col min="4" max="4" width="43.140625" style="1152" customWidth="1"/>
    <col min="5" max="5" width="42.28515625" style="89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0" t="s">
        <v>1423</v>
      </c>
      <c r="B1" s="1120" t="s">
        <v>1424</v>
      </c>
      <c r="C1" s="1154" t="s">
        <v>719</v>
      </c>
      <c r="D1" s="1154" t="s">
        <v>1425</v>
      </c>
      <c r="E1" s="1121" t="s">
        <v>1426</v>
      </c>
    </row>
    <row r="2" spans="1:5" x14ac:dyDescent="0.25">
      <c r="A2" s="1031">
        <v>1</v>
      </c>
      <c r="B2" s="1031" t="s">
        <v>1427</v>
      </c>
      <c r="C2" s="1109" t="s">
        <v>1427</v>
      </c>
      <c r="D2" s="1109" t="s">
        <v>1428</v>
      </c>
      <c r="E2" s="1106" t="s">
        <v>1429</v>
      </c>
    </row>
    <row r="3" spans="1:5" x14ac:dyDescent="0.25">
      <c r="A3" s="1031">
        <v>2</v>
      </c>
      <c r="B3" s="1031" t="s">
        <v>1427</v>
      </c>
      <c r="C3" s="1109" t="s">
        <v>1427</v>
      </c>
      <c r="D3" s="1109" t="s">
        <v>1428</v>
      </c>
      <c r="E3" s="1106" t="s">
        <v>1430</v>
      </c>
    </row>
    <row r="4" spans="1:5" x14ac:dyDescent="0.25">
      <c r="A4" s="1031">
        <v>3</v>
      </c>
      <c r="B4" s="1031" t="s">
        <v>1431</v>
      </c>
      <c r="C4" s="1109" t="s">
        <v>1427</v>
      </c>
      <c r="D4" s="1109" t="s">
        <v>1428</v>
      </c>
      <c r="E4" s="1106" t="s">
        <v>1432</v>
      </c>
    </row>
    <row r="5" spans="1:5" x14ac:dyDescent="0.25">
      <c r="A5" s="1031">
        <v>4</v>
      </c>
      <c r="B5" s="1031" t="s">
        <v>1391</v>
      </c>
      <c r="C5" s="1109" t="s">
        <v>1433</v>
      </c>
      <c r="D5" s="1109" t="s">
        <v>1434</v>
      </c>
      <c r="E5" s="1106" t="s">
        <v>1419</v>
      </c>
    </row>
    <row r="6" spans="1:5" x14ac:dyDescent="0.25">
      <c r="A6" s="1031">
        <v>5</v>
      </c>
      <c r="B6" s="1031" t="s">
        <v>1391</v>
      </c>
      <c r="C6" s="1109" t="s">
        <v>1433</v>
      </c>
      <c r="D6" s="1109" t="s">
        <v>1435</v>
      </c>
      <c r="E6" s="1106" t="s">
        <v>1420</v>
      </c>
    </row>
    <row r="7" spans="1:5" x14ac:dyDescent="0.25">
      <c r="A7" s="1031">
        <v>6</v>
      </c>
      <c r="B7" s="1031" t="s">
        <v>1418</v>
      </c>
      <c r="C7" s="1109" t="s">
        <v>1433</v>
      </c>
      <c r="D7" s="1109" t="s">
        <v>1436</v>
      </c>
      <c r="E7" s="1106" t="s">
        <v>1437</v>
      </c>
    </row>
    <row r="8" spans="1:5" x14ac:dyDescent="0.25">
      <c r="A8" s="1031">
        <v>7</v>
      </c>
      <c r="B8" s="1031" t="s">
        <v>1418</v>
      </c>
      <c r="C8" s="1109" t="s">
        <v>1433</v>
      </c>
      <c r="D8" s="1109" t="s">
        <v>1436</v>
      </c>
      <c r="E8" s="1106" t="s">
        <v>1438</v>
      </c>
    </row>
    <row r="9" spans="1:5" ht="30" x14ac:dyDescent="0.25">
      <c r="A9" s="1031">
        <v>8</v>
      </c>
      <c r="B9" s="1031" t="s">
        <v>1368</v>
      </c>
      <c r="C9" s="1109" t="s">
        <v>1433</v>
      </c>
      <c r="D9" s="1109" t="s">
        <v>1385</v>
      </c>
      <c r="E9" s="1106" t="s">
        <v>1224</v>
      </c>
    </row>
    <row r="10" spans="1:5" ht="30" x14ac:dyDescent="0.25">
      <c r="A10" s="1031">
        <v>9</v>
      </c>
      <c r="B10" s="1031" t="s">
        <v>1368</v>
      </c>
      <c r="C10" s="1109" t="s">
        <v>1433</v>
      </c>
      <c r="D10" s="1109" t="s">
        <v>1385</v>
      </c>
      <c r="E10" s="1106" t="s">
        <v>1225</v>
      </c>
    </row>
    <row r="11" spans="1:5" x14ac:dyDescent="0.25">
      <c r="A11" s="1031">
        <v>10</v>
      </c>
      <c r="B11" s="1031" t="s">
        <v>1368</v>
      </c>
      <c r="C11" s="1109" t="s">
        <v>1433</v>
      </c>
      <c r="D11" s="1109" t="s">
        <v>1385</v>
      </c>
      <c r="E11" s="1106" t="s">
        <v>1229</v>
      </c>
    </row>
    <row r="12" spans="1:5" x14ac:dyDescent="0.25">
      <c r="A12" s="1031">
        <v>11</v>
      </c>
      <c r="B12" s="1031" t="s">
        <v>1368</v>
      </c>
      <c r="C12" s="1109" t="s">
        <v>1439</v>
      </c>
      <c r="D12" s="1109" t="s">
        <v>1385</v>
      </c>
      <c r="E12" s="1106" t="s">
        <v>1226</v>
      </c>
    </row>
    <row r="13" spans="1:5" x14ac:dyDescent="0.25">
      <c r="A13" s="1031">
        <v>12</v>
      </c>
      <c r="B13" s="1031" t="s">
        <v>1368</v>
      </c>
      <c r="C13" s="1109" t="s">
        <v>1439</v>
      </c>
      <c r="D13" s="1109" t="s">
        <v>1385</v>
      </c>
      <c r="E13" s="1106" t="s">
        <v>1237</v>
      </c>
    </row>
    <row r="14" spans="1:5" x14ac:dyDescent="0.25">
      <c r="A14" s="1031">
        <v>13</v>
      </c>
      <c r="B14" s="1031" t="s">
        <v>1368</v>
      </c>
      <c r="C14" s="1109" t="s">
        <v>1439</v>
      </c>
      <c r="D14" s="1109" t="s">
        <v>1385</v>
      </c>
      <c r="E14" s="1106" t="s">
        <v>1238</v>
      </c>
    </row>
    <row r="15" spans="1:5" x14ac:dyDescent="0.25">
      <c r="A15" s="1031">
        <v>14</v>
      </c>
      <c r="B15" s="1031" t="s">
        <v>1368</v>
      </c>
      <c r="C15" s="1109" t="s">
        <v>1439</v>
      </c>
      <c r="D15" s="1109" t="s">
        <v>1385</v>
      </c>
      <c r="E15" s="1106" t="s">
        <v>1240</v>
      </c>
    </row>
    <row r="16" spans="1:5" x14ac:dyDescent="0.25">
      <c r="A16" s="1031">
        <v>15</v>
      </c>
      <c r="B16" s="1031" t="s">
        <v>1368</v>
      </c>
      <c r="C16" s="1109" t="s">
        <v>1439</v>
      </c>
      <c r="D16" s="1109" t="s">
        <v>1385</v>
      </c>
      <c r="E16" s="1106" t="s">
        <v>1241</v>
      </c>
    </row>
    <row r="17" spans="1:5" ht="30" x14ac:dyDescent="0.25">
      <c r="A17" s="1031">
        <v>16</v>
      </c>
      <c r="B17" s="1031" t="s">
        <v>1368</v>
      </c>
      <c r="C17" s="1109" t="s">
        <v>1439</v>
      </c>
      <c r="D17" s="1109" t="s">
        <v>1385</v>
      </c>
      <c r="E17" s="1106" t="s">
        <v>1242</v>
      </c>
    </row>
    <row r="18" spans="1:5" x14ac:dyDescent="0.25">
      <c r="A18" s="1031">
        <v>17</v>
      </c>
      <c r="B18" s="1031" t="s">
        <v>1368</v>
      </c>
      <c r="C18" s="1109" t="s">
        <v>1439</v>
      </c>
      <c r="D18" s="1109" t="s">
        <v>1440</v>
      </c>
      <c r="E18" s="1106" t="s">
        <v>1230</v>
      </c>
    </row>
    <row r="19" spans="1:5" x14ac:dyDescent="0.25">
      <c r="A19" s="1031">
        <v>18</v>
      </c>
      <c r="B19" s="1031" t="s">
        <v>1368</v>
      </c>
      <c r="C19" s="1109" t="s">
        <v>1439</v>
      </c>
      <c r="D19" s="1109" t="s">
        <v>1440</v>
      </c>
      <c r="E19" s="1106" t="s">
        <v>1231</v>
      </c>
    </row>
    <row r="20" spans="1:5" x14ac:dyDescent="0.25">
      <c r="A20" s="1031">
        <v>19</v>
      </c>
      <c r="B20" s="1031" t="s">
        <v>1368</v>
      </c>
      <c r="C20" s="1109" t="s">
        <v>1248</v>
      </c>
      <c r="D20" s="1109" t="s">
        <v>1428</v>
      </c>
      <c r="E20" s="1105" t="s">
        <v>1274</v>
      </c>
    </row>
    <row r="21" spans="1:5" x14ac:dyDescent="0.25">
      <c r="A21" s="1031">
        <v>20</v>
      </c>
      <c r="B21" s="1031" t="s">
        <v>1368</v>
      </c>
      <c r="C21" s="1109" t="s">
        <v>1457</v>
      </c>
      <c r="D21" s="1109" t="s">
        <v>1428</v>
      </c>
      <c r="E21" s="1105" t="s">
        <v>1212</v>
      </c>
    </row>
    <row r="22" spans="1:5" x14ac:dyDescent="0.25">
      <c r="A22" s="1031">
        <v>21</v>
      </c>
      <c r="B22" s="1031" t="s">
        <v>1368</v>
      </c>
      <c r="C22" s="1109" t="s">
        <v>1457</v>
      </c>
      <c r="D22" s="1109" t="s">
        <v>1428</v>
      </c>
      <c r="E22" s="1105" t="s">
        <v>1741</v>
      </c>
    </row>
    <row r="23" spans="1:5" x14ac:dyDescent="0.25">
      <c r="A23" s="1031">
        <v>22</v>
      </c>
      <c r="B23" s="1031" t="s">
        <v>1368</v>
      </c>
      <c r="C23" s="1109" t="s">
        <v>1457</v>
      </c>
      <c r="D23" s="1109" t="s">
        <v>1428</v>
      </c>
      <c r="E23" s="1105" t="s">
        <v>1211</v>
      </c>
    </row>
    <row r="24" spans="1:5" x14ac:dyDescent="0.25">
      <c r="A24" s="1031">
        <v>23</v>
      </c>
      <c r="B24" s="1031" t="s">
        <v>1368</v>
      </c>
      <c r="C24" s="1109" t="s">
        <v>1248</v>
      </c>
      <c r="D24" s="1109" t="s">
        <v>1428</v>
      </c>
      <c r="E24" s="1105" t="s">
        <v>1744</v>
      </c>
    </row>
    <row r="25" spans="1:5" x14ac:dyDescent="0.25">
      <c r="A25" s="1031">
        <v>24</v>
      </c>
      <c r="B25" s="1031" t="s">
        <v>1368</v>
      </c>
      <c r="C25" s="1109" t="s">
        <v>1207</v>
      </c>
      <c r="D25" s="1109" t="s">
        <v>1428</v>
      </c>
      <c r="E25" s="1105" t="s">
        <v>1742</v>
      </c>
    </row>
    <row r="26" spans="1:5" x14ac:dyDescent="0.25">
      <c r="A26" s="1031">
        <v>25</v>
      </c>
      <c r="B26" s="1031" t="s">
        <v>1391</v>
      </c>
      <c r="C26" s="1109" t="s">
        <v>1439</v>
      </c>
      <c r="D26" s="1109" t="s">
        <v>1385</v>
      </c>
      <c r="E26" s="1106" t="s">
        <v>1421</v>
      </c>
    </row>
    <row r="27" spans="1:5" x14ac:dyDescent="0.25">
      <c r="A27" s="1031">
        <v>26</v>
      </c>
      <c r="B27" s="1031" t="s">
        <v>1391</v>
      </c>
      <c r="C27" s="1109" t="s">
        <v>1441</v>
      </c>
      <c r="D27" s="1109" t="s">
        <v>1442</v>
      </c>
      <c r="E27" s="1106" t="s">
        <v>1422</v>
      </c>
    </row>
    <row r="28" spans="1:5" x14ac:dyDescent="0.25">
      <c r="A28" s="1031">
        <v>27</v>
      </c>
      <c r="B28" s="1031" t="s">
        <v>1391</v>
      </c>
      <c r="C28" s="1109" t="s">
        <v>1441</v>
      </c>
      <c r="D28" s="1109" t="s">
        <v>1442</v>
      </c>
      <c r="E28" s="1106" t="s">
        <v>1443</v>
      </c>
    </row>
    <row r="29" spans="1:5" x14ac:dyDescent="0.25">
      <c r="A29" s="1031">
        <v>28</v>
      </c>
      <c r="B29" s="1031" t="s">
        <v>1391</v>
      </c>
      <c r="C29" s="1109" t="s">
        <v>1441</v>
      </c>
      <c r="D29" s="1109" t="s">
        <v>1442</v>
      </c>
      <c r="E29" s="1106" t="s">
        <v>652</v>
      </c>
    </row>
    <row r="30" spans="1:5" x14ac:dyDescent="0.25">
      <c r="A30" s="1031">
        <v>29</v>
      </c>
      <c r="B30" s="1031" t="s">
        <v>1391</v>
      </c>
      <c r="C30" s="1109" t="s">
        <v>1441</v>
      </c>
      <c r="D30" s="1109" t="s">
        <v>1442</v>
      </c>
      <c r="E30" s="1106" t="s">
        <v>1166</v>
      </c>
    </row>
    <row r="31" spans="1:5" x14ac:dyDescent="0.25">
      <c r="A31" s="1031">
        <v>30</v>
      </c>
      <c r="B31" s="1031" t="s">
        <v>1391</v>
      </c>
      <c r="C31" s="1109" t="s">
        <v>1441</v>
      </c>
      <c r="D31" s="1109" t="s">
        <v>1442</v>
      </c>
      <c r="E31" s="1106" t="s">
        <v>1167</v>
      </c>
    </row>
    <row r="32" spans="1:5" x14ac:dyDescent="0.25">
      <c r="A32" s="1031">
        <v>31</v>
      </c>
      <c r="B32" s="1031" t="s">
        <v>1391</v>
      </c>
      <c r="C32" s="1109" t="s">
        <v>1441</v>
      </c>
      <c r="D32" s="1109" t="s">
        <v>1442</v>
      </c>
      <c r="E32" s="1106" t="s">
        <v>1168</v>
      </c>
    </row>
    <row r="33" spans="1:5" x14ac:dyDescent="0.25">
      <c r="A33" s="1031">
        <v>32</v>
      </c>
      <c r="B33" s="1031" t="s">
        <v>1391</v>
      </c>
      <c r="C33" s="1109" t="s">
        <v>1444</v>
      </c>
      <c r="D33" s="1109" t="s">
        <v>1428</v>
      </c>
      <c r="E33" s="1106" t="s">
        <v>1490</v>
      </c>
    </row>
    <row r="34" spans="1:5" x14ac:dyDescent="0.25">
      <c r="A34" s="1031">
        <v>33</v>
      </c>
      <c r="B34" s="1031" t="s">
        <v>1418</v>
      </c>
      <c r="C34" s="1109" t="s">
        <v>1445</v>
      </c>
      <c r="D34" s="1109" t="s">
        <v>1428</v>
      </c>
      <c r="E34" s="1106" t="s">
        <v>1188</v>
      </c>
    </row>
    <row r="35" spans="1:5" x14ac:dyDescent="0.25">
      <c r="A35" s="1031">
        <v>34</v>
      </c>
      <c r="B35" s="1031" t="s">
        <v>874</v>
      </c>
      <c r="C35" s="1109" t="s">
        <v>1445</v>
      </c>
      <c r="D35" s="1109" t="s">
        <v>1428</v>
      </c>
      <c r="E35" s="1106" t="s">
        <v>1192</v>
      </c>
    </row>
    <row r="36" spans="1:5" x14ac:dyDescent="0.25">
      <c r="A36" s="1031">
        <v>35</v>
      </c>
      <c r="B36" s="1031" t="s">
        <v>1418</v>
      </c>
      <c r="C36" s="1109" t="s">
        <v>1445</v>
      </c>
      <c r="D36" s="1109" t="s">
        <v>1428</v>
      </c>
      <c r="E36" s="1106" t="s">
        <v>767</v>
      </c>
    </row>
    <row r="37" spans="1:5" x14ac:dyDescent="0.25">
      <c r="A37" s="1031">
        <v>36</v>
      </c>
      <c r="B37" s="1031" t="s">
        <v>874</v>
      </c>
      <c r="C37" s="1109" t="s">
        <v>1445</v>
      </c>
      <c r="D37" s="1109" t="s">
        <v>1428</v>
      </c>
      <c r="E37" s="1108" t="s">
        <v>1274</v>
      </c>
    </row>
    <row r="38" spans="1:5" ht="30" x14ac:dyDescent="0.25">
      <c r="A38" s="1031">
        <v>37</v>
      </c>
      <c r="B38" s="1031" t="s">
        <v>874</v>
      </c>
      <c r="C38" s="1109" t="s">
        <v>1445</v>
      </c>
      <c r="D38" s="1109" t="s">
        <v>1428</v>
      </c>
      <c r="E38" s="1108" t="s">
        <v>1275</v>
      </c>
    </row>
    <row r="39" spans="1:5" x14ac:dyDescent="0.25">
      <c r="A39" s="1031">
        <v>38</v>
      </c>
      <c r="B39" s="1031" t="s">
        <v>874</v>
      </c>
      <c r="C39" s="1109" t="s">
        <v>1445</v>
      </c>
      <c r="D39" s="1109" t="s">
        <v>1428</v>
      </c>
      <c r="E39" s="1108" t="s">
        <v>1195</v>
      </c>
    </row>
    <row r="40" spans="1:5" x14ac:dyDescent="0.25">
      <c r="A40" s="1031">
        <v>39</v>
      </c>
      <c r="B40" s="1031" t="s">
        <v>874</v>
      </c>
      <c r="C40" s="1109" t="s">
        <v>1445</v>
      </c>
      <c r="D40" s="1109" t="s">
        <v>1428</v>
      </c>
      <c r="E40" s="1108" t="s">
        <v>1196</v>
      </c>
    </row>
    <row r="41" spans="1:5" x14ac:dyDescent="0.25">
      <c r="A41" s="1031">
        <v>40</v>
      </c>
      <c r="B41" s="1031" t="s">
        <v>874</v>
      </c>
      <c r="C41" s="1109" t="s">
        <v>1445</v>
      </c>
      <c r="D41" s="1109" t="s">
        <v>1428</v>
      </c>
      <c r="E41" s="1108" t="s">
        <v>1197</v>
      </c>
    </row>
    <row r="42" spans="1:5" x14ac:dyDescent="0.25">
      <c r="A42" s="1031">
        <v>41</v>
      </c>
      <c r="B42" s="1031" t="s">
        <v>874</v>
      </c>
      <c r="C42" s="1109" t="s">
        <v>1445</v>
      </c>
      <c r="D42" s="1109" t="s">
        <v>1428</v>
      </c>
      <c r="E42" s="1108" t="s">
        <v>1198</v>
      </c>
    </row>
    <row r="43" spans="1:5" x14ac:dyDescent="0.25">
      <c r="A43" s="1031">
        <v>42</v>
      </c>
      <c r="B43" s="1031" t="s">
        <v>874</v>
      </c>
      <c r="C43" s="1109" t="s">
        <v>1445</v>
      </c>
      <c r="D43" s="1109" t="s">
        <v>1428</v>
      </c>
      <c r="E43" s="1108" t="s">
        <v>1199</v>
      </c>
    </row>
    <row r="44" spans="1:5" x14ac:dyDescent="0.25">
      <c r="A44" s="1031">
        <v>43</v>
      </c>
      <c r="B44" s="1031" t="s">
        <v>874</v>
      </c>
      <c r="C44" s="1109" t="s">
        <v>1445</v>
      </c>
      <c r="D44" s="1109" t="s">
        <v>1428</v>
      </c>
      <c r="E44" s="1108" t="s">
        <v>1446</v>
      </c>
    </row>
    <row r="45" spans="1:5" x14ac:dyDescent="0.25">
      <c r="A45" s="1031">
        <v>44</v>
      </c>
      <c r="B45" s="1031" t="s">
        <v>874</v>
      </c>
      <c r="C45" s="1109" t="s">
        <v>1445</v>
      </c>
      <c r="D45" s="1109" t="s">
        <v>1428</v>
      </c>
      <c r="E45" s="1108" t="s">
        <v>1650</v>
      </c>
    </row>
    <row r="46" spans="1:5" x14ac:dyDescent="0.25">
      <c r="A46" s="1031">
        <v>45</v>
      </c>
      <c r="B46" s="1031" t="s">
        <v>1418</v>
      </c>
      <c r="C46" s="1109" t="s">
        <v>1445</v>
      </c>
      <c r="D46" s="1109" t="s">
        <v>1447</v>
      </c>
      <c r="E46" s="1106" t="s">
        <v>766</v>
      </c>
    </row>
    <row r="47" spans="1:5" x14ac:dyDescent="0.25">
      <c r="A47" s="1031">
        <v>46</v>
      </c>
      <c r="B47" s="1031" t="s">
        <v>1418</v>
      </c>
      <c r="C47" s="1109" t="s">
        <v>1445</v>
      </c>
      <c r="D47" s="1109" t="s">
        <v>1447</v>
      </c>
      <c r="E47" s="1106" t="s">
        <v>1189</v>
      </c>
    </row>
    <row r="48" spans="1:5" x14ac:dyDescent="0.25">
      <c r="A48" s="1031">
        <v>47</v>
      </c>
      <c r="B48" s="1031" t="s">
        <v>1418</v>
      </c>
      <c r="C48" s="1109" t="s">
        <v>1445</v>
      </c>
      <c r="D48" s="1109" t="s">
        <v>1428</v>
      </c>
      <c r="E48" s="1106" t="s">
        <v>1190</v>
      </c>
    </row>
    <row r="49" spans="1:5" x14ac:dyDescent="0.25">
      <c r="A49" s="1031">
        <v>48</v>
      </c>
      <c r="B49" s="1031" t="s">
        <v>1418</v>
      </c>
      <c r="C49" s="1109" t="s">
        <v>1445</v>
      </c>
      <c r="D49" s="1109" t="s">
        <v>1428</v>
      </c>
      <c r="E49" s="1106" t="s">
        <v>1384</v>
      </c>
    </row>
    <row r="50" spans="1:5" x14ac:dyDescent="0.25">
      <c r="A50" s="1031">
        <v>49</v>
      </c>
      <c r="B50" s="1031" t="s">
        <v>1418</v>
      </c>
      <c r="C50" s="1109" t="s">
        <v>1445</v>
      </c>
      <c r="D50" s="1109" t="s">
        <v>1428</v>
      </c>
      <c r="E50" s="1106" t="s">
        <v>1309</v>
      </c>
    </row>
    <row r="51" spans="1:5" x14ac:dyDescent="0.25">
      <c r="A51" s="1031">
        <v>50</v>
      </c>
      <c r="B51" s="1031" t="s">
        <v>1418</v>
      </c>
      <c r="C51" s="1109" t="s">
        <v>1445</v>
      </c>
      <c r="D51" s="1109" t="s">
        <v>1428</v>
      </c>
      <c r="E51" s="1106" t="s">
        <v>768</v>
      </c>
    </row>
    <row r="52" spans="1:5" x14ac:dyDescent="0.25">
      <c r="A52" s="1031">
        <v>51</v>
      </c>
      <c r="B52" s="1031" t="s">
        <v>1418</v>
      </c>
      <c r="C52" s="1109" t="s">
        <v>1445</v>
      </c>
      <c r="D52" s="1109" t="s">
        <v>1428</v>
      </c>
      <c r="E52" s="1106" t="s">
        <v>769</v>
      </c>
    </row>
    <row r="53" spans="1:5" x14ac:dyDescent="0.25">
      <c r="A53" s="1031">
        <v>52</v>
      </c>
      <c r="B53" s="1031" t="s">
        <v>1418</v>
      </c>
      <c r="C53" s="1109" t="s">
        <v>1445</v>
      </c>
      <c r="D53" s="1109" t="s">
        <v>1428</v>
      </c>
      <c r="E53" s="1106" t="s">
        <v>770</v>
      </c>
    </row>
    <row r="54" spans="1:5" x14ac:dyDescent="0.25">
      <c r="A54" s="1031">
        <v>53</v>
      </c>
      <c r="B54" s="1031" t="s">
        <v>1418</v>
      </c>
      <c r="C54" s="1109" t="s">
        <v>1445</v>
      </c>
      <c r="D54" s="1109" t="s">
        <v>1428</v>
      </c>
      <c r="E54" s="1106" t="s">
        <v>204</v>
      </c>
    </row>
    <row r="55" spans="1:5" x14ac:dyDescent="0.25">
      <c r="A55" s="1031">
        <v>54</v>
      </c>
      <c r="B55" s="1031" t="s">
        <v>1418</v>
      </c>
      <c r="C55" s="1109" t="s">
        <v>1448</v>
      </c>
      <c r="D55" s="1109" t="s">
        <v>1428</v>
      </c>
      <c r="E55" s="1106" t="s">
        <v>1188</v>
      </c>
    </row>
    <row r="56" spans="1:5" x14ac:dyDescent="0.25">
      <c r="A56" s="1031">
        <v>55</v>
      </c>
      <c r="B56" s="1031" t="s">
        <v>874</v>
      </c>
      <c r="C56" s="1109" t="s">
        <v>1448</v>
      </c>
      <c r="D56" s="1109" t="s">
        <v>1428</v>
      </c>
      <c r="E56" s="1106" t="s">
        <v>1192</v>
      </c>
    </row>
    <row r="57" spans="1:5" x14ac:dyDescent="0.25">
      <c r="A57" s="1031">
        <v>56</v>
      </c>
      <c r="B57" s="1031" t="s">
        <v>1418</v>
      </c>
      <c r="C57" s="1109" t="s">
        <v>1448</v>
      </c>
      <c r="D57" s="1109" t="s">
        <v>1428</v>
      </c>
      <c r="E57" s="1106" t="s">
        <v>767</v>
      </c>
    </row>
    <row r="58" spans="1:5" x14ac:dyDescent="0.25">
      <c r="A58" s="1031">
        <v>57</v>
      </c>
      <c r="B58" s="1031" t="s">
        <v>874</v>
      </c>
      <c r="C58" s="1109" t="s">
        <v>1448</v>
      </c>
      <c r="D58" s="1109" t="s">
        <v>1428</v>
      </c>
      <c r="E58" s="1108" t="s">
        <v>1274</v>
      </c>
    </row>
    <row r="59" spans="1:5" ht="30" x14ac:dyDescent="0.25">
      <c r="A59" s="1031">
        <v>58</v>
      </c>
      <c r="B59" s="1031" t="s">
        <v>874</v>
      </c>
      <c r="C59" s="1109" t="s">
        <v>1448</v>
      </c>
      <c r="D59" s="1109" t="s">
        <v>1428</v>
      </c>
      <c r="E59" s="1108" t="s">
        <v>1275</v>
      </c>
    </row>
    <row r="60" spans="1:5" x14ac:dyDescent="0.25">
      <c r="A60" s="1031">
        <v>59</v>
      </c>
      <c r="B60" s="1031" t="s">
        <v>874</v>
      </c>
      <c r="C60" s="1109" t="s">
        <v>1448</v>
      </c>
      <c r="D60" s="1109" t="s">
        <v>1428</v>
      </c>
      <c r="E60" s="1108" t="s">
        <v>1195</v>
      </c>
    </row>
    <row r="61" spans="1:5" x14ac:dyDescent="0.25">
      <c r="A61" s="1031">
        <v>60</v>
      </c>
      <c r="B61" s="1031" t="s">
        <v>874</v>
      </c>
      <c r="C61" s="1109" t="s">
        <v>1448</v>
      </c>
      <c r="D61" s="1109" t="s">
        <v>1428</v>
      </c>
      <c r="E61" s="1108" t="s">
        <v>1196</v>
      </c>
    </row>
    <row r="62" spans="1:5" x14ac:dyDescent="0.25">
      <c r="A62" s="1031">
        <v>61</v>
      </c>
      <c r="B62" s="1031" t="s">
        <v>874</v>
      </c>
      <c r="C62" s="1109" t="s">
        <v>1448</v>
      </c>
      <c r="D62" s="1109" t="s">
        <v>1428</v>
      </c>
      <c r="E62" s="1108" t="s">
        <v>1197</v>
      </c>
    </row>
    <row r="63" spans="1:5" x14ac:dyDescent="0.25">
      <c r="A63" s="1031">
        <v>62</v>
      </c>
      <c r="B63" s="1031" t="s">
        <v>874</v>
      </c>
      <c r="C63" s="1109" t="s">
        <v>1448</v>
      </c>
      <c r="D63" s="1109" t="s">
        <v>1428</v>
      </c>
      <c r="E63" s="1108" t="s">
        <v>1198</v>
      </c>
    </row>
    <row r="64" spans="1:5" x14ac:dyDescent="0.25">
      <c r="A64" s="1031">
        <v>63</v>
      </c>
      <c r="B64" s="1031" t="s">
        <v>874</v>
      </c>
      <c r="C64" s="1109" t="s">
        <v>1448</v>
      </c>
      <c r="D64" s="1109" t="s">
        <v>1428</v>
      </c>
      <c r="E64" s="1108" t="s">
        <v>1199</v>
      </c>
    </row>
    <row r="65" spans="1:5" x14ac:dyDescent="0.25">
      <c r="A65" s="1031">
        <v>64</v>
      </c>
      <c r="B65" s="1031" t="s">
        <v>874</v>
      </c>
      <c r="C65" s="1109" t="s">
        <v>1448</v>
      </c>
      <c r="D65" s="1109" t="s">
        <v>1428</v>
      </c>
      <c r="E65" s="1108" t="s">
        <v>1446</v>
      </c>
    </row>
    <row r="66" spans="1:5" x14ac:dyDescent="0.25">
      <c r="A66" s="1031">
        <v>65</v>
      </c>
      <c r="B66" s="1031" t="s">
        <v>874</v>
      </c>
      <c r="C66" s="1109" t="s">
        <v>1448</v>
      </c>
      <c r="D66" s="1109" t="s">
        <v>1428</v>
      </c>
      <c r="E66" s="1108" t="s">
        <v>1650</v>
      </c>
    </row>
    <row r="67" spans="1:5" x14ac:dyDescent="0.25">
      <c r="A67" s="1031">
        <v>66</v>
      </c>
      <c r="B67" s="1031" t="s">
        <v>1418</v>
      </c>
      <c r="C67" s="1109" t="s">
        <v>1448</v>
      </c>
      <c r="D67" s="1109" t="s">
        <v>1447</v>
      </c>
      <c r="E67" s="1106" t="s">
        <v>766</v>
      </c>
    </row>
    <row r="68" spans="1:5" x14ac:dyDescent="0.25">
      <c r="A68" s="1031">
        <v>67</v>
      </c>
      <c r="B68" s="1031" t="s">
        <v>1418</v>
      </c>
      <c r="C68" s="1109" t="s">
        <v>1448</v>
      </c>
      <c r="D68" s="1109" t="s">
        <v>1447</v>
      </c>
      <c r="E68" s="1106" t="s">
        <v>1189</v>
      </c>
    </row>
    <row r="69" spans="1:5" x14ac:dyDescent="0.25">
      <c r="A69" s="1031">
        <v>68</v>
      </c>
      <c r="B69" s="1031" t="s">
        <v>1418</v>
      </c>
      <c r="C69" s="1109" t="s">
        <v>1448</v>
      </c>
      <c r="D69" s="1109" t="s">
        <v>1428</v>
      </c>
      <c r="E69" s="1106" t="s">
        <v>1190</v>
      </c>
    </row>
    <row r="70" spans="1:5" x14ac:dyDescent="0.25">
      <c r="A70" s="1031">
        <v>69</v>
      </c>
      <c r="B70" s="1031" t="s">
        <v>1418</v>
      </c>
      <c r="C70" s="1109" t="s">
        <v>1448</v>
      </c>
      <c r="D70" s="1109" t="s">
        <v>1428</v>
      </c>
      <c r="E70" s="1106" t="s">
        <v>1384</v>
      </c>
    </row>
    <row r="71" spans="1:5" x14ac:dyDescent="0.25">
      <c r="A71" s="1031">
        <v>70</v>
      </c>
      <c r="B71" s="1031" t="s">
        <v>1418</v>
      </c>
      <c r="C71" s="1109" t="s">
        <v>1448</v>
      </c>
      <c r="D71" s="1109" t="s">
        <v>1428</v>
      </c>
      <c r="E71" s="1106" t="s">
        <v>1309</v>
      </c>
    </row>
    <row r="72" spans="1:5" x14ac:dyDescent="0.25">
      <c r="A72" s="1031">
        <v>71</v>
      </c>
      <c r="B72" s="1031" t="s">
        <v>1418</v>
      </c>
      <c r="C72" s="1109" t="s">
        <v>1448</v>
      </c>
      <c r="D72" s="1109" t="s">
        <v>1428</v>
      </c>
      <c r="E72" s="1106" t="s">
        <v>768</v>
      </c>
    </row>
    <row r="73" spans="1:5" x14ac:dyDescent="0.25">
      <c r="A73" s="1031">
        <v>72</v>
      </c>
      <c r="B73" s="1031" t="s">
        <v>1418</v>
      </c>
      <c r="C73" s="1109" t="s">
        <v>1448</v>
      </c>
      <c r="D73" s="1109" t="s">
        <v>1428</v>
      </c>
      <c r="E73" s="1106" t="s">
        <v>769</v>
      </c>
    </row>
    <row r="74" spans="1:5" x14ac:dyDescent="0.25">
      <c r="A74" s="1031">
        <v>73</v>
      </c>
      <c r="B74" s="1031" t="s">
        <v>1418</v>
      </c>
      <c r="C74" s="1109" t="s">
        <v>1448</v>
      </c>
      <c r="D74" s="1109" t="s">
        <v>1428</v>
      </c>
      <c r="E74" s="1106" t="s">
        <v>770</v>
      </c>
    </row>
    <row r="75" spans="1:5" x14ac:dyDescent="0.25">
      <c r="A75" s="1031">
        <v>74</v>
      </c>
      <c r="B75" s="1031" t="s">
        <v>1418</v>
      </c>
      <c r="C75" s="1109" t="s">
        <v>1448</v>
      </c>
      <c r="D75" s="1109" t="s">
        <v>1428</v>
      </c>
      <c r="E75" s="1106" t="s">
        <v>204</v>
      </c>
    </row>
    <row r="76" spans="1:5" x14ac:dyDescent="0.25">
      <c r="A76" s="1031">
        <v>75</v>
      </c>
      <c r="B76" s="1031" t="s">
        <v>1418</v>
      </c>
      <c r="C76" s="1109" t="s">
        <v>1449</v>
      </c>
      <c r="D76" s="1109" t="s">
        <v>1447</v>
      </c>
      <c r="E76" s="1106" t="s">
        <v>1188</v>
      </c>
    </row>
    <row r="77" spans="1:5" x14ac:dyDescent="0.25">
      <c r="A77" s="1031">
        <v>76</v>
      </c>
      <c r="B77" s="1031" t="s">
        <v>874</v>
      </c>
      <c r="C77" s="1109" t="s">
        <v>1449</v>
      </c>
      <c r="D77" s="1109" t="s">
        <v>1428</v>
      </c>
      <c r="E77" s="1106" t="s">
        <v>1192</v>
      </c>
    </row>
    <row r="78" spans="1:5" x14ac:dyDescent="0.25">
      <c r="A78" s="1031">
        <v>77</v>
      </c>
      <c r="B78" s="1031" t="s">
        <v>1418</v>
      </c>
      <c r="C78" s="1109" t="s">
        <v>1449</v>
      </c>
      <c r="D78" s="1109" t="s">
        <v>1428</v>
      </c>
      <c r="E78" s="1106" t="s">
        <v>767</v>
      </c>
    </row>
    <row r="79" spans="1:5" x14ac:dyDescent="0.25">
      <c r="A79" s="1031">
        <v>78</v>
      </c>
      <c r="B79" s="1031" t="s">
        <v>874</v>
      </c>
      <c r="C79" s="1109" t="s">
        <v>1449</v>
      </c>
      <c r="D79" s="1109" t="s">
        <v>1428</v>
      </c>
      <c r="E79" s="1108" t="s">
        <v>1274</v>
      </c>
    </row>
    <row r="80" spans="1:5" ht="30" x14ac:dyDescent="0.25">
      <c r="A80" s="1031">
        <v>79</v>
      </c>
      <c r="B80" s="1031" t="s">
        <v>874</v>
      </c>
      <c r="C80" s="1109" t="s">
        <v>1449</v>
      </c>
      <c r="D80" s="1109" t="s">
        <v>1428</v>
      </c>
      <c r="E80" s="1108" t="s">
        <v>1275</v>
      </c>
    </row>
    <row r="81" spans="1:5" x14ac:dyDescent="0.25">
      <c r="A81" s="1031">
        <v>80</v>
      </c>
      <c r="B81" s="1031" t="s">
        <v>874</v>
      </c>
      <c r="C81" s="1109" t="s">
        <v>1449</v>
      </c>
      <c r="D81" s="1109" t="s">
        <v>1428</v>
      </c>
      <c r="E81" s="1108" t="s">
        <v>1195</v>
      </c>
    </row>
    <row r="82" spans="1:5" x14ac:dyDescent="0.25">
      <c r="A82" s="1031">
        <v>81</v>
      </c>
      <c r="B82" s="1031" t="s">
        <v>874</v>
      </c>
      <c r="C82" s="1109" t="s">
        <v>1449</v>
      </c>
      <c r="D82" s="1109" t="s">
        <v>1428</v>
      </c>
      <c r="E82" s="1108" t="s">
        <v>1196</v>
      </c>
    </row>
    <row r="83" spans="1:5" x14ac:dyDescent="0.25">
      <c r="A83" s="1031">
        <v>82</v>
      </c>
      <c r="B83" s="1031" t="s">
        <v>874</v>
      </c>
      <c r="C83" s="1109" t="s">
        <v>1449</v>
      </c>
      <c r="D83" s="1109" t="s">
        <v>1428</v>
      </c>
      <c r="E83" s="1108" t="s">
        <v>1197</v>
      </c>
    </row>
    <row r="84" spans="1:5" x14ac:dyDescent="0.25">
      <c r="A84" s="1031">
        <v>83</v>
      </c>
      <c r="B84" s="1031" t="s">
        <v>874</v>
      </c>
      <c r="C84" s="1109" t="s">
        <v>1449</v>
      </c>
      <c r="D84" s="1109" t="s">
        <v>1428</v>
      </c>
      <c r="E84" s="1108" t="s">
        <v>1198</v>
      </c>
    </row>
    <row r="85" spans="1:5" x14ac:dyDescent="0.25">
      <c r="A85" s="1031">
        <v>84</v>
      </c>
      <c r="B85" s="1031" t="s">
        <v>874</v>
      </c>
      <c r="C85" s="1109" t="s">
        <v>1449</v>
      </c>
      <c r="D85" s="1109" t="s">
        <v>1428</v>
      </c>
      <c r="E85" s="1108" t="s">
        <v>1199</v>
      </c>
    </row>
    <row r="86" spans="1:5" x14ac:dyDescent="0.25">
      <c r="A86" s="1031">
        <v>85</v>
      </c>
      <c r="B86" s="1031" t="s">
        <v>874</v>
      </c>
      <c r="C86" s="1109" t="s">
        <v>1449</v>
      </c>
      <c r="D86" s="1109" t="s">
        <v>1428</v>
      </c>
      <c r="E86" s="1108" t="s">
        <v>1446</v>
      </c>
    </row>
    <row r="87" spans="1:5" x14ac:dyDescent="0.25">
      <c r="A87" s="1031">
        <v>86</v>
      </c>
      <c r="B87" s="1031" t="s">
        <v>874</v>
      </c>
      <c r="C87" s="1109" t="s">
        <v>1449</v>
      </c>
      <c r="D87" s="1109" t="s">
        <v>1428</v>
      </c>
      <c r="E87" s="1108" t="s">
        <v>1650</v>
      </c>
    </row>
    <row r="88" spans="1:5" x14ac:dyDescent="0.25">
      <c r="A88" s="1031">
        <v>87</v>
      </c>
      <c r="B88" s="1031" t="s">
        <v>1418</v>
      </c>
      <c r="C88" s="1109" t="s">
        <v>1449</v>
      </c>
      <c r="D88" s="1109" t="s">
        <v>1447</v>
      </c>
      <c r="E88" s="1106" t="s">
        <v>766</v>
      </c>
    </row>
    <row r="89" spans="1:5" x14ac:dyDescent="0.25">
      <c r="A89" s="1031">
        <v>88</v>
      </c>
      <c r="B89" s="1031" t="s">
        <v>1418</v>
      </c>
      <c r="C89" s="1109" t="s">
        <v>1449</v>
      </c>
      <c r="D89" s="1109" t="s">
        <v>1447</v>
      </c>
      <c r="E89" s="1106" t="s">
        <v>1189</v>
      </c>
    </row>
    <row r="90" spans="1:5" x14ac:dyDescent="0.25">
      <c r="A90" s="1031">
        <v>89</v>
      </c>
      <c r="B90" s="1031" t="s">
        <v>1418</v>
      </c>
      <c r="C90" s="1109" t="s">
        <v>1449</v>
      </c>
      <c r="D90" s="1109" t="s">
        <v>1428</v>
      </c>
      <c r="E90" s="1106" t="s">
        <v>1190</v>
      </c>
    </row>
    <row r="91" spans="1:5" x14ac:dyDescent="0.25">
      <c r="A91" s="1031">
        <v>90</v>
      </c>
      <c r="B91" s="1031" t="s">
        <v>1418</v>
      </c>
      <c r="C91" s="1109" t="s">
        <v>1449</v>
      </c>
      <c r="D91" s="1109" t="s">
        <v>1428</v>
      </c>
      <c r="E91" s="1106" t="s">
        <v>1384</v>
      </c>
    </row>
    <row r="92" spans="1:5" x14ac:dyDescent="0.25">
      <c r="A92" s="1031">
        <v>91</v>
      </c>
      <c r="B92" s="1031" t="s">
        <v>1418</v>
      </c>
      <c r="C92" s="1109" t="s">
        <v>1449</v>
      </c>
      <c r="D92" s="1109" t="s">
        <v>1428</v>
      </c>
      <c r="E92" s="1106" t="s">
        <v>1309</v>
      </c>
    </row>
    <row r="93" spans="1:5" x14ac:dyDescent="0.25">
      <c r="A93" s="1031">
        <v>92</v>
      </c>
      <c r="B93" s="1031" t="s">
        <v>1418</v>
      </c>
      <c r="C93" s="1109" t="s">
        <v>1449</v>
      </c>
      <c r="D93" s="1109" t="s">
        <v>1428</v>
      </c>
      <c r="E93" s="1106" t="s">
        <v>768</v>
      </c>
    </row>
    <row r="94" spans="1:5" x14ac:dyDescent="0.25">
      <c r="A94" s="1031">
        <v>93</v>
      </c>
      <c r="B94" s="1031" t="s">
        <v>1418</v>
      </c>
      <c r="C94" s="1109" t="s">
        <v>1449</v>
      </c>
      <c r="D94" s="1109" t="s">
        <v>1428</v>
      </c>
      <c r="E94" s="1106" t="s">
        <v>769</v>
      </c>
    </row>
    <row r="95" spans="1:5" x14ac:dyDescent="0.25">
      <c r="A95" s="1031">
        <v>94</v>
      </c>
      <c r="B95" s="1031" t="s">
        <v>1418</v>
      </c>
      <c r="C95" s="1109" t="s">
        <v>1449</v>
      </c>
      <c r="D95" s="1109" t="s">
        <v>1428</v>
      </c>
      <c r="E95" s="1106" t="s">
        <v>770</v>
      </c>
    </row>
    <row r="96" spans="1:5" x14ac:dyDescent="0.25">
      <c r="A96" s="1031">
        <v>95</v>
      </c>
      <c r="B96" s="1031" t="s">
        <v>1418</v>
      </c>
      <c r="C96" s="1109" t="s">
        <v>1449</v>
      </c>
      <c r="D96" s="1109" t="s">
        <v>1428</v>
      </c>
      <c r="E96" s="1106" t="s">
        <v>204</v>
      </c>
    </row>
    <row r="97" spans="1:5" x14ac:dyDescent="0.25">
      <c r="A97" s="1031">
        <v>96</v>
      </c>
      <c r="B97" s="1031" t="s">
        <v>1418</v>
      </c>
      <c r="C97" s="1109" t="s">
        <v>1450</v>
      </c>
      <c r="D97" s="1109" t="s">
        <v>1428</v>
      </c>
      <c r="E97" s="1106" t="s">
        <v>1188</v>
      </c>
    </row>
    <row r="98" spans="1:5" x14ac:dyDescent="0.25">
      <c r="A98" s="1031">
        <v>97</v>
      </c>
      <c r="B98" s="1031" t="s">
        <v>874</v>
      </c>
      <c r="C98" s="1109" t="s">
        <v>1450</v>
      </c>
      <c r="D98" s="1109" t="s">
        <v>1428</v>
      </c>
      <c r="E98" s="1106" t="s">
        <v>1192</v>
      </c>
    </row>
    <row r="99" spans="1:5" x14ac:dyDescent="0.25">
      <c r="A99" s="1031">
        <v>98</v>
      </c>
      <c r="B99" s="1031" t="s">
        <v>1418</v>
      </c>
      <c r="C99" s="1109" t="s">
        <v>1450</v>
      </c>
      <c r="D99" s="1109" t="s">
        <v>1428</v>
      </c>
      <c r="E99" s="1106" t="s">
        <v>767</v>
      </c>
    </row>
    <row r="100" spans="1:5" x14ac:dyDescent="0.25">
      <c r="A100" s="1031">
        <v>99</v>
      </c>
      <c r="B100" s="1031" t="s">
        <v>874</v>
      </c>
      <c r="C100" s="1109" t="s">
        <v>1450</v>
      </c>
      <c r="D100" s="1109" t="s">
        <v>1428</v>
      </c>
      <c r="E100" s="1108" t="s">
        <v>1274</v>
      </c>
    </row>
    <row r="101" spans="1:5" ht="30" x14ac:dyDescent="0.25">
      <c r="A101" s="1031">
        <v>100</v>
      </c>
      <c r="B101" s="1031" t="s">
        <v>874</v>
      </c>
      <c r="C101" s="1109" t="s">
        <v>1450</v>
      </c>
      <c r="D101" s="1109" t="s">
        <v>1428</v>
      </c>
      <c r="E101" s="1108" t="s">
        <v>1275</v>
      </c>
    </row>
    <row r="102" spans="1:5" x14ac:dyDescent="0.25">
      <c r="A102" s="1031">
        <v>101</v>
      </c>
      <c r="B102" s="1031" t="s">
        <v>874</v>
      </c>
      <c r="C102" s="1109" t="s">
        <v>1450</v>
      </c>
      <c r="D102" s="1109" t="s">
        <v>1428</v>
      </c>
      <c r="E102" s="1108" t="s">
        <v>1195</v>
      </c>
    </row>
    <row r="103" spans="1:5" x14ac:dyDescent="0.25">
      <c r="A103" s="1031">
        <v>102</v>
      </c>
      <c r="B103" s="1031" t="s">
        <v>874</v>
      </c>
      <c r="C103" s="1109" t="s">
        <v>1450</v>
      </c>
      <c r="D103" s="1109" t="s">
        <v>1428</v>
      </c>
      <c r="E103" s="1108" t="s">
        <v>1196</v>
      </c>
    </row>
    <row r="104" spans="1:5" x14ac:dyDescent="0.25">
      <c r="A104" s="1031">
        <v>103</v>
      </c>
      <c r="B104" s="1031" t="s">
        <v>874</v>
      </c>
      <c r="C104" s="1109" t="s">
        <v>1450</v>
      </c>
      <c r="D104" s="1109" t="s">
        <v>1428</v>
      </c>
      <c r="E104" s="1108" t="s">
        <v>1197</v>
      </c>
    </row>
    <row r="105" spans="1:5" x14ac:dyDescent="0.25">
      <c r="A105" s="1031">
        <v>104</v>
      </c>
      <c r="B105" s="1031" t="s">
        <v>874</v>
      </c>
      <c r="C105" s="1109" t="s">
        <v>1450</v>
      </c>
      <c r="D105" s="1109" t="s">
        <v>1428</v>
      </c>
      <c r="E105" s="1108" t="s">
        <v>1198</v>
      </c>
    </row>
    <row r="106" spans="1:5" x14ac:dyDescent="0.25">
      <c r="A106" s="1031">
        <v>105</v>
      </c>
      <c r="B106" s="1031" t="s">
        <v>874</v>
      </c>
      <c r="C106" s="1109" t="s">
        <v>1450</v>
      </c>
      <c r="D106" s="1109" t="s">
        <v>1428</v>
      </c>
      <c r="E106" s="1108" t="s">
        <v>1199</v>
      </c>
    </row>
    <row r="107" spans="1:5" x14ac:dyDescent="0.25">
      <c r="A107" s="1031">
        <v>106</v>
      </c>
      <c r="B107" s="1031" t="s">
        <v>874</v>
      </c>
      <c r="C107" s="1109" t="s">
        <v>1450</v>
      </c>
      <c r="D107" s="1109" t="s">
        <v>1428</v>
      </c>
      <c r="E107" s="1108" t="s">
        <v>1446</v>
      </c>
    </row>
    <row r="108" spans="1:5" x14ac:dyDescent="0.25">
      <c r="A108" s="1031">
        <v>107</v>
      </c>
      <c r="B108" s="1031" t="s">
        <v>874</v>
      </c>
      <c r="C108" s="1109" t="s">
        <v>1450</v>
      </c>
      <c r="D108" s="1109" t="s">
        <v>1428</v>
      </c>
      <c r="E108" s="1108" t="s">
        <v>1650</v>
      </c>
    </row>
    <row r="109" spans="1:5" x14ac:dyDescent="0.25">
      <c r="A109" s="1031">
        <v>108</v>
      </c>
      <c r="B109" s="1031" t="s">
        <v>1418</v>
      </c>
      <c r="C109" s="1109" t="s">
        <v>1450</v>
      </c>
      <c r="D109" s="1109" t="s">
        <v>1447</v>
      </c>
      <c r="E109" s="1106" t="s">
        <v>766</v>
      </c>
    </row>
    <row r="110" spans="1:5" x14ac:dyDescent="0.25">
      <c r="A110" s="1031">
        <v>109</v>
      </c>
      <c r="B110" s="1031" t="s">
        <v>1418</v>
      </c>
      <c r="C110" s="1109" t="s">
        <v>1450</v>
      </c>
      <c r="D110" s="1109" t="s">
        <v>1447</v>
      </c>
      <c r="E110" s="1106" t="s">
        <v>1189</v>
      </c>
    </row>
    <row r="111" spans="1:5" x14ac:dyDescent="0.25">
      <c r="A111" s="1031">
        <v>110</v>
      </c>
      <c r="B111" s="1031" t="s">
        <v>1418</v>
      </c>
      <c r="C111" s="1109" t="s">
        <v>1450</v>
      </c>
      <c r="D111" s="1109" t="s">
        <v>1428</v>
      </c>
      <c r="E111" s="1106" t="s">
        <v>1190</v>
      </c>
    </row>
    <row r="112" spans="1:5" x14ac:dyDescent="0.25">
      <c r="A112" s="1031">
        <v>111</v>
      </c>
      <c r="B112" s="1031" t="s">
        <v>1418</v>
      </c>
      <c r="C112" s="1109" t="s">
        <v>1450</v>
      </c>
      <c r="D112" s="1109" t="s">
        <v>1428</v>
      </c>
      <c r="E112" s="1106" t="s">
        <v>1384</v>
      </c>
    </row>
    <row r="113" spans="1:5" x14ac:dyDescent="0.25">
      <c r="A113" s="1031">
        <v>112</v>
      </c>
      <c r="B113" s="1031" t="s">
        <v>1418</v>
      </c>
      <c r="C113" s="1109" t="s">
        <v>1450</v>
      </c>
      <c r="D113" s="1109" t="s">
        <v>1428</v>
      </c>
      <c r="E113" s="1106" t="s">
        <v>1309</v>
      </c>
    </row>
    <row r="114" spans="1:5" x14ac:dyDescent="0.25">
      <c r="A114" s="1031">
        <v>113</v>
      </c>
      <c r="B114" s="1031" t="s">
        <v>1418</v>
      </c>
      <c r="C114" s="1109" t="s">
        <v>1450</v>
      </c>
      <c r="D114" s="1109" t="s">
        <v>1428</v>
      </c>
      <c r="E114" s="1106" t="s">
        <v>768</v>
      </c>
    </row>
    <row r="115" spans="1:5" x14ac:dyDescent="0.25">
      <c r="A115" s="1031">
        <v>114</v>
      </c>
      <c r="B115" s="1031" t="s">
        <v>1418</v>
      </c>
      <c r="C115" s="1109" t="s">
        <v>1450</v>
      </c>
      <c r="D115" s="1109" t="s">
        <v>1428</v>
      </c>
      <c r="E115" s="1106" t="s">
        <v>769</v>
      </c>
    </row>
    <row r="116" spans="1:5" x14ac:dyDescent="0.25">
      <c r="A116" s="1031">
        <v>115</v>
      </c>
      <c r="B116" s="1031" t="s">
        <v>1418</v>
      </c>
      <c r="C116" s="1109" t="s">
        <v>1450</v>
      </c>
      <c r="D116" s="1109" t="s">
        <v>1428</v>
      </c>
      <c r="E116" s="1106" t="s">
        <v>770</v>
      </c>
    </row>
    <row r="117" spans="1:5" x14ac:dyDescent="0.25">
      <c r="A117" s="1031">
        <v>116</v>
      </c>
      <c r="B117" s="1031" t="s">
        <v>1418</v>
      </c>
      <c r="C117" s="1109" t="s">
        <v>1450</v>
      </c>
      <c r="D117" s="1109" t="s">
        <v>1428</v>
      </c>
      <c r="E117" s="1106" t="s">
        <v>204</v>
      </c>
    </row>
    <row r="118" spans="1:5" x14ac:dyDescent="0.25">
      <c r="A118" s="1031">
        <v>117</v>
      </c>
      <c r="B118" s="1031" t="s">
        <v>1418</v>
      </c>
      <c r="C118" s="1109" t="s">
        <v>1451</v>
      </c>
      <c r="D118" s="1109" t="s">
        <v>1428</v>
      </c>
      <c r="E118" s="1106" t="s">
        <v>1188</v>
      </c>
    </row>
    <row r="119" spans="1:5" x14ac:dyDescent="0.25">
      <c r="A119" s="1031">
        <v>118</v>
      </c>
      <c r="B119" s="1031" t="s">
        <v>874</v>
      </c>
      <c r="C119" s="1109" t="s">
        <v>1451</v>
      </c>
      <c r="D119" s="1109" t="s">
        <v>1428</v>
      </c>
      <c r="E119" s="1106" t="s">
        <v>1192</v>
      </c>
    </row>
    <row r="120" spans="1:5" x14ac:dyDescent="0.25">
      <c r="A120" s="1031">
        <v>119</v>
      </c>
      <c r="B120" s="1031" t="s">
        <v>1418</v>
      </c>
      <c r="C120" s="1109" t="s">
        <v>1451</v>
      </c>
      <c r="D120" s="1109" t="s">
        <v>1428</v>
      </c>
      <c r="E120" s="1106" t="s">
        <v>767</v>
      </c>
    </row>
    <row r="121" spans="1:5" x14ac:dyDescent="0.25">
      <c r="A121" s="1031">
        <v>120</v>
      </c>
      <c r="B121" s="1031" t="s">
        <v>874</v>
      </c>
      <c r="C121" s="1109" t="s">
        <v>1451</v>
      </c>
      <c r="D121" s="1109" t="s">
        <v>1428</v>
      </c>
      <c r="E121" s="1108" t="s">
        <v>1274</v>
      </c>
    </row>
    <row r="122" spans="1:5" ht="30" x14ac:dyDescent="0.25">
      <c r="A122" s="1031">
        <v>121</v>
      </c>
      <c r="B122" s="1031" t="s">
        <v>874</v>
      </c>
      <c r="C122" s="1109" t="s">
        <v>1451</v>
      </c>
      <c r="D122" s="1109" t="s">
        <v>1428</v>
      </c>
      <c r="E122" s="1108" t="s">
        <v>1275</v>
      </c>
    </row>
    <row r="123" spans="1:5" x14ac:dyDescent="0.25">
      <c r="A123" s="1031">
        <v>122</v>
      </c>
      <c r="B123" s="1031" t="s">
        <v>874</v>
      </c>
      <c r="C123" s="1109" t="s">
        <v>1451</v>
      </c>
      <c r="D123" s="1109" t="s">
        <v>1428</v>
      </c>
      <c r="E123" s="1108" t="s">
        <v>1195</v>
      </c>
    </row>
    <row r="124" spans="1:5" x14ac:dyDescent="0.25">
      <c r="A124" s="1031">
        <v>123</v>
      </c>
      <c r="B124" s="1031" t="s">
        <v>874</v>
      </c>
      <c r="C124" s="1109" t="s">
        <v>1451</v>
      </c>
      <c r="D124" s="1109" t="s">
        <v>1428</v>
      </c>
      <c r="E124" s="1108" t="s">
        <v>1196</v>
      </c>
    </row>
    <row r="125" spans="1:5" x14ac:dyDescent="0.25">
      <c r="A125" s="1031">
        <v>124</v>
      </c>
      <c r="B125" s="1031" t="s">
        <v>874</v>
      </c>
      <c r="C125" s="1109" t="s">
        <v>1451</v>
      </c>
      <c r="D125" s="1109" t="s">
        <v>1428</v>
      </c>
      <c r="E125" s="1108" t="s">
        <v>1197</v>
      </c>
    </row>
    <row r="126" spans="1:5" x14ac:dyDescent="0.25">
      <c r="A126" s="1031">
        <v>125</v>
      </c>
      <c r="B126" s="1031" t="s">
        <v>874</v>
      </c>
      <c r="C126" s="1109" t="s">
        <v>1451</v>
      </c>
      <c r="D126" s="1109" t="s">
        <v>1428</v>
      </c>
      <c r="E126" s="1108" t="s">
        <v>1198</v>
      </c>
    </row>
    <row r="127" spans="1:5" x14ac:dyDescent="0.25">
      <c r="A127" s="1031">
        <v>126</v>
      </c>
      <c r="B127" s="1031" t="s">
        <v>874</v>
      </c>
      <c r="C127" s="1109" t="s">
        <v>1451</v>
      </c>
      <c r="D127" s="1109" t="s">
        <v>1428</v>
      </c>
      <c r="E127" s="1108" t="s">
        <v>1199</v>
      </c>
    </row>
    <row r="128" spans="1:5" x14ac:dyDescent="0.25">
      <c r="A128" s="1031">
        <v>127</v>
      </c>
      <c r="B128" s="1031" t="s">
        <v>874</v>
      </c>
      <c r="C128" s="1109" t="s">
        <v>1451</v>
      </c>
      <c r="D128" s="1109" t="s">
        <v>1428</v>
      </c>
      <c r="E128" s="1108" t="s">
        <v>1446</v>
      </c>
    </row>
    <row r="129" spans="1:5" x14ac:dyDescent="0.25">
      <c r="A129" s="1031">
        <v>128</v>
      </c>
      <c r="B129" s="1031" t="s">
        <v>874</v>
      </c>
      <c r="C129" s="1109" t="s">
        <v>1451</v>
      </c>
      <c r="D129" s="1109" t="s">
        <v>1428</v>
      </c>
      <c r="E129" s="1108" t="s">
        <v>1650</v>
      </c>
    </row>
    <row r="130" spans="1:5" x14ac:dyDescent="0.25">
      <c r="A130" s="1031">
        <v>129</v>
      </c>
      <c r="B130" s="1031" t="s">
        <v>1418</v>
      </c>
      <c r="C130" s="1109" t="s">
        <v>1451</v>
      </c>
      <c r="D130" s="1109" t="s">
        <v>1447</v>
      </c>
      <c r="E130" s="1106" t="s">
        <v>766</v>
      </c>
    </row>
    <row r="131" spans="1:5" x14ac:dyDescent="0.25">
      <c r="A131" s="1031">
        <v>130</v>
      </c>
      <c r="B131" s="1031" t="s">
        <v>1418</v>
      </c>
      <c r="C131" s="1109" t="s">
        <v>1451</v>
      </c>
      <c r="D131" s="1109" t="s">
        <v>1447</v>
      </c>
      <c r="E131" s="1106" t="s">
        <v>1189</v>
      </c>
    </row>
    <row r="132" spans="1:5" x14ac:dyDescent="0.25">
      <c r="A132" s="1031">
        <v>131</v>
      </c>
      <c r="B132" s="1031" t="s">
        <v>1418</v>
      </c>
      <c r="C132" s="1109" t="s">
        <v>1451</v>
      </c>
      <c r="D132" s="1109" t="s">
        <v>1428</v>
      </c>
      <c r="E132" s="1106" t="s">
        <v>1190</v>
      </c>
    </row>
    <row r="133" spans="1:5" x14ac:dyDescent="0.25">
      <c r="A133" s="1031">
        <v>132</v>
      </c>
      <c r="B133" s="1031" t="s">
        <v>1418</v>
      </c>
      <c r="C133" s="1109" t="s">
        <v>1451</v>
      </c>
      <c r="D133" s="1109" t="s">
        <v>1428</v>
      </c>
      <c r="E133" s="1106" t="s">
        <v>1384</v>
      </c>
    </row>
    <row r="134" spans="1:5" x14ac:dyDescent="0.25">
      <c r="A134" s="1031">
        <v>133</v>
      </c>
      <c r="B134" s="1031" t="s">
        <v>1418</v>
      </c>
      <c r="C134" s="1109" t="s">
        <v>1451</v>
      </c>
      <c r="D134" s="1109" t="s">
        <v>1428</v>
      </c>
      <c r="E134" s="1106" t="s">
        <v>1309</v>
      </c>
    </row>
    <row r="135" spans="1:5" x14ac:dyDescent="0.25">
      <c r="A135" s="1031">
        <v>134</v>
      </c>
      <c r="B135" s="1031" t="s">
        <v>1418</v>
      </c>
      <c r="C135" s="1109" t="s">
        <v>1451</v>
      </c>
      <c r="D135" s="1109" t="s">
        <v>1428</v>
      </c>
      <c r="E135" s="1106" t="s">
        <v>768</v>
      </c>
    </row>
    <row r="136" spans="1:5" x14ac:dyDescent="0.25">
      <c r="A136" s="1031">
        <v>135</v>
      </c>
      <c r="B136" s="1031" t="s">
        <v>1418</v>
      </c>
      <c r="C136" s="1109" t="s">
        <v>1451</v>
      </c>
      <c r="D136" s="1109" t="s">
        <v>1428</v>
      </c>
      <c r="E136" s="1106" t="s">
        <v>769</v>
      </c>
    </row>
    <row r="137" spans="1:5" x14ac:dyDescent="0.25">
      <c r="A137" s="1031">
        <v>136</v>
      </c>
      <c r="B137" s="1031" t="s">
        <v>1418</v>
      </c>
      <c r="C137" s="1109" t="s">
        <v>1451</v>
      </c>
      <c r="D137" s="1109" t="s">
        <v>1428</v>
      </c>
      <c r="E137" s="1106" t="s">
        <v>770</v>
      </c>
    </row>
    <row r="138" spans="1:5" x14ac:dyDescent="0.25">
      <c r="A138" s="1031">
        <v>137</v>
      </c>
      <c r="B138" s="1031" t="s">
        <v>1418</v>
      </c>
      <c r="C138" s="1109" t="s">
        <v>1451</v>
      </c>
      <c r="D138" s="1109" t="s">
        <v>1428</v>
      </c>
      <c r="E138" s="1106" t="s">
        <v>204</v>
      </c>
    </row>
    <row r="139" spans="1:5" x14ac:dyDescent="0.25">
      <c r="A139" s="1031">
        <v>138</v>
      </c>
      <c r="B139" s="1031" t="s">
        <v>1418</v>
      </c>
      <c r="C139" s="1109" t="s">
        <v>1452</v>
      </c>
      <c r="D139" s="1109" t="s">
        <v>1428</v>
      </c>
      <c r="E139" s="1106" t="s">
        <v>1188</v>
      </c>
    </row>
    <row r="140" spans="1:5" x14ac:dyDescent="0.25">
      <c r="A140" s="1031">
        <v>139</v>
      </c>
      <c r="B140" s="1031" t="s">
        <v>874</v>
      </c>
      <c r="C140" s="1109" t="s">
        <v>1452</v>
      </c>
      <c r="D140" s="1109" t="s">
        <v>1428</v>
      </c>
      <c r="E140" s="1106" t="s">
        <v>1192</v>
      </c>
    </row>
    <row r="141" spans="1:5" x14ac:dyDescent="0.25">
      <c r="A141" s="1031">
        <v>140</v>
      </c>
      <c r="B141" s="1031" t="s">
        <v>1418</v>
      </c>
      <c r="C141" s="1109" t="s">
        <v>1452</v>
      </c>
      <c r="D141" s="1109" t="s">
        <v>1428</v>
      </c>
      <c r="E141" s="1106" t="s">
        <v>767</v>
      </c>
    </row>
    <row r="142" spans="1:5" x14ac:dyDescent="0.25">
      <c r="A142" s="1031">
        <v>141</v>
      </c>
      <c r="B142" s="1031" t="s">
        <v>874</v>
      </c>
      <c r="C142" s="1109" t="s">
        <v>1452</v>
      </c>
      <c r="D142" s="1109" t="s">
        <v>1428</v>
      </c>
      <c r="E142" s="1108" t="s">
        <v>1274</v>
      </c>
    </row>
    <row r="143" spans="1:5" ht="30" x14ac:dyDescent="0.25">
      <c r="A143" s="1031">
        <v>142</v>
      </c>
      <c r="B143" s="1031" t="s">
        <v>874</v>
      </c>
      <c r="C143" s="1109" t="s">
        <v>1452</v>
      </c>
      <c r="D143" s="1109" t="s">
        <v>1428</v>
      </c>
      <c r="E143" s="1108" t="s">
        <v>1275</v>
      </c>
    </row>
    <row r="144" spans="1:5" x14ac:dyDescent="0.25">
      <c r="A144" s="1031">
        <v>143</v>
      </c>
      <c r="B144" s="1031" t="s">
        <v>874</v>
      </c>
      <c r="C144" s="1109" t="s">
        <v>1452</v>
      </c>
      <c r="D144" s="1109" t="s">
        <v>1428</v>
      </c>
      <c r="E144" s="1108" t="s">
        <v>1195</v>
      </c>
    </row>
    <row r="145" spans="1:5" x14ac:dyDescent="0.25">
      <c r="A145" s="1031">
        <v>144</v>
      </c>
      <c r="B145" s="1031" t="s">
        <v>874</v>
      </c>
      <c r="C145" s="1109" t="s">
        <v>1452</v>
      </c>
      <c r="D145" s="1109" t="s">
        <v>1428</v>
      </c>
      <c r="E145" s="1108" t="s">
        <v>1196</v>
      </c>
    </row>
    <row r="146" spans="1:5" x14ac:dyDescent="0.25">
      <c r="A146" s="1031">
        <v>145</v>
      </c>
      <c r="B146" s="1031" t="s">
        <v>874</v>
      </c>
      <c r="C146" s="1109" t="s">
        <v>1452</v>
      </c>
      <c r="D146" s="1109" t="s">
        <v>1428</v>
      </c>
      <c r="E146" s="1108" t="s">
        <v>1197</v>
      </c>
    </row>
    <row r="147" spans="1:5" x14ac:dyDescent="0.25">
      <c r="A147" s="1031">
        <v>146</v>
      </c>
      <c r="B147" s="1031" t="s">
        <v>874</v>
      </c>
      <c r="C147" s="1109" t="s">
        <v>1452</v>
      </c>
      <c r="D147" s="1109" t="s">
        <v>1428</v>
      </c>
      <c r="E147" s="1108" t="s">
        <v>1198</v>
      </c>
    </row>
    <row r="148" spans="1:5" x14ac:dyDescent="0.25">
      <c r="A148" s="1031">
        <v>147</v>
      </c>
      <c r="B148" s="1031" t="s">
        <v>874</v>
      </c>
      <c r="C148" s="1109" t="s">
        <v>1452</v>
      </c>
      <c r="D148" s="1109" t="s">
        <v>1428</v>
      </c>
      <c r="E148" s="1108" t="s">
        <v>1199</v>
      </c>
    </row>
    <row r="149" spans="1:5" x14ac:dyDescent="0.25">
      <c r="A149" s="1031">
        <v>148</v>
      </c>
      <c r="B149" s="1031" t="s">
        <v>874</v>
      </c>
      <c r="C149" s="1109" t="s">
        <v>1452</v>
      </c>
      <c r="D149" s="1109" t="s">
        <v>1428</v>
      </c>
      <c r="E149" s="1108" t="s">
        <v>1446</v>
      </c>
    </row>
    <row r="150" spans="1:5" x14ac:dyDescent="0.25">
      <c r="A150" s="1031">
        <v>149</v>
      </c>
      <c r="B150" s="1031" t="s">
        <v>874</v>
      </c>
      <c r="C150" s="1109" t="s">
        <v>1452</v>
      </c>
      <c r="D150" s="1109" t="s">
        <v>1428</v>
      </c>
      <c r="E150" s="1108" t="s">
        <v>1650</v>
      </c>
    </row>
    <row r="151" spans="1:5" x14ac:dyDescent="0.25">
      <c r="A151" s="1031">
        <v>150</v>
      </c>
      <c r="B151" s="1031" t="s">
        <v>1418</v>
      </c>
      <c r="C151" s="1109" t="s">
        <v>1452</v>
      </c>
      <c r="D151" s="1109" t="s">
        <v>1447</v>
      </c>
      <c r="E151" s="1106" t="s">
        <v>766</v>
      </c>
    </row>
    <row r="152" spans="1:5" x14ac:dyDescent="0.25">
      <c r="A152" s="1031">
        <v>151</v>
      </c>
      <c r="B152" s="1031" t="s">
        <v>1418</v>
      </c>
      <c r="C152" s="1109" t="s">
        <v>1452</v>
      </c>
      <c r="D152" s="1109" t="s">
        <v>1447</v>
      </c>
      <c r="E152" s="1106" t="s">
        <v>1189</v>
      </c>
    </row>
    <row r="153" spans="1:5" x14ac:dyDescent="0.25">
      <c r="A153" s="1031">
        <v>152</v>
      </c>
      <c r="B153" s="1031" t="s">
        <v>1418</v>
      </c>
      <c r="C153" s="1109" t="s">
        <v>1452</v>
      </c>
      <c r="D153" s="1109" t="s">
        <v>1428</v>
      </c>
      <c r="E153" s="1106" t="s">
        <v>1190</v>
      </c>
    </row>
    <row r="154" spans="1:5" x14ac:dyDescent="0.25">
      <c r="A154" s="1031">
        <v>153</v>
      </c>
      <c r="B154" s="1031" t="s">
        <v>1418</v>
      </c>
      <c r="C154" s="1109" t="s">
        <v>1452</v>
      </c>
      <c r="D154" s="1109" t="s">
        <v>1428</v>
      </c>
      <c r="E154" s="1106" t="s">
        <v>1384</v>
      </c>
    </row>
    <row r="155" spans="1:5" x14ac:dyDescent="0.25">
      <c r="A155" s="1031">
        <v>154</v>
      </c>
      <c r="B155" s="1031" t="s">
        <v>1418</v>
      </c>
      <c r="C155" s="1109" t="s">
        <v>1452</v>
      </c>
      <c r="D155" s="1109" t="s">
        <v>1428</v>
      </c>
      <c r="E155" s="1106" t="s">
        <v>1309</v>
      </c>
    </row>
    <row r="156" spans="1:5" x14ac:dyDescent="0.25">
      <c r="A156" s="1031">
        <v>155</v>
      </c>
      <c r="B156" s="1031" t="s">
        <v>1418</v>
      </c>
      <c r="C156" s="1109" t="s">
        <v>1452</v>
      </c>
      <c r="D156" s="1109" t="s">
        <v>1428</v>
      </c>
      <c r="E156" s="1106" t="s">
        <v>768</v>
      </c>
    </row>
    <row r="157" spans="1:5" x14ac:dyDescent="0.25">
      <c r="A157" s="1031">
        <v>156</v>
      </c>
      <c r="B157" s="1031" t="s">
        <v>1418</v>
      </c>
      <c r="C157" s="1109" t="s">
        <v>1452</v>
      </c>
      <c r="D157" s="1109" t="s">
        <v>1428</v>
      </c>
      <c r="E157" s="1106" t="s">
        <v>769</v>
      </c>
    </row>
    <row r="158" spans="1:5" x14ac:dyDescent="0.25">
      <c r="A158" s="1031">
        <v>157</v>
      </c>
      <c r="B158" s="1031" t="s">
        <v>1418</v>
      </c>
      <c r="C158" s="1109" t="s">
        <v>1452</v>
      </c>
      <c r="D158" s="1109" t="s">
        <v>1428</v>
      </c>
      <c r="E158" s="1106" t="s">
        <v>770</v>
      </c>
    </row>
    <row r="159" spans="1:5" x14ac:dyDescent="0.25">
      <c r="A159" s="1031">
        <v>158</v>
      </c>
      <c r="B159" s="1031" t="s">
        <v>1418</v>
      </c>
      <c r="C159" s="1109" t="s">
        <v>1452</v>
      </c>
      <c r="D159" s="1109" t="s">
        <v>1428</v>
      </c>
      <c r="E159" s="1106" t="s">
        <v>204</v>
      </c>
    </row>
    <row r="160" spans="1:5" x14ac:dyDescent="0.25">
      <c r="A160" s="1031">
        <v>159</v>
      </c>
      <c r="B160" s="1031" t="s">
        <v>1418</v>
      </c>
      <c r="C160" s="1109" t="s">
        <v>1453</v>
      </c>
      <c r="D160" s="1109" t="s">
        <v>1428</v>
      </c>
      <c r="E160" s="1106" t="s">
        <v>1188</v>
      </c>
    </row>
    <row r="161" spans="1:5" x14ac:dyDescent="0.25">
      <c r="A161" s="1031">
        <v>160</v>
      </c>
      <c r="B161" s="1031" t="s">
        <v>874</v>
      </c>
      <c r="C161" s="1109" t="s">
        <v>1453</v>
      </c>
      <c r="D161" s="1109" t="s">
        <v>1428</v>
      </c>
      <c r="E161" s="1106" t="s">
        <v>1192</v>
      </c>
    </row>
    <row r="162" spans="1:5" x14ac:dyDescent="0.25">
      <c r="A162" s="1031">
        <v>161</v>
      </c>
      <c r="B162" s="1031" t="s">
        <v>1418</v>
      </c>
      <c r="C162" s="1109" t="s">
        <v>1453</v>
      </c>
      <c r="D162" s="1109" t="s">
        <v>1428</v>
      </c>
      <c r="E162" s="1106" t="s">
        <v>767</v>
      </c>
    </row>
    <row r="163" spans="1:5" x14ac:dyDescent="0.25">
      <c r="A163" s="1031">
        <v>162</v>
      </c>
      <c r="B163" s="1031" t="s">
        <v>874</v>
      </c>
      <c r="C163" s="1109" t="s">
        <v>1453</v>
      </c>
      <c r="D163" s="1109" t="s">
        <v>1428</v>
      </c>
      <c r="E163" s="1108" t="s">
        <v>1274</v>
      </c>
    </row>
    <row r="164" spans="1:5" ht="30" x14ac:dyDescent="0.25">
      <c r="A164" s="1031">
        <v>163</v>
      </c>
      <c r="B164" s="1031" t="s">
        <v>874</v>
      </c>
      <c r="C164" s="1109" t="s">
        <v>1453</v>
      </c>
      <c r="D164" s="1109" t="s">
        <v>1428</v>
      </c>
      <c r="E164" s="1108" t="s">
        <v>1275</v>
      </c>
    </row>
    <row r="165" spans="1:5" x14ac:dyDescent="0.25">
      <c r="A165" s="1031">
        <v>164</v>
      </c>
      <c r="B165" s="1031" t="s">
        <v>874</v>
      </c>
      <c r="C165" s="1109" t="s">
        <v>1453</v>
      </c>
      <c r="D165" s="1109" t="s">
        <v>1428</v>
      </c>
      <c r="E165" s="1108" t="s">
        <v>1195</v>
      </c>
    </row>
    <row r="166" spans="1:5" x14ac:dyDescent="0.25">
      <c r="A166" s="1031">
        <v>165</v>
      </c>
      <c r="B166" s="1031" t="s">
        <v>874</v>
      </c>
      <c r="C166" s="1109" t="s">
        <v>1453</v>
      </c>
      <c r="D166" s="1109" t="s">
        <v>1428</v>
      </c>
      <c r="E166" s="1108" t="s">
        <v>1196</v>
      </c>
    </row>
    <row r="167" spans="1:5" x14ac:dyDescent="0.25">
      <c r="A167" s="1031">
        <v>166</v>
      </c>
      <c r="B167" s="1031" t="s">
        <v>874</v>
      </c>
      <c r="C167" s="1109" t="s">
        <v>1453</v>
      </c>
      <c r="D167" s="1109" t="s">
        <v>1428</v>
      </c>
      <c r="E167" s="1108" t="s">
        <v>1197</v>
      </c>
    </row>
    <row r="168" spans="1:5" x14ac:dyDescent="0.25">
      <c r="A168" s="1031">
        <v>167</v>
      </c>
      <c r="B168" s="1031" t="s">
        <v>874</v>
      </c>
      <c r="C168" s="1109" t="s">
        <v>1453</v>
      </c>
      <c r="D168" s="1109" t="s">
        <v>1428</v>
      </c>
      <c r="E168" s="1108" t="s">
        <v>1198</v>
      </c>
    </row>
    <row r="169" spans="1:5" x14ac:dyDescent="0.25">
      <c r="A169" s="1031">
        <v>168</v>
      </c>
      <c r="B169" s="1031" t="s">
        <v>874</v>
      </c>
      <c r="C169" s="1109" t="s">
        <v>1453</v>
      </c>
      <c r="D169" s="1109" t="s">
        <v>1428</v>
      </c>
      <c r="E169" s="1108" t="s">
        <v>1199</v>
      </c>
    </row>
    <row r="170" spans="1:5" x14ac:dyDescent="0.25">
      <c r="A170" s="1031">
        <v>169</v>
      </c>
      <c r="B170" s="1031" t="s">
        <v>874</v>
      </c>
      <c r="C170" s="1109" t="s">
        <v>1453</v>
      </c>
      <c r="D170" s="1109" t="s">
        <v>1428</v>
      </c>
      <c r="E170" s="1108" t="s">
        <v>1446</v>
      </c>
    </row>
    <row r="171" spans="1:5" x14ac:dyDescent="0.25">
      <c r="A171" s="1031">
        <v>170</v>
      </c>
      <c r="B171" s="1031" t="s">
        <v>874</v>
      </c>
      <c r="C171" s="1109" t="s">
        <v>1453</v>
      </c>
      <c r="D171" s="1109" t="s">
        <v>1428</v>
      </c>
      <c r="E171" s="1108" t="s">
        <v>1650</v>
      </c>
    </row>
    <row r="172" spans="1:5" x14ac:dyDescent="0.25">
      <c r="A172" s="1031">
        <v>171</v>
      </c>
      <c r="B172" s="1031" t="s">
        <v>1418</v>
      </c>
      <c r="C172" s="1109" t="s">
        <v>1453</v>
      </c>
      <c r="D172" s="1109" t="s">
        <v>1447</v>
      </c>
      <c r="E172" s="1106" t="s">
        <v>766</v>
      </c>
    </row>
    <row r="173" spans="1:5" x14ac:dyDescent="0.25">
      <c r="A173" s="1031">
        <v>172</v>
      </c>
      <c r="B173" s="1031" t="s">
        <v>1418</v>
      </c>
      <c r="C173" s="1109" t="s">
        <v>1453</v>
      </c>
      <c r="D173" s="1109" t="s">
        <v>1447</v>
      </c>
      <c r="E173" s="1106" t="s">
        <v>1189</v>
      </c>
    </row>
    <row r="174" spans="1:5" x14ac:dyDescent="0.25">
      <c r="A174" s="1031">
        <v>173</v>
      </c>
      <c r="B174" s="1031" t="s">
        <v>1418</v>
      </c>
      <c r="C174" s="1109" t="s">
        <v>1453</v>
      </c>
      <c r="D174" s="1109" t="s">
        <v>1428</v>
      </c>
      <c r="E174" s="1106" t="s">
        <v>1190</v>
      </c>
    </row>
    <row r="175" spans="1:5" x14ac:dyDescent="0.25">
      <c r="A175" s="1031">
        <v>174</v>
      </c>
      <c r="B175" s="1031" t="s">
        <v>1418</v>
      </c>
      <c r="C175" s="1109" t="s">
        <v>1453</v>
      </c>
      <c r="D175" s="1109" t="s">
        <v>1428</v>
      </c>
      <c r="E175" s="1106" t="s">
        <v>1384</v>
      </c>
    </row>
    <row r="176" spans="1:5" x14ac:dyDescent="0.25">
      <c r="A176" s="1031">
        <v>175</v>
      </c>
      <c r="B176" s="1031" t="s">
        <v>1418</v>
      </c>
      <c r="C176" s="1109" t="s">
        <v>1453</v>
      </c>
      <c r="D176" s="1109" t="s">
        <v>1428</v>
      </c>
      <c r="E176" s="1106" t="s">
        <v>1309</v>
      </c>
    </row>
    <row r="177" spans="1:5" x14ac:dyDescent="0.25">
      <c r="A177" s="1031">
        <v>176</v>
      </c>
      <c r="B177" s="1031" t="s">
        <v>1418</v>
      </c>
      <c r="C177" s="1109" t="s">
        <v>1453</v>
      </c>
      <c r="D177" s="1109" t="s">
        <v>1428</v>
      </c>
      <c r="E177" s="1106" t="s">
        <v>768</v>
      </c>
    </row>
    <row r="178" spans="1:5" x14ac:dyDescent="0.25">
      <c r="A178" s="1031">
        <v>177</v>
      </c>
      <c r="B178" s="1031" t="s">
        <v>1418</v>
      </c>
      <c r="C178" s="1109" t="s">
        <v>1453</v>
      </c>
      <c r="D178" s="1109" t="s">
        <v>1428</v>
      </c>
      <c r="E178" s="1106" t="s">
        <v>769</v>
      </c>
    </row>
    <row r="179" spans="1:5" x14ac:dyDescent="0.25">
      <c r="A179" s="1031">
        <v>178</v>
      </c>
      <c r="B179" s="1031" t="s">
        <v>1418</v>
      </c>
      <c r="C179" s="1109" t="s">
        <v>1453</v>
      </c>
      <c r="D179" s="1109" t="s">
        <v>1428</v>
      </c>
      <c r="E179" s="1106" t="s">
        <v>770</v>
      </c>
    </row>
    <row r="180" spans="1:5" x14ac:dyDescent="0.25">
      <c r="A180" s="1031">
        <v>179</v>
      </c>
      <c r="B180" s="1031" t="s">
        <v>1418</v>
      </c>
      <c r="C180" s="1109" t="s">
        <v>1453</v>
      </c>
      <c r="D180" s="1109" t="s">
        <v>1428</v>
      </c>
      <c r="E180" s="1106" t="s">
        <v>204</v>
      </c>
    </row>
    <row r="181" spans="1:5" x14ac:dyDescent="0.25">
      <c r="A181" s="1031">
        <v>180</v>
      </c>
      <c r="B181" s="1031" t="s">
        <v>1418</v>
      </c>
      <c r="C181" s="1109" t="s">
        <v>1454</v>
      </c>
      <c r="D181" s="1109" t="s">
        <v>1428</v>
      </c>
      <c r="E181" s="1106" t="s">
        <v>1188</v>
      </c>
    </row>
    <row r="182" spans="1:5" x14ac:dyDescent="0.25">
      <c r="A182" s="1031">
        <v>181</v>
      </c>
      <c r="B182" s="1031" t="s">
        <v>874</v>
      </c>
      <c r="C182" s="1109" t="s">
        <v>1454</v>
      </c>
      <c r="D182" s="1109" t="s">
        <v>1428</v>
      </c>
      <c r="E182" s="1106" t="s">
        <v>1192</v>
      </c>
    </row>
    <row r="183" spans="1:5" x14ac:dyDescent="0.25">
      <c r="A183" s="1031">
        <v>182</v>
      </c>
      <c r="B183" s="1031" t="s">
        <v>1418</v>
      </c>
      <c r="C183" s="1109" t="s">
        <v>1454</v>
      </c>
      <c r="D183" s="1109" t="s">
        <v>1428</v>
      </c>
      <c r="E183" s="1106" t="s">
        <v>767</v>
      </c>
    </row>
    <row r="184" spans="1:5" x14ac:dyDescent="0.25">
      <c r="A184" s="1031">
        <v>183</v>
      </c>
      <c r="B184" s="1031" t="s">
        <v>874</v>
      </c>
      <c r="C184" s="1109" t="s">
        <v>1454</v>
      </c>
      <c r="D184" s="1109" t="s">
        <v>1428</v>
      </c>
      <c r="E184" s="1108" t="s">
        <v>1274</v>
      </c>
    </row>
    <row r="185" spans="1:5" ht="30" x14ac:dyDescent="0.25">
      <c r="A185" s="1031">
        <v>184</v>
      </c>
      <c r="B185" s="1031" t="s">
        <v>874</v>
      </c>
      <c r="C185" s="1109" t="s">
        <v>1454</v>
      </c>
      <c r="D185" s="1109" t="s">
        <v>1428</v>
      </c>
      <c r="E185" s="1108" t="s">
        <v>1275</v>
      </c>
    </row>
    <row r="186" spans="1:5" x14ac:dyDescent="0.25">
      <c r="A186" s="1031">
        <v>185</v>
      </c>
      <c r="B186" s="1031" t="s">
        <v>874</v>
      </c>
      <c r="C186" s="1109" t="s">
        <v>1454</v>
      </c>
      <c r="D186" s="1109" t="s">
        <v>1428</v>
      </c>
      <c r="E186" s="1108" t="s">
        <v>1195</v>
      </c>
    </row>
    <row r="187" spans="1:5" x14ac:dyDescent="0.25">
      <c r="A187" s="1031">
        <v>186</v>
      </c>
      <c r="B187" s="1031" t="s">
        <v>874</v>
      </c>
      <c r="C187" s="1109" t="s">
        <v>1454</v>
      </c>
      <c r="D187" s="1109" t="s">
        <v>1428</v>
      </c>
      <c r="E187" s="1108" t="s">
        <v>1196</v>
      </c>
    </row>
    <row r="188" spans="1:5" x14ac:dyDescent="0.25">
      <c r="A188" s="1031">
        <v>187</v>
      </c>
      <c r="B188" s="1031" t="s">
        <v>874</v>
      </c>
      <c r="C188" s="1109" t="s">
        <v>1454</v>
      </c>
      <c r="D188" s="1109" t="s">
        <v>1428</v>
      </c>
      <c r="E188" s="1108" t="s">
        <v>1197</v>
      </c>
    </row>
    <row r="189" spans="1:5" x14ac:dyDescent="0.25">
      <c r="A189" s="1031">
        <v>188</v>
      </c>
      <c r="B189" s="1031" t="s">
        <v>874</v>
      </c>
      <c r="C189" s="1109" t="s">
        <v>1454</v>
      </c>
      <c r="D189" s="1109" t="s">
        <v>1428</v>
      </c>
      <c r="E189" s="1108" t="s">
        <v>1198</v>
      </c>
    </row>
    <row r="190" spans="1:5" x14ac:dyDescent="0.25">
      <c r="A190" s="1031">
        <v>189</v>
      </c>
      <c r="B190" s="1031" t="s">
        <v>874</v>
      </c>
      <c r="C190" s="1109" t="s">
        <v>1454</v>
      </c>
      <c r="D190" s="1109" t="s">
        <v>1428</v>
      </c>
      <c r="E190" s="1108" t="s">
        <v>1199</v>
      </c>
    </row>
    <row r="191" spans="1:5" x14ac:dyDescent="0.25">
      <c r="A191" s="1031">
        <v>190</v>
      </c>
      <c r="B191" s="1031" t="s">
        <v>874</v>
      </c>
      <c r="C191" s="1109" t="s">
        <v>1454</v>
      </c>
      <c r="D191" s="1109" t="s">
        <v>1428</v>
      </c>
      <c r="E191" s="1108" t="s">
        <v>1446</v>
      </c>
    </row>
    <row r="192" spans="1:5" x14ac:dyDescent="0.25">
      <c r="A192" s="1031">
        <v>191</v>
      </c>
      <c r="B192" s="1031" t="s">
        <v>874</v>
      </c>
      <c r="C192" s="1109" t="s">
        <v>1454</v>
      </c>
      <c r="D192" s="1109" t="s">
        <v>1428</v>
      </c>
      <c r="E192" s="1108" t="s">
        <v>1650</v>
      </c>
    </row>
    <row r="193" spans="1:5" x14ac:dyDescent="0.25">
      <c r="A193" s="1031">
        <v>192</v>
      </c>
      <c r="B193" s="1031" t="s">
        <v>1418</v>
      </c>
      <c r="C193" s="1109" t="s">
        <v>1454</v>
      </c>
      <c r="D193" s="1109" t="s">
        <v>1447</v>
      </c>
      <c r="E193" s="1106" t="s">
        <v>766</v>
      </c>
    </row>
    <row r="194" spans="1:5" x14ac:dyDescent="0.25">
      <c r="A194" s="1031">
        <v>193</v>
      </c>
      <c r="B194" s="1031" t="s">
        <v>1418</v>
      </c>
      <c r="C194" s="1109" t="s">
        <v>1454</v>
      </c>
      <c r="D194" s="1109" t="s">
        <v>1447</v>
      </c>
      <c r="E194" s="1106" t="s">
        <v>1189</v>
      </c>
    </row>
    <row r="195" spans="1:5" x14ac:dyDescent="0.25">
      <c r="A195" s="1031">
        <v>194</v>
      </c>
      <c r="B195" s="1031" t="s">
        <v>1418</v>
      </c>
      <c r="C195" s="1109" t="s">
        <v>1454</v>
      </c>
      <c r="D195" s="1109" t="s">
        <v>1428</v>
      </c>
      <c r="E195" s="1106" t="s">
        <v>1190</v>
      </c>
    </row>
    <row r="196" spans="1:5" x14ac:dyDescent="0.25">
      <c r="A196" s="1031">
        <v>195</v>
      </c>
      <c r="B196" s="1031" t="s">
        <v>1418</v>
      </c>
      <c r="C196" s="1109" t="s">
        <v>1454</v>
      </c>
      <c r="D196" s="1109" t="s">
        <v>1428</v>
      </c>
      <c r="E196" s="1106" t="s">
        <v>1384</v>
      </c>
    </row>
    <row r="197" spans="1:5" x14ac:dyDescent="0.25">
      <c r="A197" s="1031">
        <v>196</v>
      </c>
      <c r="B197" s="1031" t="s">
        <v>1418</v>
      </c>
      <c r="C197" s="1109" t="s">
        <v>1454</v>
      </c>
      <c r="D197" s="1109" t="s">
        <v>1428</v>
      </c>
      <c r="E197" s="1106" t="s">
        <v>1309</v>
      </c>
    </row>
    <row r="198" spans="1:5" x14ac:dyDescent="0.25">
      <c r="A198" s="1031">
        <v>197</v>
      </c>
      <c r="B198" s="1031" t="s">
        <v>1418</v>
      </c>
      <c r="C198" s="1109" t="s">
        <v>1454</v>
      </c>
      <c r="D198" s="1109" t="s">
        <v>1428</v>
      </c>
      <c r="E198" s="1106" t="s">
        <v>768</v>
      </c>
    </row>
    <row r="199" spans="1:5" x14ac:dyDescent="0.25">
      <c r="A199" s="1031">
        <v>198</v>
      </c>
      <c r="B199" s="1031" t="s">
        <v>1418</v>
      </c>
      <c r="C199" s="1109" t="s">
        <v>1454</v>
      </c>
      <c r="D199" s="1109" t="s">
        <v>1428</v>
      </c>
      <c r="E199" s="1106" t="s">
        <v>769</v>
      </c>
    </row>
    <row r="200" spans="1:5" x14ac:dyDescent="0.25">
      <c r="A200" s="1031">
        <v>199</v>
      </c>
      <c r="B200" s="1031" t="s">
        <v>1418</v>
      </c>
      <c r="C200" s="1109" t="s">
        <v>1454</v>
      </c>
      <c r="D200" s="1109" t="s">
        <v>1428</v>
      </c>
      <c r="E200" s="1106" t="s">
        <v>770</v>
      </c>
    </row>
    <row r="201" spans="1:5" x14ac:dyDescent="0.25">
      <c r="A201" s="1031">
        <v>200</v>
      </c>
      <c r="B201" s="1031" t="s">
        <v>1418</v>
      </c>
      <c r="C201" s="1109" t="s">
        <v>1454</v>
      </c>
      <c r="D201" s="1109" t="s">
        <v>1428</v>
      </c>
      <c r="E201" s="1106" t="s">
        <v>204</v>
      </c>
    </row>
    <row r="202" spans="1:5" x14ac:dyDescent="0.25">
      <c r="A202" s="1031">
        <v>201</v>
      </c>
      <c r="B202" s="1031" t="s">
        <v>1418</v>
      </c>
      <c r="C202" s="1109" t="s">
        <v>1455</v>
      </c>
      <c r="D202" s="1109" t="s">
        <v>1428</v>
      </c>
      <c r="E202" s="1106" t="s">
        <v>1188</v>
      </c>
    </row>
    <row r="203" spans="1:5" x14ac:dyDescent="0.25">
      <c r="A203" s="1031">
        <v>202</v>
      </c>
      <c r="B203" s="1031" t="s">
        <v>874</v>
      </c>
      <c r="C203" s="1109" t="s">
        <v>1455</v>
      </c>
      <c r="D203" s="1109" t="s">
        <v>1428</v>
      </c>
      <c r="E203" s="1106" t="s">
        <v>1192</v>
      </c>
    </row>
    <row r="204" spans="1:5" x14ac:dyDescent="0.25">
      <c r="A204" s="1031">
        <v>203</v>
      </c>
      <c r="B204" s="1031" t="s">
        <v>1418</v>
      </c>
      <c r="C204" s="1109" t="s">
        <v>1455</v>
      </c>
      <c r="D204" s="1109" t="s">
        <v>1428</v>
      </c>
      <c r="E204" s="1106" t="s">
        <v>767</v>
      </c>
    </row>
    <row r="205" spans="1:5" x14ac:dyDescent="0.25">
      <c r="A205" s="1031">
        <v>204</v>
      </c>
      <c r="B205" s="1031" t="s">
        <v>874</v>
      </c>
      <c r="C205" s="1109" t="s">
        <v>1455</v>
      </c>
      <c r="D205" s="1109" t="s">
        <v>1428</v>
      </c>
      <c r="E205" s="1108" t="s">
        <v>1274</v>
      </c>
    </row>
    <row r="206" spans="1:5" ht="30" x14ac:dyDescent="0.25">
      <c r="A206" s="1031">
        <v>205</v>
      </c>
      <c r="B206" s="1031" t="s">
        <v>874</v>
      </c>
      <c r="C206" s="1109" t="s">
        <v>1455</v>
      </c>
      <c r="D206" s="1109" t="s">
        <v>1428</v>
      </c>
      <c r="E206" s="1108" t="s">
        <v>1275</v>
      </c>
    </row>
    <row r="207" spans="1:5" x14ac:dyDescent="0.25">
      <c r="A207" s="1031">
        <v>206</v>
      </c>
      <c r="B207" s="1031" t="s">
        <v>874</v>
      </c>
      <c r="C207" s="1109" t="s">
        <v>1455</v>
      </c>
      <c r="D207" s="1109" t="s">
        <v>1428</v>
      </c>
      <c r="E207" s="1108" t="s">
        <v>1195</v>
      </c>
    </row>
    <row r="208" spans="1:5" x14ac:dyDescent="0.25">
      <c r="A208" s="1031">
        <v>207</v>
      </c>
      <c r="B208" s="1031" t="s">
        <v>874</v>
      </c>
      <c r="C208" s="1109" t="s">
        <v>1455</v>
      </c>
      <c r="D208" s="1109" t="s">
        <v>1428</v>
      </c>
      <c r="E208" s="1108" t="s">
        <v>1196</v>
      </c>
    </row>
    <row r="209" spans="1:5" x14ac:dyDescent="0.25">
      <c r="A209" s="1031">
        <v>208</v>
      </c>
      <c r="B209" s="1031" t="s">
        <v>874</v>
      </c>
      <c r="C209" s="1109" t="s">
        <v>1455</v>
      </c>
      <c r="D209" s="1109" t="s">
        <v>1428</v>
      </c>
      <c r="E209" s="1108" t="s">
        <v>1197</v>
      </c>
    </row>
    <row r="210" spans="1:5" x14ac:dyDescent="0.25">
      <c r="A210" s="1031">
        <v>209</v>
      </c>
      <c r="B210" s="1031" t="s">
        <v>874</v>
      </c>
      <c r="C210" s="1109" t="s">
        <v>1455</v>
      </c>
      <c r="D210" s="1109" t="s">
        <v>1428</v>
      </c>
      <c r="E210" s="1108" t="s">
        <v>1198</v>
      </c>
    </row>
    <row r="211" spans="1:5" x14ac:dyDescent="0.25">
      <c r="A211" s="1031">
        <v>210</v>
      </c>
      <c r="B211" s="1031" t="s">
        <v>874</v>
      </c>
      <c r="C211" s="1109" t="s">
        <v>1455</v>
      </c>
      <c r="D211" s="1109" t="s">
        <v>1428</v>
      </c>
      <c r="E211" s="1108" t="s">
        <v>1199</v>
      </c>
    </row>
    <row r="212" spans="1:5" x14ac:dyDescent="0.25">
      <c r="A212" s="1031">
        <v>211</v>
      </c>
      <c r="B212" s="1031" t="s">
        <v>874</v>
      </c>
      <c r="C212" s="1109" t="s">
        <v>1455</v>
      </c>
      <c r="D212" s="1109" t="s">
        <v>1428</v>
      </c>
      <c r="E212" s="1108" t="s">
        <v>1446</v>
      </c>
    </row>
    <row r="213" spans="1:5" x14ac:dyDescent="0.25">
      <c r="A213" s="1031">
        <v>212</v>
      </c>
      <c r="B213" s="1031" t="s">
        <v>874</v>
      </c>
      <c r="C213" s="1109" t="s">
        <v>1455</v>
      </c>
      <c r="D213" s="1109" t="s">
        <v>1428</v>
      </c>
      <c r="E213" s="1108" t="s">
        <v>1650</v>
      </c>
    </row>
    <row r="214" spans="1:5" x14ac:dyDescent="0.25">
      <c r="A214" s="1031">
        <v>213</v>
      </c>
      <c r="B214" s="1031" t="s">
        <v>1418</v>
      </c>
      <c r="C214" s="1109" t="s">
        <v>1455</v>
      </c>
      <c r="D214" s="1109" t="s">
        <v>1447</v>
      </c>
      <c r="E214" s="1106" t="s">
        <v>766</v>
      </c>
    </row>
    <row r="215" spans="1:5" x14ac:dyDescent="0.25">
      <c r="A215" s="1031">
        <v>214</v>
      </c>
      <c r="B215" s="1031" t="s">
        <v>1418</v>
      </c>
      <c r="C215" s="1109" t="s">
        <v>1455</v>
      </c>
      <c r="D215" s="1109" t="s">
        <v>1447</v>
      </c>
      <c r="E215" s="1106" t="s">
        <v>1189</v>
      </c>
    </row>
    <row r="216" spans="1:5" x14ac:dyDescent="0.25">
      <c r="A216" s="1031">
        <v>215</v>
      </c>
      <c r="B216" s="1031" t="s">
        <v>1418</v>
      </c>
      <c r="C216" s="1109" t="s">
        <v>1455</v>
      </c>
      <c r="D216" s="1109" t="s">
        <v>1428</v>
      </c>
      <c r="E216" s="1106" t="s">
        <v>1190</v>
      </c>
    </row>
    <row r="217" spans="1:5" x14ac:dyDescent="0.25">
      <c r="A217" s="1031">
        <v>216</v>
      </c>
      <c r="B217" s="1031" t="s">
        <v>1418</v>
      </c>
      <c r="C217" s="1109" t="s">
        <v>1455</v>
      </c>
      <c r="D217" s="1109" t="s">
        <v>1428</v>
      </c>
      <c r="E217" s="1106" t="s">
        <v>1384</v>
      </c>
    </row>
    <row r="218" spans="1:5" x14ac:dyDescent="0.25">
      <c r="A218" s="1031">
        <v>217</v>
      </c>
      <c r="B218" s="1031" t="s">
        <v>1418</v>
      </c>
      <c r="C218" s="1109" t="s">
        <v>1455</v>
      </c>
      <c r="D218" s="1109" t="s">
        <v>1428</v>
      </c>
      <c r="E218" s="1106" t="s">
        <v>1309</v>
      </c>
    </row>
    <row r="219" spans="1:5" x14ac:dyDescent="0.25">
      <c r="A219" s="1031">
        <v>218</v>
      </c>
      <c r="B219" s="1031" t="s">
        <v>1418</v>
      </c>
      <c r="C219" s="1109" t="s">
        <v>1455</v>
      </c>
      <c r="D219" s="1109" t="s">
        <v>1428</v>
      </c>
      <c r="E219" s="1106" t="s">
        <v>768</v>
      </c>
    </row>
    <row r="220" spans="1:5" x14ac:dyDescent="0.25">
      <c r="A220" s="1031">
        <v>219</v>
      </c>
      <c r="B220" s="1031" t="s">
        <v>1418</v>
      </c>
      <c r="C220" s="1109" t="s">
        <v>1455</v>
      </c>
      <c r="D220" s="1109" t="s">
        <v>1428</v>
      </c>
      <c r="E220" s="1106" t="s">
        <v>769</v>
      </c>
    </row>
    <row r="221" spans="1:5" x14ac:dyDescent="0.25">
      <c r="A221" s="1031">
        <v>220</v>
      </c>
      <c r="B221" s="1031" t="s">
        <v>1418</v>
      </c>
      <c r="C221" s="1109" t="s">
        <v>1455</v>
      </c>
      <c r="D221" s="1109" t="s">
        <v>1428</v>
      </c>
      <c r="E221" s="1106" t="s">
        <v>770</v>
      </c>
    </row>
    <row r="222" spans="1:5" x14ac:dyDescent="0.25">
      <c r="A222" s="1031">
        <v>221</v>
      </c>
      <c r="B222" s="1031" t="s">
        <v>1418</v>
      </c>
      <c r="C222" s="1109" t="s">
        <v>1455</v>
      </c>
      <c r="D222" s="1109" t="s">
        <v>1428</v>
      </c>
      <c r="E222" s="1106" t="s">
        <v>204</v>
      </c>
    </row>
    <row r="223" spans="1:5" x14ac:dyDescent="0.25">
      <c r="A223" s="1031">
        <v>222</v>
      </c>
      <c r="B223" s="1031" t="s">
        <v>1418</v>
      </c>
      <c r="C223" s="1109" t="s">
        <v>1456</v>
      </c>
      <c r="D223" s="1109" t="s">
        <v>1428</v>
      </c>
      <c r="E223" s="1106" t="s">
        <v>1188</v>
      </c>
    </row>
    <row r="224" spans="1:5" x14ac:dyDescent="0.25">
      <c r="A224" s="1031">
        <v>223</v>
      </c>
      <c r="B224" s="1031" t="s">
        <v>874</v>
      </c>
      <c r="C224" s="1109" t="s">
        <v>1456</v>
      </c>
      <c r="D224" s="1109" t="s">
        <v>1428</v>
      </c>
      <c r="E224" s="1106" t="s">
        <v>1192</v>
      </c>
    </row>
    <row r="225" spans="1:5" x14ac:dyDescent="0.25">
      <c r="A225" s="1031">
        <v>224</v>
      </c>
      <c r="B225" s="1031" t="s">
        <v>1418</v>
      </c>
      <c r="C225" s="1109" t="s">
        <v>1456</v>
      </c>
      <c r="D225" s="1109" t="s">
        <v>1428</v>
      </c>
      <c r="E225" s="1106" t="s">
        <v>767</v>
      </c>
    </row>
    <row r="226" spans="1:5" x14ac:dyDescent="0.25">
      <c r="A226" s="1031">
        <v>225</v>
      </c>
      <c r="B226" s="1031" t="s">
        <v>874</v>
      </c>
      <c r="C226" s="1109" t="s">
        <v>1456</v>
      </c>
      <c r="D226" s="1109" t="s">
        <v>1428</v>
      </c>
      <c r="E226" s="1108" t="s">
        <v>1274</v>
      </c>
    </row>
    <row r="227" spans="1:5" ht="30" x14ac:dyDescent="0.25">
      <c r="A227" s="1031">
        <v>226</v>
      </c>
      <c r="B227" s="1031" t="s">
        <v>874</v>
      </c>
      <c r="C227" s="1109" t="s">
        <v>1456</v>
      </c>
      <c r="D227" s="1109" t="s">
        <v>1428</v>
      </c>
      <c r="E227" s="1108" t="s">
        <v>1275</v>
      </c>
    </row>
    <row r="228" spans="1:5" x14ac:dyDescent="0.25">
      <c r="A228" s="1031">
        <v>227</v>
      </c>
      <c r="B228" s="1031" t="s">
        <v>874</v>
      </c>
      <c r="C228" s="1109" t="s">
        <v>1456</v>
      </c>
      <c r="D228" s="1109" t="s">
        <v>1428</v>
      </c>
      <c r="E228" s="1108" t="s">
        <v>1195</v>
      </c>
    </row>
    <row r="229" spans="1:5" x14ac:dyDescent="0.25">
      <c r="A229" s="1031">
        <v>228</v>
      </c>
      <c r="B229" s="1031" t="s">
        <v>874</v>
      </c>
      <c r="C229" s="1109" t="s">
        <v>1456</v>
      </c>
      <c r="D229" s="1109" t="s">
        <v>1428</v>
      </c>
      <c r="E229" s="1108" t="s">
        <v>1196</v>
      </c>
    </row>
    <row r="230" spans="1:5" x14ac:dyDescent="0.25">
      <c r="A230" s="1031">
        <v>229</v>
      </c>
      <c r="B230" s="1031" t="s">
        <v>874</v>
      </c>
      <c r="C230" s="1109" t="s">
        <v>1456</v>
      </c>
      <c r="D230" s="1109" t="s">
        <v>1428</v>
      </c>
      <c r="E230" s="1108" t="s">
        <v>1197</v>
      </c>
    </row>
    <row r="231" spans="1:5" x14ac:dyDescent="0.25">
      <c r="A231" s="1031">
        <v>230</v>
      </c>
      <c r="B231" s="1031" t="s">
        <v>874</v>
      </c>
      <c r="C231" s="1109" t="s">
        <v>1456</v>
      </c>
      <c r="D231" s="1109" t="s">
        <v>1428</v>
      </c>
      <c r="E231" s="1108" t="s">
        <v>1198</v>
      </c>
    </row>
    <row r="232" spans="1:5" x14ac:dyDescent="0.25">
      <c r="A232" s="1031">
        <v>231</v>
      </c>
      <c r="B232" s="1031" t="s">
        <v>874</v>
      </c>
      <c r="C232" s="1109" t="s">
        <v>1456</v>
      </c>
      <c r="D232" s="1109" t="s">
        <v>1428</v>
      </c>
      <c r="E232" s="1108" t="s">
        <v>1199</v>
      </c>
    </row>
    <row r="233" spans="1:5" x14ac:dyDescent="0.25">
      <c r="A233" s="1031">
        <v>232</v>
      </c>
      <c r="B233" s="1031" t="s">
        <v>874</v>
      </c>
      <c r="C233" s="1109" t="s">
        <v>1456</v>
      </c>
      <c r="D233" s="1109" t="s">
        <v>1428</v>
      </c>
      <c r="E233" s="1108" t="s">
        <v>1446</v>
      </c>
    </row>
    <row r="234" spans="1:5" x14ac:dyDescent="0.25">
      <c r="A234" s="1031">
        <v>233</v>
      </c>
      <c r="B234" s="1031" t="s">
        <v>874</v>
      </c>
      <c r="C234" s="1109" t="s">
        <v>1456</v>
      </c>
      <c r="D234" s="1109" t="s">
        <v>1428</v>
      </c>
      <c r="E234" s="1108" t="s">
        <v>1650</v>
      </c>
    </row>
    <row r="235" spans="1:5" x14ac:dyDescent="0.25">
      <c r="A235" s="1031">
        <v>234</v>
      </c>
      <c r="B235" s="1031" t="s">
        <v>1418</v>
      </c>
      <c r="C235" s="1109" t="s">
        <v>1456</v>
      </c>
      <c r="D235" s="1109" t="s">
        <v>1447</v>
      </c>
      <c r="E235" s="1106" t="s">
        <v>766</v>
      </c>
    </row>
    <row r="236" spans="1:5" x14ac:dyDescent="0.25">
      <c r="A236" s="1031">
        <v>235</v>
      </c>
      <c r="B236" s="1031" t="s">
        <v>1418</v>
      </c>
      <c r="C236" s="1109" t="s">
        <v>1456</v>
      </c>
      <c r="D236" s="1109" t="s">
        <v>1447</v>
      </c>
      <c r="E236" s="1106" t="s">
        <v>1189</v>
      </c>
    </row>
    <row r="237" spans="1:5" x14ac:dyDescent="0.25">
      <c r="A237" s="1031">
        <v>236</v>
      </c>
      <c r="B237" s="1031" t="s">
        <v>1418</v>
      </c>
      <c r="C237" s="1109" t="s">
        <v>1456</v>
      </c>
      <c r="D237" s="1109" t="s">
        <v>1428</v>
      </c>
      <c r="E237" s="1106" t="s">
        <v>1190</v>
      </c>
    </row>
    <row r="238" spans="1:5" x14ac:dyDescent="0.25">
      <c r="A238" s="1031">
        <v>237</v>
      </c>
      <c r="B238" s="1031" t="s">
        <v>1418</v>
      </c>
      <c r="C238" s="1109" t="s">
        <v>1456</v>
      </c>
      <c r="D238" s="1109" t="s">
        <v>1428</v>
      </c>
      <c r="E238" s="1106" t="s">
        <v>1384</v>
      </c>
    </row>
    <row r="239" spans="1:5" x14ac:dyDescent="0.25">
      <c r="A239" s="1031">
        <v>238</v>
      </c>
      <c r="B239" s="1031" t="s">
        <v>1418</v>
      </c>
      <c r="C239" s="1109" t="s">
        <v>1456</v>
      </c>
      <c r="D239" s="1109" t="s">
        <v>1428</v>
      </c>
      <c r="E239" s="1106" t="s">
        <v>1309</v>
      </c>
    </row>
    <row r="240" spans="1:5" x14ac:dyDescent="0.25">
      <c r="A240" s="1031">
        <v>239</v>
      </c>
      <c r="B240" s="1031" t="s">
        <v>1418</v>
      </c>
      <c r="C240" s="1109" t="s">
        <v>1456</v>
      </c>
      <c r="D240" s="1109" t="s">
        <v>1428</v>
      </c>
      <c r="E240" s="1106" t="s">
        <v>768</v>
      </c>
    </row>
    <row r="241" spans="1:5" x14ac:dyDescent="0.25">
      <c r="A241" s="1031">
        <v>240</v>
      </c>
      <c r="B241" s="1031" t="s">
        <v>1418</v>
      </c>
      <c r="C241" s="1109" t="s">
        <v>1456</v>
      </c>
      <c r="D241" s="1109" t="s">
        <v>1428</v>
      </c>
      <c r="E241" s="1106" t="s">
        <v>769</v>
      </c>
    </row>
    <row r="242" spans="1:5" x14ac:dyDescent="0.25">
      <c r="A242" s="1031">
        <v>241</v>
      </c>
      <c r="B242" s="1031" t="s">
        <v>1418</v>
      </c>
      <c r="C242" s="1109" t="s">
        <v>1456</v>
      </c>
      <c r="D242" s="1109" t="s">
        <v>1428</v>
      </c>
      <c r="E242" s="1106" t="s">
        <v>770</v>
      </c>
    </row>
    <row r="243" spans="1:5" x14ac:dyDescent="0.25">
      <c r="A243" s="1031">
        <v>242</v>
      </c>
      <c r="B243" s="1031" t="s">
        <v>1418</v>
      </c>
      <c r="C243" s="1109" t="s">
        <v>1456</v>
      </c>
      <c r="D243" s="1109" t="s">
        <v>1428</v>
      </c>
      <c r="E243" s="1106" t="s">
        <v>204</v>
      </c>
    </row>
    <row r="244" spans="1:5" ht="45" x14ac:dyDescent="0.25">
      <c r="A244" s="1031">
        <v>243</v>
      </c>
      <c r="B244" s="1031" t="s">
        <v>1291</v>
      </c>
      <c r="C244" s="1109" t="s">
        <v>1457</v>
      </c>
      <c r="D244" s="1109" t="s">
        <v>1458</v>
      </c>
      <c r="E244" s="1106" t="s">
        <v>1459</v>
      </c>
    </row>
    <row r="245" spans="1:5" ht="30" x14ac:dyDescent="0.25">
      <c r="A245" s="1031">
        <v>244</v>
      </c>
      <c r="B245" s="1031" t="s">
        <v>1291</v>
      </c>
      <c r="C245" s="1109" t="s">
        <v>1457</v>
      </c>
      <c r="D245" s="1109" t="s">
        <v>1460</v>
      </c>
      <c r="E245" s="1106" t="s">
        <v>1394</v>
      </c>
    </row>
    <row r="246" spans="1:5" x14ac:dyDescent="0.25">
      <c r="A246" s="1031">
        <v>245</v>
      </c>
      <c r="B246" s="1031" t="s">
        <v>1291</v>
      </c>
      <c r="C246" s="1109" t="s">
        <v>1457</v>
      </c>
      <c r="D246" s="1109" t="s">
        <v>1461</v>
      </c>
      <c r="E246" s="1106" t="s">
        <v>1279</v>
      </c>
    </row>
    <row r="247" spans="1:5" ht="30" x14ac:dyDescent="0.25">
      <c r="A247" s="1031">
        <v>246</v>
      </c>
      <c r="B247" s="1031" t="s">
        <v>1291</v>
      </c>
      <c r="C247" s="1109" t="s">
        <v>99</v>
      </c>
      <c r="D247" s="1109" t="s">
        <v>1462</v>
      </c>
      <c r="E247" s="1106" t="s">
        <v>1301</v>
      </c>
    </row>
    <row r="248" spans="1:5" ht="30" x14ac:dyDescent="0.25">
      <c r="A248" s="1031">
        <v>247</v>
      </c>
      <c r="B248" s="1031" t="s">
        <v>1291</v>
      </c>
      <c r="C248" s="1109" t="s">
        <v>99</v>
      </c>
      <c r="D248" s="1109" t="s">
        <v>1428</v>
      </c>
      <c r="E248" s="1109" t="s">
        <v>252</v>
      </c>
    </row>
    <row r="249" spans="1:5" ht="30" x14ac:dyDescent="0.25">
      <c r="A249" s="1031">
        <v>248</v>
      </c>
      <c r="B249" s="1031" t="s">
        <v>1291</v>
      </c>
      <c r="C249" s="1109" t="s">
        <v>99</v>
      </c>
      <c r="D249" s="1109" t="s">
        <v>1291</v>
      </c>
      <c r="E249" s="1109" t="s">
        <v>1257</v>
      </c>
    </row>
    <row r="250" spans="1:5" ht="30" x14ac:dyDescent="0.25">
      <c r="A250" s="1031">
        <v>249</v>
      </c>
      <c r="B250" s="1031" t="s">
        <v>1291</v>
      </c>
      <c r="C250" s="1109" t="s">
        <v>99</v>
      </c>
      <c r="D250" s="1109" t="s">
        <v>1291</v>
      </c>
      <c r="E250" s="1109" t="s">
        <v>225</v>
      </c>
    </row>
    <row r="251" spans="1:5" ht="30" x14ac:dyDescent="0.25">
      <c r="A251" s="1031">
        <v>250</v>
      </c>
      <c r="B251" s="1031" t="s">
        <v>208</v>
      </c>
      <c r="C251" s="1109" t="s">
        <v>99</v>
      </c>
      <c r="D251" s="1109" t="s">
        <v>1428</v>
      </c>
      <c r="E251" s="1108" t="s">
        <v>463</v>
      </c>
    </row>
    <row r="252" spans="1:5" ht="30" x14ac:dyDescent="0.25">
      <c r="A252" s="1031">
        <v>251</v>
      </c>
      <c r="B252" s="1031" t="s">
        <v>1291</v>
      </c>
      <c r="C252" s="1109" t="s">
        <v>99</v>
      </c>
      <c r="D252" s="1109" t="s">
        <v>1291</v>
      </c>
      <c r="E252" s="1108" t="s">
        <v>1294</v>
      </c>
    </row>
    <row r="253" spans="1:5" ht="30" x14ac:dyDescent="0.25">
      <c r="A253" s="1031">
        <v>252</v>
      </c>
      <c r="B253" s="1031" t="s">
        <v>1291</v>
      </c>
      <c r="C253" s="1109" t="s">
        <v>99</v>
      </c>
      <c r="D253" s="1109" t="s">
        <v>1428</v>
      </c>
      <c r="E253" s="1108" t="s">
        <v>1296</v>
      </c>
    </row>
    <row r="254" spans="1:5" ht="30" x14ac:dyDescent="0.25">
      <c r="A254" s="1031">
        <v>253</v>
      </c>
      <c r="B254" s="1031" t="s">
        <v>1291</v>
      </c>
      <c r="C254" s="1109" t="s">
        <v>99</v>
      </c>
      <c r="D254" s="1109" t="s">
        <v>1428</v>
      </c>
      <c r="E254" s="1108" t="s">
        <v>1297</v>
      </c>
    </row>
    <row r="255" spans="1:5" ht="30" x14ac:dyDescent="0.25">
      <c r="A255" s="1031">
        <v>254</v>
      </c>
      <c r="B255" s="1031" t="s">
        <v>1291</v>
      </c>
      <c r="C255" s="1109" t="s">
        <v>99</v>
      </c>
      <c r="D255" s="1109" t="s">
        <v>1463</v>
      </c>
      <c r="E255" s="1108" t="s">
        <v>1298</v>
      </c>
    </row>
    <row r="256" spans="1:5" ht="30" x14ac:dyDescent="0.25">
      <c r="A256" s="1031">
        <v>255</v>
      </c>
      <c r="B256" s="1031" t="s">
        <v>1291</v>
      </c>
      <c r="C256" s="1109" t="s">
        <v>99</v>
      </c>
      <c r="D256" s="1109" t="s">
        <v>1428</v>
      </c>
      <c r="E256" s="1108" t="s">
        <v>1299</v>
      </c>
    </row>
    <row r="257" spans="1:5" ht="30" x14ac:dyDescent="0.25">
      <c r="A257" s="1031">
        <v>256</v>
      </c>
      <c r="B257" s="1031" t="s">
        <v>1291</v>
      </c>
      <c r="C257" s="1109" t="s">
        <v>99</v>
      </c>
      <c r="D257" s="1109" t="s">
        <v>1463</v>
      </c>
      <c r="E257" s="1108" t="s">
        <v>1300</v>
      </c>
    </row>
    <row r="258" spans="1:5" ht="30" x14ac:dyDescent="0.25">
      <c r="A258" s="1031">
        <v>257</v>
      </c>
      <c r="B258" s="1031" t="s">
        <v>1291</v>
      </c>
      <c r="C258" s="1109" t="s">
        <v>99</v>
      </c>
      <c r="D258" s="1109" t="s">
        <v>1463</v>
      </c>
      <c r="E258" s="1108" t="s">
        <v>1238</v>
      </c>
    </row>
    <row r="259" spans="1:5" x14ac:dyDescent="0.25">
      <c r="A259" s="1031">
        <v>258</v>
      </c>
      <c r="B259" s="1031" t="s">
        <v>1291</v>
      </c>
      <c r="C259" s="1109" t="s">
        <v>103</v>
      </c>
      <c r="D259" s="1109" t="s">
        <v>1462</v>
      </c>
      <c r="E259" s="1106" t="s">
        <v>1301</v>
      </c>
    </row>
    <row r="260" spans="1:5" x14ac:dyDescent="0.25">
      <c r="A260" s="1031">
        <v>259</v>
      </c>
      <c r="B260" s="1031" t="s">
        <v>1291</v>
      </c>
      <c r="C260" s="1109" t="s">
        <v>103</v>
      </c>
      <c r="D260" s="1109" t="s">
        <v>1428</v>
      </c>
      <c r="E260" s="1106" t="s">
        <v>252</v>
      </c>
    </row>
    <row r="261" spans="1:5" x14ac:dyDescent="0.25">
      <c r="A261" s="1031">
        <v>260</v>
      </c>
      <c r="B261" s="1031" t="s">
        <v>1291</v>
      </c>
      <c r="C261" s="1109" t="s">
        <v>103</v>
      </c>
      <c r="D261" s="1109" t="s">
        <v>1291</v>
      </c>
      <c r="E261" s="1109" t="s">
        <v>1257</v>
      </c>
    </row>
    <row r="262" spans="1:5" x14ac:dyDescent="0.25">
      <c r="A262" s="1031">
        <v>261</v>
      </c>
      <c r="B262" s="1031" t="s">
        <v>1291</v>
      </c>
      <c r="C262" s="1109" t="s">
        <v>103</v>
      </c>
      <c r="D262" s="1109" t="s">
        <v>1291</v>
      </c>
      <c r="E262" s="1109" t="s">
        <v>225</v>
      </c>
    </row>
    <row r="263" spans="1:5" x14ac:dyDescent="0.25">
      <c r="A263" s="1031">
        <v>262</v>
      </c>
      <c r="B263" s="1031" t="s">
        <v>208</v>
      </c>
      <c r="C263" s="1109" t="s">
        <v>103</v>
      </c>
      <c r="D263" s="1109" t="s">
        <v>1428</v>
      </c>
      <c r="E263" s="1108" t="s">
        <v>463</v>
      </c>
    </row>
    <row r="264" spans="1:5" x14ac:dyDescent="0.25">
      <c r="A264" s="1031">
        <v>263</v>
      </c>
      <c r="B264" s="1031" t="s">
        <v>1291</v>
      </c>
      <c r="C264" s="1109" t="s">
        <v>103</v>
      </c>
      <c r="D264" s="1109" t="s">
        <v>1291</v>
      </c>
      <c r="E264" s="1108" t="s">
        <v>1294</v>
      </c>
    </row>
    <row r="265" spans="1:5" x14ac:dyDescent="0.25">
      <c r="A265" s="1031">
        <v>264</v>
      </c>
      <c r="B265" s="1031" t="s">
        <v>1291</v>
      </c>
      <c r="C265" s="1109" t="s">
        <v>103</v>
      </c>
      <c r="D265" s="1109" t="s">
        <v>1428</v>
      </c>
      <c r="E265" s="1108" t="s">
        <v>1296</v>
      </c>
    </row>
    <row r="266" spans="1:5" x14ac:dyDescent="0.25">
      <c r="A266" s="1031">
        <v>265</v>
      </c>
      <c r="B266" s="1031" t="s">
        <v>1291</v>
      </c>
      <c r="C266" s="1109" t="s">
        <v>103</v>
      </c>
      <c r="D266" s="1109" t="s">
        <v>1428</v>
      </c>
      <c r="E266" s="1108" t="s">
        <v>1297</v>
      </c>
    </row>
    <row r="267" spans="1:5" x14ac:dyDescent="0.25">
      <c r="A267" s="1031">
        <v>266</v>
      </c>
      <c r="B267" s="1031" t="s">
        <v>1291</v>
      </c>
      <c r="C267" s="1109" t="s">
        <v>103</v>
      </c>
      <c r="D267" s="1109" t="s">
        <v>1463</v>
      </c>
      <c r="E267" s="1108" t="s">
        <v>1298</v>
      </c>
    </row>
    <row r="268" spans="1:5" x14ac:dyDescent="0.25">
      <c r="A268" s="1031">
        <v>267</v>
      </c>
      <c r="B268" s="1031" t="s">
        <v>1291</v>
      </c>
      <c r="C268" s="1109" t="s">
        <v>103</v>
      </c>
      <c r="D268" s="1109" t="s">
        <v>1463</v>
      </c>
      <c r="E268" s="1108" t="s">
        <v>1299</v>
      </c>
    </row>
    <row r="269" spans="1:5" x14ac:dyDescent="0.25">
      <c r="A269" s="1031">
        <v>268</v>
      </c>
      <c r="B269" s="1031" t="s">
        <v>1291</v>
      </c>
      <c r="C269" s="1109" t="s">
        <v>103</v>
      </c>
      <c r="D269" s="1109" t="s">
        <v>1463</v>
      </c>
      <c r="E269" s="1108" t="s">
        <v>1300</v>
      </c>
    </row>
    <row r="270" spans="1:5" x14ac:dyDescent="0.25">
      <c r="A270" s="1031">
        <v>269</v>
      </c>
      <c r="B270" s="1031" t="s">
        <v>1291</v>
      </c>
      <c r="C270" s="1109" t="s">
        <v>103</v>
      </c>
      <c r="D270" s="1109" t="s">
        <v>1463</v>
      </c>
      <c r="E270" s="1108" t="s">
        <v>1238</v>
      </c>
    </row>
    <row r="271" spans="1:5" x14ac:dyDescent="0.25">
      <c r="A271" s="1031">
        <v>270</v>
      </c>
      <c r="B271" s="1031" t="s">
        <v>1291</v>
      </c>
      <c r="C271" s="1109" t="s">
        <v>1308</v>
      </c>
      <c r="D271" s="1109" t="s">
        <v>1303</v>
      </c>
      <c r="E271" s="1106" t="s">
        <v>1301</v>
      </c>
    </row>
    <row r="272" spans="1:5" x14ac:dyDescent="0.25">
      <c r="A272" s="1031">
        <v>271</v>
      </c>
      <c r="B272" s="1031" t="s">
        <v>1291</v>
      </c>
      <c r="C272" s="1109" t="s">
        <v>1308</v>
      </c>
      <c r="D272" s="1109" t="s">
        <v>1428</v>
      </c>
      <c r="E272" s="1106" t="s">
        <v>252</v>
      </c>
    </row>
    <row r="273" spans="1:5" x14ac:dyDescent="0.25">
      <c r="A273" s="1031">
        <v>272</v>
      </c>
      <c r="B273" s="1031" t="s">
        <v>1291</v>
      </c>
      <c r="C273" s="1109" t="s">
        <v>1308</v>
      </c>
      <c r="D273" s="1109" t="s">
        <v>1291</v>
      </c>
      <c r="E273" s="1109" t="s">
        <v>1257</v>
      </c>
    </row>
    <row r="274" spans="1:5" x14ac:dyDescent="0.25">
      <c r="A274" s="1031">
        <v>273</v>
      </c>
      <c r="B274" s="1031" t="s">
        <v>1291</v>
      </c>
      <c r="C274" s="1109" t="s">
        <v>1308</v>
      </c>
      <c r="D274" s="1109" t="s">
        <v>1291</v>
      </c>
      <c r="E274" s="1109" t="s">
        <v>225</v>
      </c>
    </row>
    <row r="275" spans="1:5" x14ac:dyDescent="0.25">
      <c r="A275" s="1031">
        <v>274</v>
      </c>
      <c r="B275" s="1031" t="s">
        <v>208</v>
      </c>
      <c r="C275" s="1109" t="s">
        <v>1308</v>
      </c>
      <c r="D275" s="1109" t="s">
        <v>1428</v>
      </c>
      <c r="E275" s="1108" t="s">
        <v>463</v>
      </c>
    </row>
    <row r="276" spans="1:5" x14ac:dyDescent="0.25">
      <c r="A276" s="1031">
        <v>275</v>
      </c>
      <c r="B276" s="1031" t="s">
        <v>1291</v>
      </c>
      <c r="C276" s="1109" t="s">
        <v>1308</v>
      </c>
      <c r="D276" s="1109" t="s">
        <v>1291</v>
      </c>
      <c r="E276" s="1108" t="s">
        <v>1294</v>
      </c>
    </row>
    <row r="277" spans="1:5" x14ac:dyDescent="0.25">
      <c r="A277" s="1031">
        <v>276</v>
      </c>
      <c r="B277" s="1031" t="s">
        <v>1291</v>
      </c>
      <c r="C277" s="1109" t="s">
        <v>1308</v>
      </c>
      <c r="D277" s="1109" t="s">
        <v>1428</v>
      </c>
      <c r="E277" s="1108" t="s">
        <v>1296</v>
      </c>
    </row>
    <row r="278" spans="1:5" x14ac:dyDescent="0.25">
      <c r="A278" s="1031">
        <v>277</v>
      </c>
      <c r="B278" s="1031" t="s">
        <v>1291</v>
      </c>
      <c r="C278" s="1109" t="s">
        <v>1308</v>
      </c>
      <c r="D278" s="1109" t="s">
        <v>1428</v>
      </c>
      <c r="E278" s="1108" t="s">
        <v>1297</v>
      </c>
    </row>
    <row r="279" spans="1:5" x14ac:dyDescent="0.25">
      <c r="A279" s="1031">
        <v>278</v>
      </c>
      <c r="B279" s="1031" t="s">
        <v>1291</v>
      </c>
      <c r="C279" s="1109" t="s">
        <v>1308</v>
      </c>
      <c r="D279" s="1109" t="s">
        <v>1463</v>
      </c>
      <c r="E279" s="1108" t="s">
        <v>1298</v>
      </c>
    </row>
    <row r="280" spans="1:5" x14ac:dyDescent="0.25">
      <c r="A280" s="1031">
        <v>279</v>
      </c>
      <c r="B280" s="1031" t="s">
        <v>1291</v>
      </c>
      <c r="C280" s="1109" t="s">
        <v>1308</v>
      </c>
      <c r="D280" s="1109" t="s">
        <v>1428</v>
      </c>
      <c r="E280" s="1108" t="s">
        <v>1299</v>
      </c>
    </row>
    <row r="281" spans="1:5" x14ac:dyDescent="0.25">
      <c r="A281" s="1031">
        <v>280</v>
      </c>
      <c r="B281" s="1031" t="s">
        <v>1291</v>
      </c>
      <c r="C281" s="1109" t="s">
        <v>1308</v>
      </c>
      <c r="D281" s="1109" t="s">
        <v>1463</v>
      </c>
      <c r="E281" s="1108" t="s">
        <v>1300</v>
      </c>
    </row>
    <row r="282" spans="1:5" x14ac:dyDescent="0.25">
      <c r="A282" s="1031">
        <v>281</v>
      </c>
      <c r="B282" s="1031" t="s">
        <v>1291</v>
      </c>
      <c r="C282" s="1109" t="s">
        <v>1308</v>
      </c>
      <c r="D282" s="1109" t="s">
        <v>1463</v>
      </c>
      <c r="E282" s="1108" t="s">
        <v>1238</v>
      </c>
    </row>
    <row r="283" spans="1:5" x14ac:dyDescent="0.25">
      <c r="A283" s="1031">
        <v>282</v>
      </c>
      <c r="B283" s="1031" t="s">
        <v>1291</v>
      </c>
      <c r="C283" s="1109" t="s">
        <v>102</v>
      </c>
      <c r="D283" s="1109" t="s">
        <v>1462</v>
      </c>
      <c r="E283" s="1106" t="s">
        <v>1301</v>
      </c>
    </row>
    <row r="284" spans="1:5" x14ac:dyDescent="0.25">
      <c r="A284" s="1031">
        <v>283</v>
      </c>
      <c r="B284" s="1031" t="s">
        <v>1291</v>
      </c>
      <c r="C284" s="1109" t="s">
        <v>102</v>
      </c>
      <c r="D284" s="1109" t="s">
        <v>1428</v>
      </c>
      <c r="E284" s="1106" t="s">
        <v>252</v>
      </c>
    </row>
    <row r="285" spans="1:5" x14ac:dyDescent="0.25">
      <c r="A285" s="1031">
        <v>284</v>
      </c>
      <c r="B285" s="1031" t="s">
        <v>1291</v>
      </c>
      <c r="C285" s="1109" t="s">
        <v>102</v>
      </c>
      <c r="D285" s="1109" t="s">
        <v>1291</v>
      </c>
      <c r="E285" s="1109" t="s">
        <v>1257</v>
      </c>
    </row>
    <row r="286" spans="1:5" x14ac:dyDescent="0.25">
      <c r="A286" s="1031">
        <v>285</v>
      </c>
      <c r="B286" s="1031" t="s">
        <v>1291</v>
      </c>
      <c r="C286" s="1109" t="s">
        <v>102</v>
      </c>
      <c r="D286" s="1109" t="s">
        <v>1291</v>
      </c>
      <c r="E286" s="1109" t="s">
        <v>225</v>
      </c>
    </row>
    <row r="287" spans="1:5" x14ac:dyDescent="0.25">
      <c r="A287" s="1031">
        <v>286</v>
      </c>
      <c r="B287" s="1031" t="s">
        <v>208</v>
      </c>
      <c r="C287" s="1109" t="s">
        <v>102</v>
      </c>
      <c r="D287" s="1109" t="s">
        <v>1428</v>
      </c>
      <c r="E287" s="1108" t="s">
        <v>463</v>
      </c>
    </row>
    <row r="288" spans="1:5" x14ac:dyDescent="0.25">
      <c r="A288" s="1031">
        <v>287</v>
      </c>
      <c r="B288" s="1031" t="s">
        <v>1291</v>
      </c>
      <c r="C288" s="1109" t="s">
        <v>102</v>
      </c>
      <c r="D288" s="1109" t="s">
        <v>1291</v>
      </c>
      <c r="E288" s="1108" t="s">
        <v>1294</v>
      </c>
    </row>
    <row r="289" spans="1:5" x14ac:dyDescent="0.25">
      <c r="A289" s="1031">
        <v>288</v>
      </c>
      <c r="B289" s="1031" t="s">
        <v>1291</v>
      </c>
      <c r="C289" s="1109" t="s">
        <v>102</v>
      </c>
      <c r="D289" s="1109" t="s">
        <v>1428</v>
      </c>
      <c r="E289" s="1108" t="s">
        <v>1296</v>
      </c>
    </row>
    <row r="290" spans="1:5" x14ac:dyDescent="0.25">
      <c r="A290" s="1031">
        <v>289</v>
      </c>
      <c r="B290" s="1031" t="s">
        <v>1291</v>
      </c>
      <c r="C290" s="1109" t="s">
        <v>102</v>
      </c>
      <c r="D290" s="1109" t="s">
        <v>1428</v>
      </c>
      <c r="E290" s="1108" t="s">
        <v>1297</v>
      </c>
    </row>
    <row r="291" spans="1:5" x14ac:dyDescent="0.25">
      <c r="A291" s="1031">
        <v>290</v>
      </c>
      <c r="B291" s="1031" t="s">
        <v>1291</v>
      </c>
      <c r="C291" s="1109" t="s">
        <v>102</v>
      </c>
      <c r="D291" s="1109" t="s">
        <v>1463</v>
      </c>
      <c r="E291" s="1108" t="s">
        <v>1298</v>
      </c>
    </row>
    <row r="292" spans="1:5" x14ac:dyDescent="0.25">
      <c r="A292" s="1031">
        <v>291</v>
      </c>
      <c r="B292" s="1031" t="s">
        <v>1291</v>
      </c>
      <c r="C292" s="1109" t="s">
        <v>102</v>
      </c>
      <c r="D292" s="1109" t="s">
        <v>1428</v>
      </c>
      <c r="E292" s="1108" t="s">
        <v>1299</v>
      </c>
    </row>
    <row r="293" spans="1:5" x14ac:dyDescent="0.25">
      <c r="A293" s="1031">
        <v>292</v>
      </c>
      <c r="B293" s="1031" t="s">
        <v>1291</v>
      </c>
      <c r="C293" s="1109" t="s">
        <v>102</v>
      </c>
      <c r="D293" s="1109" t="s">
        <v>1463</v>
      </c>
      <c r="E293" s="1108" t="s">
        <v>1300</v>
      </c>
    </row>
    <row r="294" spans="1:5" x14ac:dyDescent="0.25">
      <c r="A294" s="1031">
        <v>293</v>
      </c>
      <c r="B294" s="1031" t="s">
        <v>1291</v>
      </c>
      <c r="C294" s="1109" t="s">
        <v>102</v>
      </c>
      <c r="D294" s="1109" t="s">
        <v>1463</v>
      </c>
      <c r="E294" s="1108" t="s">
        <v>1238</v>
      </c>
    </row>
    <row r="295" spans="1:5" x14ac:dyDescent="0.25">
      <c r="A295" s="1031">
        <v>294</v>
      </c>
      <c r="B295" s="1031" t="s">
        <v>1291</v>
      </c>
      <c r="C295" s="1109" t="s">
        <v>100</v>
      </c>
      <c r="D295" s="1109" t="s">
        <v>1462</v>
      </c>
      <c r="E295" s="1106" t="s">
        <v>1301</v>
      </c>
    </row>
    <row r="296" spans="1:5" x14ac:dyDescent="0.25">
      <c r="A296" s="1031">
        <v>295</v>
      </c>
      <c r="B296" s="1031" t="s">
        <v>1291</v>
      </c>
      <c r="C296" s="1109" t="s">
        <v>100</v>
      </c>
      <c r="D296" s="1109" t="s">
        <v>1428</v>
      </c>
      <c r="E296" s="1106" t="s">
        <v>252</v>
      </c>
    </row>
    <row r="297" spans="1:5" x14ac:dyDescent="0.25">
      <c r="A297" s="1031">
        <v>296</v>
      </c>
      <c r="B297" s="1031" t="s">
        <v>1291</v>
      </c>
      <c r="C297" s="1109" t="s">
        <v>100</v>
      </c>
      <c r="D297" s="1109" t="s">
        <v>1291</v>
      </c>
      <c r="E297" s="1109" t="s">
        <v>1257</v>
      </c>
    </row>
    <row r="298" spans="1:5" x14ac:dyDescent="0.25">
      <c r="A298" s="1031">
        <v>297</v>
      </c>
      <c r="B298" s="1031" t="s">
        <v>1291</v>
      </c>
      <c r="C298" s="1109" t="s">
        <v>100</v>
      </c>
      <c r="D298" s="1109" t="s">
        <v>1291</v>
      </c>
      <c r="E298" s="1109" t="s">
        <v>225</v>
      </c>
    </row>
    <row r="299" spans="1:5" x14ac:dyDescent="0.25">
      <c r="A299" s="1031">
        <v>298</v>
      </c>
      <c r="B299" s="1031" t="s">
        <v>208</v>
      </c>
      <c r="C299" s="1109" t="s">
        <v>100</v>
      </c>
      <c r="D299" s="1109" t="s">
        <v>1428</v>
      </c>
      <c r="E299" s="1108" t="s">
        <v>463</v>
      </c>
    </row>
    <row r="300" spans="1:5" x14ac:dyDescent="0.25">
      <c r="A300" s="1031">
        <v>299</v>
      </c>
      <c r="B300" s="1031" t="s">
        <v>1291</v>
      </c>
      <c r="C300" s="1109" t="s">
        <v>100</v>
      </c>
      <c r="D300" s="1109" t="s">
        <v>1291</v>
      </c>
      <c r="E300" s="1108" t="s">
        <v>1294</v>
      </c>
    </row>
    <row r="301" spans="1:5" x14ac:dyDescent="0.25">
      <c r="A301" s="1031">
        <v>300</v>
      </c>
      <c r="B301" s="1031" t="s">
        <v>1291</v>
      </c>
      <c r="C301" s="1109" t="s">
        <v>100</v>
      </c>
      <c r="D301" s="1109" t="s">
        <v>1428</v>
      </c>
      <c r="E301" s="1108" t="s">
        <v>1296</v>
      </c>
    </row>
    <row r="302" spans="1:5" x14ac:dyDescent="0.25">
      <c r="A302" s="1031">
        <v>301</v>
      </c>
      <c r="B302" s="1031" t="s">
        <v>1291</v>
      </c>
      <c r="C302" s="1109" t="s">
        <v>100</v>
      </c>
      <c r="D302" s="1109" t="s">
        <v>1428</v>
      </c>
      <c r="E302" s="1108" t="s">
        <v>1297</v>
      </c>
    </row>
    <row r="303" spans="1:5" x14ac:dyDescent="0.25">
      <c r="A303" s="1031">
        <v>302</v>
      </c>
      <c r="B303" s="1031" t="s">
        <v>1291</v>
      </c>
      <c r="C303" s="1109" t="s">
        <v>100</v>
      </c>
      <c r="D303" s="1109" t="s">
        <v>1463</v>
      </c>
      <c r="E303" s="1108" t="s">
        <v>1298</v>
      </c>
    </row>
    <row r="304" spans="1:5" x14ac:dyDescent="0.25">
      <c r="A304" s="1031">
        <v>303</v>
      </c>
      <c r="B304" s="1031" t="s">
        <v>1291</v>
      </c>
      <c r="C304" s="1109" t="s">
        <v>100</v>
      </c>
      <c r="D304" s="1109" t="s">
        <v>1428</v>
      </c>
      <c r="E304" s="1108" t="s">
        <v>1299</v>
      </c>
    </row>
    <row r="305" spans="1:5" x14ac:dyDescent="0.25">
      <c r="A305" s="1031">
        <v>304</v>
      </c>
      <c r="B305" s="1031" t="s">
        <v>1291</v>
      </c>
      <c r="C305" s="1109" t="s">
        <v>100</v>
      </c>
      <c r="D305" s="1109" t="s">
        <v>1463</v>
      </c>
      <c r="E305" s="1108" t="s">
        <v>1300</v>
      </c>
    </row>
    <row r="306" spans="1:5" x14ac:dyDescent="0.25">
      <c r="A306" s="1031">
        <v>305</v>
      </c>
      <c r="B306" s="1031" t="s">
        <v>1291</v>
      </c>
      <c r="C306" s="1109" t="s">
        <v>100</v>
      </c>
      <c r="D306" s="1109" t="s">
        <v>1463</v>
      </c>
      <c r="E306" s="1108" t="s">
        <v>1238</v>
      </c>
    </row>
    <row r="307" spans="1:5" x14ac:dyDescent="0.25">
      <c r="A307" s="1031">
        <v>306</v>
      </c>
      <c r="B307" s="1031" t="s">
        <v>1291</v>
      </c>
      <c r="C307" s="1109" t="s">
        <v>104</v>
      </c>
      <c r="D307" s="1109" t="s">
        <v>1462</v>
      </c>
      <c r="E307" s="1106" t="s">
        <v>1301</v>
      </c>
    </row>
    <row r="308" spans="1:5" x14ac:dyDescent="0.25">
      <c r="A308" s="1031">
        <v>307</v>
      </c>
      <c r="B308" s="1031" t="s">
        <v>1291</v>
      </c>
      <c r="C308" s="1109" t="s">
        <v>104</v>
      </c>
      <c r="D308" s="1109" t="s">
        <v>1428</v>
      </c>
      <c r="E308" s="1106" t="s">
        <v>252</v>
      </c>
    </row>
    <row r="309" spans="1:5" x14ac:dyDescent="0.25">
      <c r="A309" s="1031">
        <v>308</v>
      </c>
      <c r="B309" s="1031" t="s">
        <v>1291</v>
      </c>
      <c r="C309" s="1109" t="s">
        <v>104</v>
      </c>
      <c r="D309" s="1109" t="s">
        <v>1291</v>
      </c>
      <c r="E309" s="1109" t="s">
        <v>1257</v>
      </c>
    </row>
    <row r="310" spans="1:5" x14ac:dyDescent="0.25">
      <c r="A310" s="1031">
        <v>309</v>
      </c>
      <c r="B310" s="1031" t="s">
        <v>1291</v>
      </c>
      <c r="C310" s="1109" t="s">
        <v>104</v>
      </c>
      <c r="D310" s="1109" t="s">
        <v>1291</v>
      </c>
      <c r="E310" s="1109" t="s">
        <v>225</v>
      </c>
    </row>
    <row r="311" spans="1:5" x14ac:dyDescent="0.25">
      <c r="A311" s="1031">
        <v>310</v>
      </c>
      <c r="B311" s="1031" t="s">
        <v>208</v>
      </c>
      <c r="C311" s="1109" t="s">
        <v>104</v>
      </c>
      <c r="D311" s="1109" t="s">
        <v>1428</v>
      </c>
      <c r="E311" s="1108" t="s">
        <v>463</v>
      </c>
    </row>
    <row r="312" spans="1:5" x14ac:dyDescent="0.25">
      <c r="A312" s="1031">
        <v>311</v>
      </c>
      <c r="B312" s="1031" t="s">
        <v>1291</v>
      </c>
      <c r="C312" s="1109" t="s">
        <v>104</v>
      </c>
      <c r="D312" s="1109" t="s">
        <v>1291</v>
      </c>
      <c r="E312" s="1108" t="s">
        <v>1294</v>
      </c>
    </row>
    <row r="313" spans="1:5" x14ac:dyDescent="0.25">
      <c r="A313" s="1031">
        <v>312</v>
      </c>
      <c r="B313" s="1031" t="s">
        <v>1291</v>
      </c>
      <c r="C313" s="1109" t="s">
        <v>104</v>
      </c>
      <c r="D313" s="1109" t="s">
        <v>1428</v>
      </c>
      <c r="E313" s="1108" t="s">
        <v>1296</v>
      </c>
    </row>
    <row r="314" spans="1:5" x14ac:dyDescent="0.25">
      <c r="A314" s="1031">
        <v>313</v>
      </c>
      <c r="B314" s="1031" t="s">
        <v>1291</v>
      </c>
      <c r="C314" s="1109" t="s">
        <v>104</v>
      </c>
      <c r="D314" s="1109" t="s">
        <v>1428</v>
      </c>
      <c r="E314" s="1108" t="s">
        <v>1297</v>
      </c>
    </row>
    <row r="315" spans="1:5" x14ac:dyDescent="0.25">
      <c r="A315" s="1031">
        <v>314</v>
      </c>
      <c r="B315" s="1031" t="s">
        <v>1291</v>
      </c>
      <c r="C315" s="1109" t="s">
        <v>104</v>
      </c>
      <c r="D315" s="1109" t="s">
        <v>1463</v>
      </c>
      <c r="E315" s="1108" t="s">
        <v>1298</v>
      </c>
    </row>
    <row r="316" spans="1:5" x14ac:dyDescent="0.25">
      <c r="A316" s="1031">
        <v>315</v>
      </c>
      <c r="B316" s="1031" t="s">
        <v>1291</v>
      </c>
      <c r="C316" s="1109" t="s">
        <v>104</v>
      </c>
      <c r="D316" s="1109" t="s">
        <v>1428</v>
      </c>
      <c r="E316" s="1108" t="s">
        <v>1299</v>
      </c>
    </row>
    <row r="317" spans="1:5" x14ac:dyDescent="0.25">
      <c r="A317" s="1031">
        <v>316</v>
      </c>
      <c r="B317" s="1031" t="s">
        <v>1291</v>
      </c>
      <c r="C317" s="1109" t="s">
        <v>104</v>
      </c>
      <c r="D317" s="1109" t="s">
        <v>1463</v>
      </c>
      <c r="E317" s="1108" t="s">
        <v>1300</v>
      </c>
    </row>
    <row r="318" spans="1:5" x14ac:dyDescent="0.25">
      <c r="A318" s="1031">
        <v>317</v>
      </c>
      <c r="B318" s="1031" t="s">
        <v>1291</v>
      </c>
      <c r="C318" s="1109" t="s">
        <v>104</v>
      </c>
      <c r="D318" s="1109" t="s">
        <v>1463</v>
      </c>
      <c r="E318" s="1108" t="s">
        <v>1238</v>
      </c>
    </row>
    <row r="319" spans="1:5" x14ac:dyDescent="0.25">
      <c r="A319" s="1031">
        <v>318</v>
      </c>
      <c r="B319" s="1031" t="s">
        <v>1291</v>
      </c>
      <c r="C319" s="1109" t="s">
        <v>98</v>
      </c>
      <c r="D319" s="1109" t="s">
        <v>1462</v>
      </c>
      <c r="E319" s="1106" t="s">
        <v>1301</v>
      </c>
    </row>
    <row r="320" spans="1:5" x14ac:dyDescent="0.25">
      <c r="A320" s="1031">
        <v>319</v>
      </c>
      <c r="B320" s="1031" t="s">
        <v>1291</v>
      </c>
      <c r="C320" s="1109" t="s">
        <v>98</v>
      </c>
      <c r="D320" s="1109" t="s">
        <v>1428</v>
      </c>
      <c r="E320" s="1106" t="s">
        <v>252</v>
      </c>
    </row>
    <row r="321" spans="1:5" x14ac:dyDescent="0.25">
      <c r="A321" s="1031">
        <v>320</v>
      </c>
      <c r="B321" s="1031" t="s">
        <v>1291</v>
      </c>
      <c r="C321" s="1109" t="s">
        <v>98</v>
      </c>
      <c r="D321" s="1109" t="s">
        <v>1291</v>
      </c>
      <c r="E321" s="1109" t="s">
        <v>1257</v>
      </c>
    </row>
    <row r="322" spans="1:5" x14ac:dyDescent="0.25">
      <c r="A322" s="1031">
        <v>321</v>
      </c>
      <c r="B322" s="1031" t="s">
        <v>1291</v>
      </c>
      <c r="C322" s="1109" t="s">
        <v>98</v>
      </c>
      <c r="D322" s="1109" t="s">
        <v>1291</v>
      </c>
      <c r="E322" s="1109" t="s">
        <v>225</v>
      </c>
    </row>
    <row r="323" spans="1:5" x14ac:dyDescent="0.25">
      <c r="A323" s="1031">
        <v>322</v>
      </c>
      <c r="B323" s="1031" t="s">
        <v>208</v>
      </c>
      <c r="C323" s="1109" t="s">
        <v>98</v>
      </c>
      <c r="D323" s="1109" t="s">
        <v>1428</v>
      </c>
      <c r="E323" s="1108" t="s">
        <v>463</v>
      </c>
    </row>
    <row r="324" spans="1:5" x14ac:dyDescent="0.25">
      <c r="A324" s="1031">
        <v>323</v>
      </c>
      <c r="B324" s="1031" t="s">
        <v>1291</v>
      </c>
      <c r="C324" s="1109" t="s">
        <v>98</v>
      </c>
      <c r="D324" s="1109" t="s">
        <v>1291</v>
      </c>
      <c r="E324" s="1108" t="s">
        <v>1294</v>
      </c>
    </row>
    <row r="325" spans="1:5" x14ac:dyDescent="0.25">
      <c r="A325" s="1031">
        <v>324</v>
      </c>
      <c r="B325" s="1031" t="s">
        <v>1291</v>
      </c>
      <c r="C325" s="1109" t="s">
        <v>98</v>
      </c>
      <c r="D325" s="1109" t="s">
        <v>1428</v>
      </c>
      <c r="E325" s="1108" t="s">
        <v>1296</v>
      </c>
    </row>
    <row r="326" spans="1:5" x14ac:dyDescent="0.25">
      <c r="A326" s="1031">
        <v>325</v>
      </c>
      <c r="B326" s="1031" t="s">
        <v>1291</v>
      </c>
      <c r="C326" s="1109" t="s">
        <v>98</v>
      </c>
      <c r="D326" s="1109" t="s">
        <v>1428</v>
      </c>
      <c r="E326" s="1108" t="s">
        <v>1297</v>
      </c>
    </row>
    <row r="327" spans="1:5" x14ac:dyDescent="0.25">
      <c r="A327" s="1031">
        <v>326</v>
      </c>
      <c r="B327" s="1031" t="s">
        <v>1291</v>
      </c>
      <c r="C327" s="1109" t="s">
        <v>98</v>
      </c>
      <c r="D327" s="1109" t="s">
        <v>1463</v>
      </c>
      <c r="E327" s="1108" t="s">
        <v>1298</v>
      </c>
    </row>
    <row r="328" spans="1:5" x14ac:dyDescent="0.25">
      <c r="A328" s="1031">
        <v>327</v>
      </c>
      <c r="B328" s="1031" t="s">
        <v>1291</v>
      </c>
      <c r="C328" s="1109" t="s">
        <v>98</v>
      </c>
      <c r="D328" s="1109" t="s">
        <v>1428</v>
      </c>
      <c r="E328" s="1108" t="s">
        <v>1299</v>
      </c>
    </row>
    <row r="329" spans="1:5" x14ac:dyDescent="0.25">
      <c r="A329" s="1031">
        <v>328</v>
      </c>
      <c r="B329" s="1031" t="s">
        <v>1291</v>
      </c>
      <c r="C329" s="1109" t="s">
        <v>98</v>
      </c>
      <c r="D329" s="1109" t="s">
        <v>1463</v>
      </c>
      <c r="E329" s="1108" t="s">
        <v>1300</v>
      </c>
    </row>
    <row r="330" spans="1:5" x14ac:dyDescent="0.25">
      <c r="A330" s="1031">
        <v>329</v>
      </c>
      <c r="B330" s="1031" t="s">
        <v>1291</v>
      </c>
      <c r="C330" s="1109" t="s">
        <v>98</v>
      </c>
      <c r="D330" s="1109" t="s">
        <v>1463</v>
      </c>
      <c r="E330" s="1108" t="s">
        <v>1238</v>
      </c>
    </row>
    <row r="331" spans="1:5" x14ac:dyDescent="0.25">
      <c r="A331" s="1031">
        <v>330</v>
      </c>
      <c r="B331" s="1031" t="s">
        <v>1291</v>
      </c>
      <c r="C331" s="1109" t="s">
        <v>95</v>
      </c>
      <c r="D331" s="1109" t="s">
        <v>1462</v>
      </c>
      <c r="E331" s="1106" t="s">
        <v>1301</v>
      </c>
    </row>
    <row r="332" spans="1:5" x14ac:dyDescent="0.25">
      <c r="A332" s="1031">
        <v>331</v>
      </c>
      <c r="B332" s="1031" t="s">
        <v>1291</v>
      </c>
      <c r="C332" s="1109" t="s">
        <v>95</v>
      </c>
      <c r="D332" s="1109" t="s">
        <v>1428</v>
      </c>
      <c r="E332" s="1106" t="s">
        <v>252</v>
      </c>
    </row>
    <row r="333" spans="1:5" x14ac:dyDescent="0.25">
      <c r="A333" s="1031">
        <v>332</v>
      </c>
      <c r="B333" s="1031" t="s">
        <v>1291</v>
      </c>
      <c r="C333" s="1109" t="s">
        <v>95</v>
      </c>
      <c r="D333" s="1109" t="s">
        <v>1291</v>
      </c>
      <c r="E333" s="1109" t="s">
        <v>1257</v>
      </c>
    </row>
    <row r="334" spans="1:5" x14ac:dyDescent="0.25">
      <c r="A334" s="1031">
        <v>333</v>
      </c>
      <c r="B334" s="1031" t="s">
        <v>1291</v>
      </c>
      <c r="C334" s="1109" t="s">
        <v>95</v>
      </c>
      <c r="D334" s="1109" t="s">
        <v>1291</v>
      </c>
      <c r="E334" s="1109" t="s">
        <v>225</v>
      </c>
    </row>
    <row r="335" spans="1:5" x14ac:dyDescent="0.25">
      <c r="A335" s="1031">
        <v>334</v>
      </c>
      <c r="B335" s="1031" t="s">
        <v>208</v>
      </c>
      <c r="C335" s="1109" t="s">
        <v>95</v>
      </c>
      <c r="D335" s="1109" t="s">
        <v>1428</v>
      </c>
      <c r="E335" s="1108" t="s">
        <v>463</v>
      </c>
    </row>
    <row r="336" spans="1:5" x14ac:dyDescent="0.25">
      <c r="A336" s="1031">
        <v>335</v>
      </c>
      <c r="B336" s="1031" t="s">
        <v>1291</v>
      </c>
      <c r="C336" s="1109" t="s">
        <v>95</v>
      </c>
      <c r="D336" s="1109" t="s">
        <v>1291</v>
      </c>
      <c r="E336" s="1108" t="s">
        <v>1294</v>
      </c>
    </row>
    <row r="337" spans="1:5" x14ac:dyDescent="0.25">
      <c r="A337" s="1031">
        <v>336</v>
      </c>
      <c r="B337" s="1031" t="s">
        <v>1291</v>
      </c>
      <c r="C337" s="1109" t="s">
        <v>95</v>
      </c>
      <c r="D337" s="1109" t="s">
        <v>1428</v>
      </c>
      <c r="E337" s="1108" t="s">
        <v>1296</v>
      </c>
    </row>
    <row r="338" spans="1:5" x14ac:dyDescent="0.25">
      <c r="A338" s="1031">
        <v>337</v>
      </c>
      <c r="B338" s="1031" t="s">
        <v>1291</v>
      </c>
      <c r="C338" s="1109" t="s">
        <v>95</v>
      </c>
      <c r="D338" s="1109" t="s">
        <v>1428</v>
      </c>
      <c r="E338" s="1108" t="s">
        <v>1297</v>
      </c>
    </row>
    <row r="339" spans="1:5" x14ac:dyDescent="0.25">
      <c r="A339" s="1031">
        <v>338</v>
      </c>
      <c r="B339" s="1031" t="s">
        <v>1291</v>
      </c>
      <c r="C339" s="1109" t="s">
        <v>95</v>
      </c>
      <c r="D339" s="1109" t="s">
        <v>1463</v>
      </c>
      <c r="E339" s="1108" t="s">
        <v>1298</v>
      </c>
    </row>
    <row r="340" spans="1:5" x14ac:dyDescent="0.25">
      <c r="A340" s="1031">
        <v>339</v>
      </c>
      <c r="B340" s="1031" t="s">
        <v>1291</v>
      </c>
      <c r="C340" s="1109" t="s">
        <v>95</v>
      </c>
      <c r="D340" s="1109" t="s">
        <v>1428</v>
      </c>
      <c r="E340" s="1108" t="s">
        <v>1299</v>
      </c>
    </row>
    <row r="341" spans="1:5" x14ac:dyDescent="0.25">
      <c r="A341" s="1031">
        <v>340</v>
      </c>
      <c r="B341" s="1031" t="s">
        <v>1291</v>
      </c>
      <c r="C341" s="1109" t="s">
        <v>95</v>
      </c>
      <c r="D341" s="1109" t="s">
        <v>1463</v>
      </c>
      <c r="E341" s="1108" t="s">
        <v>1300</v>
      </c>
    </row>
    <row r="342" spans="1:5" x14ac:dyDescent="0.25">
      <c r="A342" s="1031">
        <v>341</v>
      </c>
      <c r="B342" s="1031" t="s">
        <v>1291</v>
      </c>
      <c r="C342" s="1109" t="s">
        <v>95</v>
      </c>
      <c r="D342" s="1109" t="s">
        <v>1463</v>
      </c>
      <c r="E342" s="1108" t="s">
        <v>1238</v>
      </c>
    </row>
    <row r="343" spans="1:5" x14ac:dyDescent="0.25">
      <c r="A343" s="1031">
        <v>342</v>
      </c>
      <c r="B343" s="1031" t="s">
        <v>1291</v>
      </c>
      <c r="C343" s="1109" t="s">
        <v>96</v>
      </c>
      <c r="D343" s="1109" t="s">
        <v>1462</v>
      </c>
      <c r="E343" s="1106" t="s">
        <v>1301</v>
      </c>
    </row>
    <row r="344" spans="1:5" x14ac:dyDescent="0.25">
      <c r="A344" s="1031">
        <v>343</v>
      </c>
      <c r="B344" s="1031" t="s">
        <v>1291</v>
      </c>
      <c r="C344" s="1109" t="s">
        <v>96</v>
      </c>
      <c r="D344" s="1109" t="s">
        <v>1428</v>
      </c>
      <c r="E344" s="1106" t="s">
        <v>252</v>
      </c>
    </row>
    <row r="345" spans="1:5" x14ac:dyDescent="0.25">
      <c r="A345" s="1031">
        <v>344</v>
      </c>
      <c r="B345" s="1031" t="s">
        <v>1291</v>
      </c>
      <c r="C345" s="1109" t="s">
        <v>96</v>
      </c>
      <c r="D345" s="1109" t="s">
        <v>1291</v>
      </c>
      <c r="E345" s="1109" t="s">
        <v>1257</v>
      </c>
    </row>
    <row r="346" spans="1:5" x14ac:dyDescent="0.25">
      <c r="A346" s="1031">
        <v>345</v>
      </c>
      <c r="B346" s="1031" t="s">
        <v>1291</v>
      </c>
      <c r="C346" s="1109" t="s">
        <v>96</v>
      </c>
      <c r="D346" s="1109" t="s">
        <v>1291</v>
      </c>
      <c r="E346" s="1109" t="s">
        <v>225</v>
      </c>
    </row>
    <row r="347" spans="1:5" x14ac:dyDescent="0.25">
      <c r="A347" s="1031">
        <v>346</v>
      </c>
      <c r="B347" s="1031" t="s">
        <v>208</v>
      </c>
      <c r="C347" s="1109" t="s">
        <v>96</v>
      </c>
      <c r="D347" s="1109" t="s">
        <v>1428</v>
      </c>
      <c r="E347" s="1108" t="s">
        <v>463</v>
      </c>
    </row>
    <row r="348" spans="1:5" x14ac:dyDescent="0.25">
      <c r="A348" s="1031">
        <v>347</v>
      </c>
      <c r="B348" s="1031" t="s">
        <v>1291</v>
      </c>
      <c r="C348" s="1109" t="s">
        <v>96</v>
      </c>
      <c r="D348" s="1109" t="s">
        <v>1291</v>
      </c>
      <c r="E348" s="1108" t="s">
        <v>1294</v>
      </c>
    </row>
    <row r="349" spans="1:5" x14ac:dyDescent="0.25">
      <c r="A349" s="1031">
        <v>348</v>
      </c>
      <c r="B349" s="1031" t="s">
        <v>1291</v>
      </c>
      <c r="C349" s="1109" t="s">
        <v>96</v>
      </c>
      <c r="D349" s="1109" t="s">
        <v>1428</v>
      </c>
      <c r="E349" s="1108" t="s">
        <v>1296</v>
      </c>
    </row>
    <row r="350" spans="1:5" x14ac:dyDescent="0.25">
      <c r="A350" s="1031">
        <v>349</v>
      </c>
      <c r="B350" s="1031" t="s">
        <v>1291</v>
      </c>
      <c r="C350" s="1109" t="s">
        <v>96</v>
      </c>
      <c r="D350" s="1109" t="s">
        <v>1428</v>
      </c>
      <c r="E350" s="1108" t="s">
        <v>1297</v>
      </c>
    </row>
    <row r="351" spans="1:5" x14ac:dyDescent="0.25">
      <c r="A351" s="1031">
        <v>350</v>
      </c>
      <c r="B351" s="1031" t="s">
        <v>1291</v>
      </c>
      <c r="C351" s="1109" t="s">
        <v>96</v>
      </c>
      <c r="D351" s="1109" t="s">
        <v>1463</v>
      </c>
      <c r="E351" s="1108" t="s">
        <v>1298</v>
      </c>
    </row>
    <row r="352" spans="1:5" x14ac:dyDescent="0.25">
      <c r="A352" s="1031">
        <v>351</v>
      </c>
      <c r="B352" s="1031" t="s">
        <v>1291</v>
      </c>
      <c r="C352" s="1109" t="s">
        <v>96</v>
      </c>
      <c r="D352" s="1109" t="s">
        <v>1428</v>
      </c>
      <c r="E352" s="1108" t="s">
        <v>1299</v>
      </c>
    </row>
    <row r="353" spans="1:5" x14ac:dyDescent="0.25">
      <c r="A353" s="1031">
        <v>352</v>
      </c>
      <c r="B353" s="1031" t="s">
        <v>1291</v>
      </c>
      <c r="C353" s="1109" t="s">
        <v>96</v>
      </c>
      <c r="D353" s="1109" t="s">
        <v>1463</v>
      </c>
      <c r="E353" s="1108" t="s">
        <v>1300</v>
      </c>
    </row>
    <row r="354" spans="1:5" x14ac:dyDescent="0.25">
      <c r="A354" s="1031">
        <v>353</v>
      </c>
      <c r="B354" s="1031" t="s">
        <v>1291</v>
      </c>
      <c r="C354" s="1109" t="s">
        <v>96</v>
      </c>
      <c r="D354" s="1109" t="s">
        <v>1463</v>
      </c>
      <c r="E354" s="1108" t="s">
        <v>1238</v>
      </c>
    </row>
    <row r="355" spans="1:5" x14ac:dyDescent="0.25">
      <c r="A355" s="1031">
        <v>354</v>
      </c>
      <c r="B355" s="1031" t="s">
        <v>1291</v>
      </c>
      <c r="C355" s="1109" t="s">
        <v>101</v>
      </c>
      <c r="D355" s="1109" t="s">
        <v>1462</v>
      </c>
      <c r="E355" s="1106" t="s">
        <v>1301</v>
      </c>
    </row>
    <row r="356" spans="1:5" x14ac:dyDescent="0.25">
      <c r="A356" s="1031">
        <v>355</v>
      </c>
      <c r="B356" s="1031" t="s">
        <v>1291</v>
      </c>
      <c r="C356" s="1109" t="s">
        <v>101</v>
      </c>
      <c r="D356" s="1109" t="s">
        <v>1428</v>
      </c>
      <c r="E356" s="1106" t="s">
        <v>252</v>
      </c>
    </row>
    <row r="357" spans="1:5" x14ac:dyDescent="0.25">
      <c r="A357" s="1031">
        <v>356</v>
      </c>
      <c r="B357" s="1031" t="s">
        <v>1291</v>
      </c>
      <c r="C357" s="1109" t="s">
        <v>101</v>
      </c>
      <c r="D357" s="1109" t="s">
        <v>1291</v>
      </c>
      <c r="E357" s="1109" t="s">
        <v>1257</v>
      </c>
    </row>
    <row r="358" spans="1:5" x14ac:dyDescent="0.25">
      <c r="A358" s="1031">
        <v>357</v>
      </c>
      <c r="B358" s="1031" t="s">
        <v>1291</v>
      </c>
      <c r="C358" s="1109" t="s">
        <v>101</v>
      </c>
      <c r="D358" s="1109" t="s">
        <v>1291</v>
      </c>
      <c r="E358" s="1109" t="s">
        <v>225</v>
      </c>
    </row>
    <row r="359" spans="1:5" x14ac:dyDescent="0.25">
      <c r="A359" s="1031">
        <v>358</v>
      </c>
      <c r="B359" s="1031" t="s">
        <v>208</v>
      </c>
      <c r="C359" s="1109" t="s">
        <v>101</v>
      </c>
      <c r="D359" s="1109" t="s">
        <v>1428</v>
      </c>
      <c r="E359" s="1108" t="s">
        <v>463</v>
      </c>
    </row>
    <row r="360" spans="1:5" x14ac:dyDescent="0.25">
      <c r="A360" s="1031">
        <v>359</v>
      </c>
      <c r="B360" s="1031" t="s">
        <v>1291</v>
      </c>
      <c r="C360" s="1109" t="s">
        <v>101</v>
      </c>
      <c r="D360" s="1109" t="s">
        <v>1291</v>
      </c>
      <c r="E360" s="1108" t="s">
        <v>1294</v>
      </c>
    </row>
    <row r="361" spans="1:5" x14ac:dyDescent="0.25">
      <c r="A361" s="1031">
        <v>360</v>
      </c>
      <c r="B361" s="1031" t="s">
        <v>1291</v>
      </c>
      <c r="C361" s="1109" t="s">
        <v>101</v>
      </c>
      <c r="D361" s="1109" t="s">
        <v>1428</v>
      </c>
      <c r="E361" s="1108" t="s">
        <v>1296</v>
      </c>
    </row>
    <row r="362" spans="1:5" x14ac:dyDescent="0.25">
      <c r="A362" s="1031">
        <v>361</v>
      </c>
      <c r="B362" s="1031" t="s">
        <v>1291</v>
      </c>
      <c r="C362" s="1109" t="s">
        <v>101</v>
      </c>
      <c r="D362" s="1109" t="s">
        <v>1428</v>
      </c>
      <c r="E362" s="1108" t="s">
        <v>1297</v>
      </c>
    </row>
    <row r="363" spans="1:5" x14ac:dyDescent="0.25">
      <c r="A363" s="1031">
        <v>362</v>
      </c>
      <c r="B363" s="1031" t="s">
        <v>1291</v>
      </c>
      <c r="C363" s="1109" t="s">
        <v>101</v>
      </c>
      <c r="D363" s="1109" t="s">
        <v>1463</v>
      </c>
      <c r="E363" s="1108" t="s">
        <v>1298</v>
      </c>
    </row>
    <row r="364" spans="1:5" x14ac:dyDescent="0.25">
      <c r="A364" s="1031">
        <v>363</v>
      </c>
      <c r="B364" s="1031" t="s">
        <v>1291</v>
      </c>
      <c r="C364" s="1109" t="s">
        <v>101</v>
      </c>
      <c r="D364" s="1109" t="s">
        <v>1428</v>
      </c>
      <c r="E364" s="1108" t="s">
        <v>1299</v>
      </c>
    </row>
    <row r="365" spans="1:5" x14ac:dyDescent="0.25">
      <c r="A365" s="1031">
        <v>364</v>
      </c>
      <c r="B365" s="1031" t="s">
        <v>1291</v>
      </c>
      <c r="C365" s="1109" t="s">
        <v>101</v>
      </c>
      <c r="D365" s="1109" t="s">
        <v>1463</v>
      </c>
      <c r="E365" s="1108" t="s">
        <v>1300</v>
      </c>
    </row>
    <row r="366" spans="1:5" x14ac:dyDescent="0.25">
      <c r="A366" s="1031">
        <v>365</v>
      </c>
      <c r="B366" s="1031" t="s">
        <v>1291</v>
      </c>
      <c r="C366" s="1109" t="s">
        <v>101</v>
      </c>
      <c r="D366" s="1109" t="s">
        <v>1463</v>
      </c>
      <c r="E366" s="1108" t="s">
        <v>1238</v>
      </c>
    </row>
    <row r="367" spans="1:5" x14ac:dyDescent="0.25">
      <c r="A367" s="1031">
        <v>366</v>
      </c>
      <c r="B367" s="1031" t="s">
        <v>1291</v>
      </c>
      <c r="C367" s="1109" t="s">
        <v>97</v>
      </c>
      <c r="D367" s="1109" t="s">
        <v>1462</v>
      </c>
      <c r="E367" s="1106" t="s">
        <v>1301</v>
      </c>
    </row>
    <row r="368" spans="1:5" x14ac:dyDescent="0.25">
      <c r="A368" s="1031">
        <v>367</v>
      </c>
      <c r="B368" s="1031" t="s">
        <v>1291</v>
      </c>
      <c r="C368" s="1109" t="s">
        <v>97</v>
      </c>
      <c r="D368" s="1109" t="s">
        <v>1428</v>
      </c>
      <c r="E368" s="1106" t="s">
        <v>252</v>
      </c>
    </row>
    <row r="369" spans="1:5" x14ac:dyDescent="0.25">
      <c r="A369" s="1031">
        <v>368</v>
      </c>
      <c r="B369" s="1031" t="s">
        <v>1291</v>
      </c>
      <c r="C369" s="1109" t="s">
        <v>97</v>
      </c>
      <c r="D369" s="1109" t="s">
        <v>1291</v>
      </c>
      <c r="E369" s="1109" t="s">
        <v>1257</v>
      </c>
    </row>
    <row r="370" spans="1:5" x14ac:dyDescent="0.25">
      <c r="A370" s="1031">
        <v>369</v>
      </c>
      <c r="B370" s="1031" t="s">
        <v>1291</v>
      </c>
      <c r="C370" s="1109" t="s">
        <v>97</v>
      </c>
      <c r="D370" s="1109" t="s">
        <v>1291</v>
      </c>
      <c r="E370" s="1109" t="s">
        <v>225</v>
      </c>
    </row>
    <row r="371" spans="1:5" x14ac:dyDescent="0.25">
      <c r="A371" s="1031">
        <v>370</v>
      </c>
      <c r="B371" s="1031" t="s">
        <v>208</v>
      </c>
      <c r="C371" s="1109" t="s">
        <v>97</v>
      </c>
      <c r="D371" s="1109" t="s">
        <v>1428</v>
      </c>
      <c r="E371" s="1108" t="s">
        <v>463</v>
      </c>
    </row>
    <row r="372" spans="1:5" x14ac:dyDescent="0.25">
      <c r="A372" s="1031">
        <v>371</v>
      </c>
      <c r="B372" s="1031" t="s">
        <v>1291</v>
      </c>
      <c r="C372" s="1109" t="s">
        <v>97</v>
      </c>
      <c r="D372" s="1109" t="s">
        <v>1291</v>
      </c>
      <c r="E372" s="1108" t="s">
        <v>1294</v>
      </c>
    </row>
    <row r="373" spans="1:5" x14ac:dyDescent="0.25">
      <c r="A373" s="1031">
        <v>372</v>
      </c>
      <c r="B373" s="1031" t="s">
        <v>1291</v>
      </c>
      <c r="C373" s="1109" t="s">
        <v>97</v>
      </c>
      <c r="D373" s="1109" t="s">
        <v>1428</v>
      </c>
      <c r="E373" s="1108" t="s">
        <v>1296</v>
      </c>
    </row>
    <row r="374" spans="1:5" x14ac:dyDescent="0.25">
      <c r="A374" s="1031">
        <v>373</v>
      </c>
      <c r="B374" s="1031" t="s">
        <v>1291</v>
      </c>
      <c r="C374" s="1109" t="s">
        <v>97</v>
      </c>
      <c r="D374" s="1109" t="s">
        <v>1428</v>
      </c>
      <c r="E374" s="1108" t="s">
        <v>1297</v>
      </c>
    </row>
    <row r="375" spans="1:5" x14ac:dyDescent="0.25">
      <c r="A375" s="1031">
        <v>374</v>
      </c>
      <c r="B375" s="1031" t="s">
        <v>1291</v>
      </c>
      <c r="C375" s="1109" t="s">
        <v>97</v>
      </c>
      <c r="D375" s="1109" t="s">
        <v>1463</v>
      </c>
      <c r="E375" s="1108" t="s">
        <v>1298</v>
      </c>
    </row>
    <row r="376" spans="1:5" x14ac:dyDescent="0.25">
      <c r="A376" s="1031">
        <v>375</v>
      </c>
      <c r="B376" s="1031" t="s">
        <v>1291</v>
      </c>
      <c r="C376" s="1109" t="s">
        <v>97</v>
      </c>
      <c r="D376" s="1109" t="s">
        <v>1428</v>
      </c>
      <c r="E376" s="1108" t="s">
        <v>1299</v>
      </c>
    </row>
    <row r="377" spans="1:5" x14ac:dyDescent="0.25">
      <c r="A377" s="1031">
        <v>376</v>
      </c>
      <c r="B377" s="1031" t="s">
        <v>1291</v>
      </c>
      <c r="C377" s="1109" t="s">
        <v>97</v>
      </c>
      <c r="D377" s="1109" t="s">
        <v>1463</v>
      </c>
      <c r="E377" s="1108" t="s">
        <v>1300</v>
      </c>
    </row>
    <row r="378" spans="1:5" x14ac:dyDescent="0.25">
      <c r="A378" s="1031">
        <v>377</v>
      </c>
      <c r="B378" s="1031" t="s">
        <v>1291</v>
      </c>
      <c r="C378" s="1109" t="s">
        <v>97</v>
      </c>
      <c r="D378" s="1109" t="s">
        <v>1463</v>
      </c>
      <c r="E378" s="1108" t="s">
        <v>1238</v>
      </c>
    </row>
    <row r="379" spans="1:5" x14ac:dyDescent="0.25">
      <c r="A379" s="1031">
        <v>378</v>
      </c>
      <c r="B379" s="1031" t="s">
        <v>1291</v>
      </c>
      <c r="C379" s="1109" t="s">
        <v>93</v>
      </c>
      <c r="D379" s="1109" t="s">
        <v>1462</v>
      </c>
      <c r="E379" s="1106" t="s">
        <v>1301</v>
      </c>
    </row>
    <row r="380" spans="1:5" x14ac:dyDescent="0.25">
      <c r="A380" s="1031">
        <v>379</v>
      </c>
      <c r="B380" s="1031" t="s">
        <v>1291</v>
      </c>
      <c r="C380" s="1109" t="s">
        <v>93</v>
      </c>
      <c r="D380" s="1109" t="s">
        <v>1428</v>
      </c>
      <c r="E380" s="1106" t="s">
        <v>252</v>
      </c>
    </row>
    <row r="381" spans="1:5" x14ac:dyDescent="0.25">
      <c r="A381" s="1031">
        <v>380</v>
      </c>
      <c r="B381" s="1031" t="s">
        <v>1291</v>
      </c>
      <c r="C381" s="1109" t="s">
        <v>93</v>
      </c>
      <c r="D381" s="1109" t="s">
        <v>1291</v>
      </c>
      <c r="E381" s="1109" t="s">
        <v>1257</v>
      </c>
    </row>
    <row r="382" spans="1:5" x14ac:dyDescent="0.25">
      <c r="A382" s="1031">
        <v>381</v>
      </c>
      <c r="B382" s="1031" t="s">
        <v>1291</v>
      </c>
      <c r="C382" s="1109" t="s">
        <v>93</v>
      </c>
      <c r="D382" s="1109" t="s">
        <v>1291</v>
      </c>
      <c r="E382" s="1109" t="s">
        <v>225</v>
      </c>
    </row>
    <row r="383" spans="1:5" x14ac:dyDescent="0.25">
      <c r="A383" s="1031">
        <v>382</v>
      </c>
      <c r="B383" s="1031" t="s">
        <v>208</v>
      </c>
      <c r="C383" s="1109" t="s">
        <v>93</v>
      </c>
      <c r="D383" s="1109" t="s">
        <v>1428</v>
      </c>
      <c r="E383" s="1108" t="s">
        <v>463</v>
      </c>
    </row>
    <row r="384" spans="1:5" x14ac:dyDescent="0.25">
      <c r="A384" s="1031">
        <v>383</v>
      </c>
      <c r="B384" s="1031" t="s">
        <v>1291</v>
      </c>
      <c r="C384" s="1109" t="s">
        <v>93</v>
      </c>
      <c r="D384" s="1109" t="s">
        <v>1291</v>
      </c>
      <c r="E384" s="1108" t="s">
        <v>1294</v>
      </c>
    </row>
    <row r="385" spans="1:5" x14ac:dyDescent="0.25">
      <c r="A385" s="1031">
        <v>384</v>
      </c>
      <c r="B385" s="1031" t="s">
        <v>1291</v>
      </c>
      <c r="C385" s="1109" t="s">
        <v>93</v>
      </c>
      <c r="D385" s="1109" t="s">
        <v>1428</v>
      </c>
      <c r="E385" s="1108" t="s">
        <v>1296</v>
      </c>
    </row>
    <row r="386" spans="1:5" x14ac:dyDescent="0.25">
      <c r="A386" s="1031">
        <v>385</v>
      </c>
      <c r="B386" s="1031" t="s">
        <v>1291</v>
      </c>
      <c r="C386" s="1109" t="s">
        <v>93</v>
      </c>
      <c r="D386" s="1109" t="s">
        <v>1428</v>
      </c>
      <c r="E386" s="1108" t="s">
        <v>1297</v>
      </c>
    </row>
    <row r="387" spans="1:5" x14ac:dyDescent="0.25">
      <c r="A387" s="1031">
        <v>386</v>
      </c>
      <c r="B387" s="1031" t="s">
        <v>1291</v>
      </c>
      <c r="C387" s="1109" t="s">
        <v>93</v>
      </c>
      <c r="D387" s="1109" t="s">
        <v>1463</v>
      </c>
      <c r="E387" s="1108" t="s">
        <v>1298</v>
      </c>
    </row>
    <row r="388" spans="1:5" x14ac:dyDescent="0.25">
      <c r="A388" s="1031">
        <v>387</v>
      </c>
      <c r="B388" s="1031" t="s">
        <v>1291</v>
      </c>
      <c r="C388" s="1109" t="s">
        <v>93</v>
      </c>
      <c r="D388" s="1109" t="s">
        <v>1428</v>
      </c>
      <c r="E388" s="1108" t="s">
        <v>1299</v>
      </c>
    </row>
    <row r="389" spans="1:5" x14ac:dyDescent="0.25">
      <c r="A389" s="1031">
        <v>388</v>
      </c>
      <c r="B389" s="1031" t="s">
        <v>1291</v>
      </c>
      <c r="C389" s="1109" t="s">
        <v>93</v>
      </c>
      <c r="D389" s="1109" t="s">
        <v>1463</v>
      </c>
      <c r="E389" s="1108" t="s">
        <v>1300</v>
      </c>
    </row>
    <row r="390" spans="1:5" x14ac:dyDescent="0.25">
      <c r="A390" s="1031">
        <v>389</v>
      </c>
      <c r="B390" s="1031" t="s">
        <v>1291</v>
      </c>
      <c r="C390" s="1109" t="s">
        <v>93</v>
      </c>
      <c r="D390" s="1109" t="s">
        <v>1463</v>
      </c>
      <c r="E390" s="1108" t="s">
        <v>1238</v>
      </c>
    </row>
    <row r="391" spans="1:5" x14ac:dyDescent="0.25">
      <c r="A391" s="1031">
        <v>390</v>
      </c>
      <c r="B391" s="1031" t="s">
        <v>1291</v>
      </c>
      <c r="C391" s="1109" t="s">
        <v>105</v>
      </c>
      <c r="D391" s="1109" t="s">
        <v>1462</v>
      </c>
      <c r="E391" s="1106" t="s">
        <v>1301</v>
      </c>
    </row>
    <row r="392" spans="1:5" x14ac:dyDescent="0.25">
      <c r="A392" s="1031">
        <v>391</v>
      </c>
      <c r="B392" s="1031" t="s">
        <v>1291</v>
      </c>
      <c r="C392" s="1109" t="s">
        <v>105</v>
      </c>
      <c r="D392" s="1109" t="s">
        <v>1428</v>
      </c>
      <c r="E392" s="1106" t="s">
        <v>252</v>
      </c>
    </row>
    <row r="393" spans="1:5" x14ac:dyDescent="0.25">
      <c r="A393" s="1031">
        <v>392</v>
      </c>
      <c r="B393" s="1031" t="s">
        <v>1291</v>
      </c>
      <c r="C393" s="1109" t="s">
        <v>105</v>
      </c>
      <c r="D393" s="1109" t="s">
        <v>1291</v>
      </c>
      <c r="E393" s="1109" t="s">
        <v>1257</v>
      </c>
    </row>
    <row r="394" spans="1:5" x14ac:dyDescent="0.25">
      <c r="A394" s="1031">
        <v>393</v>
      </c>
      <c r="B394" s="1031" t="s">
        <v>1291</v>
      </c>
      <c r="C394" s="1109" t="s">
        <v>105</v>
      </c>
      <c r="D394" s="1109" t="s">
        <v>1291</v>
      </c>
      <c r="E394" s="1109" t="s">
        <v>225</v>
      </c>
    </row>
    <row r="395" spans="1:5" x14ac:dyDescent="0.25">
      <c r="A395" s="1031">
        <v>394</v>
      </c>
      <c r="B395" s="1031" t="s">
        <v>208</v>
      </c>
      <c r="C395" s="1109" t="s">
        <v>105</v>
      </c>
      <c r="D395" s="1109" t="s">
        <v>1428</v>
      </c>
      <c r="E395" s="1108" t="s">
        <v>463</v>
      </c>
    </row>
    <row r="396" spans="1:5" x14ac:dyDescent="0.25">
      <c r="A396" s="1031">
        <v>395</v>
      </c>
      <c r="B396" s="1031" t="s">
        <v>1291</v>
      </c>
      <c r="C396" s="1109" t="s">
        <v>105</v>
      </c>
      <c r="D396" s="1109" t="s">
        <v>1291</v>
      </c>
      <c r="E396" s="1108" t="s">
        <v>1294</v>
      </c>
    </row>
    <row r="397" spans="1:5" x14ac:dyDescent="0.25">
      <c r="A397" s="1031">
        <v>396</v>
      </c>
      <c r="B397" s="1031" t="s">
        <v>1291</v>
      </c>
      <c r="C397" s="1109" t="s">
        <v>105</v>
      </c>
      <c r="D397" s="1109" t="s">
        <v>1428</v>
      </c>
      <c r="E397" s="1108" t="s">
        <v>1296</v>
      </c>
    </row>
    <row r="398" spans="1:5" x14ac:dyDescent="0.25">
      <c r="A398" s="1031">
        <v>397</v>
      </c>
      <c r="B398" s="1031" t="s">
        <v>1291</v>
      </c>
      <c r="C398" s="1109" t="s">
        <v>105</v>
      </c>
      <c r="D398" s="1109" t="s">
        <v>1428</v>
      </c>
      <c r="E398" s="1108" t="s">
        <v>1297</v>
      </c>
    </row>
    <row r="399" spans="1:5" x14ac:dyDescent="0.25">
      <c r="A399" s="1031">
        <v>398</v>
      </c>
      <c r="B399" s="1031" t="s">
        <v>1291</v>
      </c>
      <c r="C399" s="1109" t="s">
        <v>105</v>
      </c>
      <c r="D399" s="1109" t="s">
        <v>1463</v>
      </c>
      <c r="E399" s="1108" t="s">
        <v>1298</v>
      </c>
    </row>
    <row r="400" spans="1:5" x14ac:dyDescent="0.25">
      <c r="A400" s="1031">
        <v>399</v>
      </c>
      <c r="B400" s="1031" t="s">
        <v>1291</v>
      </c>
      <c r="C400" s="1109" t="s">
        <v>105</v>
      </c>
      <c r="D400" s="1109" t="s">
        <v>1428</v>
      </c>
      <c r="E400" s="1108" t="s">
        <v>1299</v>
      </c>
    </row>
    <row r="401" spans="1:5" x14ac:dyDescent="0.25">
      <c r="A401" s="1031">
        <v>400</v>
      </c>
      <c r="B401" s="1031" t="s">
        <v>1291</v>
      </c>
      <c r="C401" s="1109" t="s">
        <v>105</v>
      </c>
      <c r="D401" s="1109" t="s">
        <v>1463</v>
      </c>
      <c r="E401" s="1108" t="s">
        <v>1300</v>
      </c>
    </row>
    <row r="402" spans="1:5" x14ac:dyDescent="0.25">
      <c r="A402" s="1031">
        <v>401</v>
      </c>
      <c r="B402" s="1031" t="s">
        <v>1291</v>
      </c>
      <c r="C402" s="1109" t="s">
        <v>105</v>
      </c>
      <c r="D402" s="1109" t="s">
        <v>1463</v>
      </c>
      <c r="E402" s="1108" t="s">
        <v>1238</v>
      </c>
    </row>
    <row r="403" spans="1:5" x14ac:dyDescent="0.25">
      <c r="A403" s="1031">
        <v>402</v>
      </c>
      <c r="B403" s="1031" t="s">
        <v>1291</v>
      </c>
      <c r="C403" s="1109" t="s">
        <v>92</v>
      </c>
      <c r="D403" s="1109" t="s">
        <v>1462</v>
      </c>
      <c r="E403" s="1106" t="s">
        <v>1301</v>
      </c>
    </row>
    <row r="404" spans="1:5" x14ac:dyDescent="0.25">
      <c r="A404" s="1031">
        <v>403</v>
      </c>
      <c r="B404" s="1031" t="s">
        <v>1291</v>
      </c>
      <c r="C404" s="1109" t="s">
        <v>92</v>
      </c>
      <c r="D404" s="1109" t="s">
        <v>1428</v>
      </c>
      <c r="E404" s="1106" t="s">
        <v>252</v>
      </c>
    </row>
    <row r="405" spans="1:5" x14ac:dyDescent="0.25">
      <c r="A405" s="1031">
        <v>404</v>
      </c>
      <c r="B405" s="1031" t="s">
        <v>1291</v>
      </c>
      <c r="C405" s="1109" t="s">
        <v>92</v>
      </c>
      <c r="D405" s="1109" t="s">
        <v>1291</v>
      </c>
      <c r="E405" s="1109" t="s">
        <v>1257</v>
      </c>
    </row>
    <row r="406" spans="1:5" x14ac:dyDescent="0.25">
      <c r="A406" s="1031">
        <v>405</v>
      </c>
      <c r="B406" s="1031" t="s">
        <v>1291</v>
      </c>
      <c r="C406" s="1109" t="s">
        <v>92</v>
      </c>
      <c r="D406" s="1109" t="s">
        <v>1291</v>
      </c>
      <c r="E406" s="1109" t="s">
        <v>225</v>
      </c>
    </row>
    <row r="407" spans="1:5" x14ac:dyDescent="0.25">
      <c r="A407" s="1031">
        <v>406</v>
      </c>
      <c r="B407" s="1031" t="s">
        <v>208</v>
      </c>
      <c r="C407" s="1109" t="s">
        <v>92</v>
      </c>
      <c r="D407" s="1109" t="s">
        <v>1428</v>
      </c>
      <c r="E407" s="1108" t="s">
        <v>463</v>
      </c>
    </row>
    <row r="408" spans="1:5" x14ac:dyDescent="0.25">
      <c r="A408" s="1031">
        <v>407</v>
      </c>
      <c r="B408" s="1031" t="s">
        <v>1291</v>
      </c>
      <c r="C408" s="1109" t="s">
        <v>92</v>
      </c>
      <c r="D408" s="1109" t="s">
        <v>1291</v>
      </c>
      <c r="E408" s="1108" t="s">
        <v>1294</v>
      </c>
    </row>
    <row r="409" spans="1:5" x14ac:dyDescent="0.25">
      <c r="A409" s="1031">
        <v>408</v>
      </c>
      <c r="B409" s="1031" t="s">
        <v>1291</v>
      </c>
      <c r="C409" s="1109" t="s">
        <v>92</v>
      </c>
      <c r="D409" s="1109" t="s">
        <v>1428</v>
      </c>
      <c r="E409" s="1108" t="s">
        <v>1296</v>
      </c>
    </row>
    <row r="410" spans="1:5" x14ac:dyDescent="0.25">
      <c r="A410" s="1031">
        <v>409</v>
      </c>
      <c r="B410" s="1031" t="s">
        <v>1291</v>
      </c>
      <c r="C410" s="1109" t="s">
        <v>92</v>
      </c>
      <c r="D410" s="1109" t="s">
        <v>1428</v>
      </c>
      <c r="E410" s="1108" t="s">
        <v>1297</v>
      </c>
    </row>
    <row r="411" spans="1:5" x14ac:dyDescent="0.25">
      <c r="A411" s="1031">
        <v>410</v>
      </c>
      <c r="B411" s="1031" t="s">
        <v>1291</v>
      </c>
      <c r="C411" s="1109" t="s">
        <v>92</v>
      </c>
      <c r="D411" s="1109" t="s">
        <v>1463</v>
      </c>
      <c r="E411" s="1108" t="s">
        <v>1298</v>
      </c>
    </row>
    <row r="412" spans="1:5" x14ac:dyDescent="0.25">
      <c r="A412" s="1031">
        <v>411</v>
      </c>
      <c r="B412" s="1031" t="s">
        <v>1291</v>
      </c>
      <c r="C412" s="1109" t="s">
        <v>92</v>
      </c>
      <c r="D412" s="1109" t="s">
        <v>1428</v>
      </c>
      <c r="E412" s="1108" t="s">
        <v>1299</v>
      </c>
    </row>
    <row r="413" spans="1:5" x14ac:dyDescent="0.25">
      <c r="A413" s="1031">
        <v>412</v>
      </c>
      <c r="B413" s="1031" t="s">
        <v>1291</v>
      </c>
      <c r="C413" s="1109" t="s">
        <v>92</v>
      </c>
      <c r="D413" s="1109" t="s">
        <v>1463</v>
      </c>
      <c r="E413" s="1108" t="s">
        <v>1300</v>
      </c>
    </row>
    <row r="414" spans="1:5" x14ac:dyDescent="0.25">
      <c r="A414" s="1031">
        <v>413</v>
      </c>
      <c r="B414" s="1031" t="s">
        <v>1291</v>
      </c>
      <c r="C414" s="1109" t="s">
        <v>92</v>
      </c>
      <c r="D414" s="1109" t="s">
        <v>1463</v>
      </c>
      <c r="E414" s="1108" t="s">
        <v>1238</v>
      </c>
    </row>
    <row r="415" spans="1:5" x14ac:dyDescent="0.25">
      <c r="A415" s="1031">
        <v>414</v>
      </c>
      <c r="B415" s="1031" t="s">
        <v>1291</v>
      </c>
      <c r="C415" s="1109" t="s">
        <v>91</v>
      </c>
      <c r="D415" s="1109" t="s">
        <v>1462</v>
      </c>
      <c r="E415" s="1106" t="s">
        <v>1301</v>
      </c>
    </row>
    <row r="416" spans="1:5" x14ac:dyDescent="0.25">
      <c r="A416" s="1031">
        <v>415</v>
      </c>
      <c r="B416" s="1031" t="s">
        <v>1291</v>
      </c>
      <c r="C416" s="1109" t="s">
        <v>91</v>
      </c>
      <c r="D416" s="1109" t="s">
        <v>1428</v>
      </c>
      <c r="E416" s="1106" t="s">
        <v>252</v>
      </c>
    </row>
    <row r="417" spans="1:5" x14ac:dyDescent="0.25">
      <c r="A417" s="1031">
        <v>416</v>
      </c>
      <c r="B417" s="1031" t="s">
        <v>1291</v>
      </c>
      <c r="C417" s="1109" t="s">
        <v>91</v>
      </c>
      <c r="D417" s="1109" t="s">
        <v>1291</v>
      </c>
      <c r="E417" s="1109" t="s">
        <v>1257</v>
      </c>
    </row>
    <row r="418" spans="1:5" x14ac:dyDescent="0.25">
      <c r="A418" s="1031">
        <v>417</v>
      </c>
      <c r="B418" s="1031" t="s">
        <v>1291</v>
      </c>
      <c r="C418" s="1109" t="s">
        <v>91</v>
      </c>
      <c r="D418" s="1109" t="s">
        <v>1291</v>
      </c>
      <c r="E418" s="1109" t="s">
        <v>225</v>
      </c>
    </row>
    <row r="419" spans="1:5" x14ac:dyDescent="0.25">
      <c r="A419" s="1031">
        <v>418</v>
      </c>
      <c r="B419" s="1031" t="s">
        <v>208</v>
      </c>
      <c r="C419" s="1109" t="s">
        <v>91</v>
      </c>
      <c r="D419" s="1109" t="s">
        <v>1428</v>
      </c>
      <c r="E419" s="1108" t="s">
        <v>463</v>
      </c>
    </row>
    <row r="420" spans="1:5" x14ac:dyDescent="0.25">
      <c r="A420" s="1031">
        <v>419</v>
      </c>
      <c r="B420" s="1031" t="s">
        <v>1291</v>
      </c>
      <c r="C420" s="1109" t="s">
        <v>91</v>
      </c>
      <c r="D420" s="1109" t="s">
        <v>1291</v>
      </c>
      <c r="E420" s="1108" t="s">
        <v>1294</v>
      </c>
    </row>
    <row r="421" spans="1:5" x14ac:dyDescent="0.25">
      <c r="A421" s="1031">
        <v>420</v>
      </c>
      <c r="B421" s="1031" t="s">
        <v>1291</v>
      </c>
      <c r="C421" s="1109" t="s">
        <v>91</v>
      </c>
      <c r="D421" s="1109" t="s">
        <v>1428</v>
      </c>
      <c r="E421" s="1108" t="s">
        <v>1296</v>
      </c>
    </row>
    <row r="422" spans="1:5" x14ac:dyDescent="0.25">
      <c r="A422" s="1031">
        <v>421</v>
      </c>
      <c r="B422" s="1031" t="s">
        <v>1291</v>
      </c>
      <c r="C422" s="1109" t="s">
        <v>91</v>
      </c>
      <c r="D422" s="1109" t="s">
        <v>1428</v>
      </c>
      <c r="E422" s="1108" t="s">
        <v>1297</v>
      </c>
    </row>
    <row r="423" spans="1:5" x14ac:dyDescent="0.25">
      <c r="A423" s="1031">
        <v>422</v>
      </c>
      <c r="B423" s="1031" t="s">
        <v>1291</v>
      </c>
      <c r="C423" s="1109" t="s">
        <v>91</v>
      </c>
      <c r="D423" s="1109" t="s">
        <v>1463</v>
      </c>
      <c r="E423" s="1108" t="s">
        <v>1298</v>
      </c>
    </row>
    <row r="424" spans="1:5" x14ac:dyDescent="0.25">
      <c r="A424" s="1031">
        <v>423</v>
      </c>
      <c r="B424" s="1031" t="s">
        <v>1291</v>
      </c>
      <c r="C424" s="1109" t="s">
        <v>91</v>
      </c>
      <c r="D424" s="1109" t="s">
        <v>1428</v>
      </c>
      <c r="E424" s="1108" t="s">
        <v>1299</v>
      </c>
    </row>
    <row r="425" spans="1:5" x14ac:dyDescent="0.25">
      <c r="A425" s="1031">
        <v>424</v>
      </c>
      <c r="B425" s="1031" t="s">
        <v>1291</v>
      </c>
      <c r="C425" s="1109" t="s">
        <v>91</v>
      </c>
      <c r="D425" s="1109" t="s">
        <v>1463</v>
      </c>
      <c r="E425" s="1108" t="s">
        <v>1300</v>
      </c>
    </row>
    <row r="426" spans="1:5" x14ac:dyDescent="0.25">
      <c r="A426" s="1031">
        <v>425</v>
      </c>
      <c r="B426" s="1031" t="s">
        <v>1291</v>
      </c>
      <c r="C426" s="1109" t="s">
        <v>91</v>
      </c>
      <c r="D426" s="1109" t="s">
        <v>1463</v>
      </c>
      <c r="E426" s="1108" t="s">
        <v>1238</v>
      </c>
    </row>
    <row r="427" spans="1:5" x14ac:dyDescent="0.25">
      <c r="A427" s="1031">
        <v>426</v>
      </c>
      <c r="B427" s="1031" t="s">
        <v>1291</v>
      </c>
      <c r="C427" s="1109" t="s">
        <v>90</v>
      </c>
      <c r="D427" s="1109" t="s">
        <v>1462</v>
      </c>
      <c r="E427" s="1106" t="s">
        <v>1301</v>
      </c>
    </row>
    <row r="428" spans="1:5" x14ac:dyDescent="0.25">
      <c r="A428" s="1031">
        <v>427</v>
      </c>
      <c r="B428" s="1031" t="s">
        <v>1291</v>
      </c>
      <c r="C428" s="1109" t="s">
        <v>90</v>
      </c>
      <c r="D428" s="1109" t="s">
        <v>1428</v>
      </c>
      <c r="E428" s="1106" t="s">
        <v>252</v>
      </c>
    </row>
    <row r="429" spans="1:5" x14ac:dyDescent="0.25">
      <c r="A429" s="1031">
        <v>428</v>
      </c>
      <c r="B429" s="1031" t="s">
        <v>1291</v>
      </c>
      <c r="C429" s="1109" t="s">
        <v>90</v>
      </c>
      <c r="D429" s="1109" t="s">
        <v>1291</v>
      </c>
      <c r="E429" s="1109" t="s">
        <v>1257</v>
      </c>
    </row>
    <row r="430" spans="1:5" x14ac:dyDescent="0.25">
      <c r="A430" s="1031">
        <v>429</v>
      </c>
      <c r="B430" s="1031" t="s">
        <v>1291</v>
      </c>
      <c r="C430" s="1109" t="s">
        <v>90</v>
      </c>
      <c r="D430" s="1109" t="s">
        <v>1291</v>
      </c>
      <c r="E430" s="1109" t="s">
        <v>225</v>
      </c>
    </row>
    <row r="431" spans="1:5" x14ac:dyDescent="0.25">
      <c r="A431" s="1031">
        <v>430</v>
      </c>
      <c r="B431" s="1031" t="s">
        <v>208</v>
      </c>
      <c r="C431" s="1109" t="s">
        <v>90</v>
      </c>
      <c r="D431" s="1109" t="s">
        <v>1428</v>
      </c>
      <c r="E431" s="1108" t="s">
        <v>463</v>
      </c>
    </row>
    <row r="432" spans="1:5" x14ac:dyDescent="0.25">
      <c r="A432" s="1031">
        <v>431</v>
      </c>
      <c r="B432" s="1031" t="s">
        <v>1291</v>
      </c>
      <c r="C432" s="1109" t="s">
        <v>90</v>
      </c>
      <c r="D432" s="1109" t="s">
        <v>1291</v>
      </c>
      <c r="E432" s="1108" t="s">
        <v>1294</v>
      </c>
    </row>
    <row r="433" spans="1:5" x14ac:dyDescent="0.25">
      <c r="A433" s="1031">
        <v>432</v>
      </c>
      <c r="B433" s="1031" t="s">
        <v>1291</v>
      </c>
      <c r="C433" s="1109" t="s">
        <v>90</v>
      </c>
      <c r="D433" s="1109" t="s">
        <v>1428</v>
      </c>
      <c r="E433" s="1108" t="s">
        <v>1296</v>
      </c>
    </row>
    <row r="434" spans="1:5" x14ac:dyDescent="0.25">
      <c r="A434" s="1031">
        <v>433</v>
      </c>
      <c r="B434" s="1031" t="s">
        <v>1291</v>
      </c>
      <c r="C434" s="1109" t="s">
        <v>90</v>
      </c>
      <c r="D434" s="1109" t="s">
        <v>1428</v>
      </c>
      <c r="E434" s="1108" t="s">
        <v>1297</v>
      </c>
    </row>
    <row r="435" spans="1:5" x14ac:dyDescent="0.25">
      <c r="A435" s="1031">
        <v>434</v>
      </c>
      <c r="B435" s="1031" t="s">
        <v>1291</v>
      </c>
      <c r="C435" s="1109" t="s">
        <v>90</v>
      </c>
      <c r="D435" s="1109" t="s">
        <v>1463</v>
      </c>
      <c r="E435" s="1108" t="s">
        <v>1298</v>
      </c>
    </row>
    <row r="436" spans="1:5" x14ac:dyDescent="0.25">
      <c r="A436" s="1031">
        <v>435</v>
      </c>
      <c r="B436" s="1031" t="s">
        <v>1291</v>
      </c>
      <c r="C436" s="1109" t="s">
        <v>90</v>
      </c>
      <c r="D436" s="1109" t="s">
        <v>1428</v>
      </c>
      <c r="E436" s="1108" t="s">
        <v>1299</v>
      </c>
    </row>
    <row r="437" spans="1:5" x14ac:dyDescent="0.25">
      <c r="A437" s="1031">
        <v>436</v>
      </c>
      <c r="B437" s="1031" t="s">
        <v>1291</v>
      </c>
      <c r="C437" s="1109" t="s">
        <v>90</v>
      </c>
      <c r="D437" s="1109" t="s">
        <v>1463</v>
      </c>
      <c r="E437" s="1108" t="s">
        <v>1300</v>
      </c>
    </row>
    <row r="438" spans="1:5" x14ac:dyDescent="0.25">
      <c r="A438" s="1031">
        <v>437</v>
      </c>
      <c r="B438" s="1031" t="s">
        <v>1291</v>
      </c>
      <c r="C438" s="1109" t="s">
        <v>90</v>
      </c>
      <c r="D438" s="1109" t="s">
        <v>1463</v>
      </c>
      <c r="E438" s="1108" t="s">
        <v>1238</v>
      </c>
    </row>
    <row r="439" spans="1:5" x14ac:dyDescent="0.25">
      <c r="A439" s="1031">
        <v>438</v>
      </c>
      <c r="B439" s="1031" t="s">
        <v>1291</v>
      </c>
      <c r="C439" s="1109" t="s">
        <v>89</v>
      </c>
      <c r="D439" s="1109" t="s">
        <v>1462</v>
      </c>
      <c r="E439" s="1106" t="s">
        <v>1301</v>
      </c>
    </row>
    <row r="440" spans="1:5" x14ac:dyDescent="0.25">
      <c r="A440" s="1031">
        <v>439</v>
      </c>
      <c r="B440" s="1031" t="s">
        <v>1291</v>
      </c>
      <c r="C440" s="1109" t="s">
        <v>89</v>
      </c>
      <c r="D440" s="1109" t="s">
        <v>1428</v>
      </c>
      <c r="E440" s="1106" t="s">
        <v>252</v>
      </c>
    </row>
    <row r="441" spans="1:5" x14ac:dyDescent="0.25">
      <c r="A441" s="1031">
        <v>440</v>
      </c>
      <c r="B441" s="1031" t="s">
        <v>1291</v>
      </c>
      <c r="C441" s="1109" t="s">
        <v>89</v>
      </c>
      <c r="D441" s="1109" t="s">
        <v>1291</v>
      </c>
      <c r="E441" s="1109" t="s">
        <v>1257</v>
      </c>
    </row>
    <row r="442" spans="1:5" x14ac:dyDescent="0.25">
      <c r="A442" s="1031">
        <v>441</v>
      </c>
      <c r="B442" s="1031" t="s">
        <v>1291</v>
      </c>
      <c r="C442" s="1109" t="s">
        <v>89</v>
      </c>
      <c r="D442" s="1109" t="s">
        <v>1291</v>
      </c>
      <c r="E442" s="1109" t="s">
        <v>225</v>
      </c>
    </row>
    <row r="443" spans="1:5" x14ac:dyDescent="0.25">
      <c r="A443" s="1031">
        <v>442</v>
      </c>
      <c r="B443" s="1031" t="s">
        <v>208</v>
      </c>
      <c r="C443" s="1109" t="s">
        <v>89</v>
      </c>
      <c r="D443" s="1109" t="s">
        <v>1428</v>
      </c>
      <c r="E443" s="1108" t="s">
        <v>463</v>
      </c>
    </row>
    <row r="444" spans="1:5" x14ac:dyDescent="0.25">
      <c r="A444" s="1031">
        <v>443</v>
      </c>
      <c r="B444" s="1031" t="s">
        <v>1291</v>
      </c>
      <c r="C444" s="1109" t="s">
        <v>89</v>
      </c>
      <c r="D444" s="1109" t="s">
        <v>1291</v>
      </c>
      <c r="E444" s="1108" t="s">
        <v>1294</v>
      </c>
    </row>
    <row r="445" spans="1:5" x14ac:dyDescent="0.25">
      <c r="A445" s="1031">
        <v>444</v>
      </c>
      <c r="B445" s="1031" t="s">
        <v>1291</v>
      </c>
      <c r="C445" s="1109" t="s">
        <v>89</v>
      </c>
      <c r="D445" s="1109" t="s">
        <v>1428</v>
      </c>
      <c r="E445" s="1108" t="s">
        <v>1296</v>
      </c>
    </row>
    <row r="446" spans="1:5" x14ac:dyDescent="0.25">
      <c r="A446" s="1031">
        <v>445</v>
      </c>
      <c r="B446" s="1031" t="s">
        <v>1291</v>
      </c>
      <c r="C446" s="1109" t="s">
        <v>89</v>
      </c>
      <c r="D446" s="1109" t="s">
        <v>1428</v>
      </c>
      <c r="E446" s="1108" t="s">
        <v>1297</v>
      </c>
    </row>
    <row r="447" spans="1:5" x14ac:dyDescent="0.25">
      <c r="A447" s="1031">
        <v>446</v>
      </c>
      <c r="B447" s="1031" t="s">
        <v>1291</v>
      </c>
      <c r="C447" s="1109" t="s">
        <v>89</v>
      </c>
      <c r="D447" s="1109" t="s">
        <v>1463</v>
      </c>
      <c r="E447" s="1108" t="s">
        <v>1298</v>
      </c>
    </row>
    <row r="448" spans="1:5" x14ac:dyDescent="0.25">
      <c r="A448" s="1031">
        <v>447</v>
      </c>
      <c r="B448" s="1031" t="s">
        <v>1291</v>
      </c>
      <c r="C448" s="1109" t="s">
        <v>89</v>
      </c>
      <c r="D448" s="1109" t="s">
        <v>1428</v>
      </c>
      <c r="E448" s="1108" t="s">
        <v>1299</v>
      </c>
    </row>
    <row r="449" spans="1:5" x14ac:dyDescent="0.25">
      <c r="A449" s="1031">
        <v>448</v>
      </c>
      <c r="B449" s="1031" t="s">
        <v>1291</v>
      </c>
      <c r="C449" s="1109" t="s">
        <v>89</v>
      </c>
      <c r="D449" s="1109" t="s">
        <v>1463</v>
      </c>
      <c r="E449" s="1108" t="s">
        <v>1300</v>
      </c>
    </row>
    <row r="450" spans="1:5" x14ac:dyDescent="0.25">
      <c r="A450" s="1031">
        <v>449</v>
      </c>
      <c r="B450" s="1031" t="s">
        <v>1291</v>
      </c>
      <c r="C450" s="1109" t="s">
        <v>89</v>
      </c>
      <c r="D450" s="1109" t="s">
        <v>1463</v>
      </c>
      <c r="E450" s="1108" t="s">
        <v>1238</v>
      </c>
    </row>
    <row r="451" spans="1:5" x14ac:dyDescent="0.25">
      <c r="A451" s="1031">
        <v>450</v>
      </c>
      <c r="B451" s="1031" t="s">
        <v>1291</v>
      </c>
      <c r="C451" s="1109" t="s">
        <v>94</v>
      </c>
      <c r="D451" s="1109" t="s">
        <v>1462</v>
      </c>
      <c r="E451" s="1106" t="s">
        <v>1301</v>
      </c>
    </row>
    <row r="452" spans="1:5" x14ac:dyDescent="0.25">
      <c r="A452" s="1031">
        <v>451</v>
      </c>
      <c r="B452" s="1031" t="s">
        <v>1291</v>
      </c>
      <c r="C452" s="1109" t="s">
        <v>94</v>
      </c>
      <c r="D452" s="1109" t="s">
        <v>1428</v>
      </c>
      <c r="E452" s="1106" t="s">
        <v>252</v>
      </c>
    </row>
    <row r="453" spans="1:5" x14ac:dyDescent="0.25">
      <c r="A453" s="1031">
        <v>452</v>
      </c>
      <c r="B453" s="1031" t="s">
        <v>1291</v>
      </c>
      <c r="C453" s="1109" t="s">
        <v>94</v>
      </c>
      <c r="D453" s="1109" t="s">
        <v>1291</v>
      </c>
      <c r="E453" s="1109" t="s">
        <v>1257</v>
      </c>
    </row>
    <row r="454" spans="1:5" x14ac:dyDescent="0.25">
      <c r="A454" s="1031">
        <v>453</v>
      </c>
      <c r="B454" s="1031" t="s">
        <v>1291</v>
      </c>
      <c r="C454" s="1109" t="s">
        <v>94</v>
      </c>
      <c r="D454" s="1109" t="s">
        <v>1291</v>
      </c>
      <c r="E454" s="1109" t="s">
        <v>225</v>
      </c>
    </row>
    <row r="455" spans="1:5" x14ac:dyDescent="0.25">
      <c r="A455" s="1031">
        <v>454</v>
      </c>
      <c r="B455" s="1031" t="s">
        <v>208</v>
      </c>
      <c r="C455" s="1109" t="s">
        <v>94</v>
      </c>
      <c r="D455" s="1109" t="s">
        <v>1428</v>
      </c>
      <c r="E455" s="1108" t="s">
        <v>463</v>
      </c>
    </row>
    <row r="456" spans="1:5" x14ac:dyDescent="0.25">
      <c r="A456" s="1031">
        <v>455</v>
      </c>
      <c r="B456" s="1031" t="s">
        <v>1291</v>
      </c>
      <c r="C456" s="1109" t="s">
        <v>94</v>
      </c>
      <c r="D456" s="1109" t="s">
        <v>1291</v>
      </c>
      <c r="E456" s="1108" t="s">
        <v>1294</v>
      </c>
    </row>
    <row r="457" spans="1:5" x14ac:dyDescent="0.25">
      <c r="A457" s="1031">
        <v>456</v>
      </c>
      <c r="B457" s="1031" t="s">
        <v>1291</v>
      </c>
      <c r="C457" s="1109" t="s">
        <v>94</v>
      </c>
      <c r="D457" s="1109" t="s">
        <v>1428</v>
      </c>
      <c r="E457" s="1108" t="s">
        <v>1296</v>
      </c>
    </row>
    <row r="458" spans="1:5" x14ac:dyDescent="0.25">
      <c r="A458" s="1031">
        <v>457</v>
      </c>
      <c r="B458" s="1031" t="s">
        <v>1291</v>
      </c>
      <c r="C458" s="1109" t="s">
        <v>94</v>
      </c>
      <c r="D458" s="1109" t="s">
        <v>1428</v>
      </c>
      <c r="E458" s="1108" t="s">
        <v>1297</v>
      </c>
    </row>
    <row r="459" spans="1:5" x14ac:dyDescent="0.25">
      <c r="A459" s="1031">
        <v>458</v>
      </c>
      <c r="B459" s="1031" t="s">
        <v>1291</v>
      </c>
      <c r="C459" s="1109" t="s">
        <v>94</v>
      </c>
      <c r="D459" s="1109" t="s">
        <v>1463</v>
      </c>
      <c r="E459" s="1108" t="s">
        <v>1298</v>
      </c>
    </row>
    <row r="460" spans="1:5" x14ac:dyDescent="0.25">
      <c r="A460" s="1031">
        <v>459</v>
      </c>
      <c r="B460" s="1031" t="s">
        <v>1291</v>
      </c>
      <c r="C460" s="1109" t="s">
        <v>94</v>
      </c>
      <c r="D460" s="1109" t="s">
        <v>1428</v>
      </c>
      <c r="E460" s="1108" t="s">
        <v>1299</v>
      </c>
    </row>
    <row r="461" spans="1:5" x14ac:dyDescent="0.25">
      <c r="A461" s="1031">
        <v>460</v>
      </c>
      <c r="B461" s="1031" t="s">
        <v>1291</v>
      </c>
      <c r="C461" s="1109" t="s">
        <v>94</v>
      </c>
      <c r="D461" s="1109" t="s">
        <v>1463</v>
      </c>
      <c r="E461" s="1108" t="s">
        <v>1300</v>
      </c>
    </row>
    <row r="462" spans="1:5" x14ac:dyDescent="0.25">
      <c r="A462" s="1031">
        <v>461</v>
      </c>
      <c r="B462" s="1031" t="s">
        <v>1291</v>
      </c>
      <c r="C462" s="1109" t="s">
        <v>94</v>
      </c>
      <c r="D462" s="1109" t="s">
        <v>1463</v>
      </c>
      <c r="E462" s="1108" t="s">
        <v>1238</v>
      </c>
    </row>
    <row r="463" spans="1:5" x14ac:dyDescent="0.25">
      <c r="A463" s="1031">
        <v>462</v>
      </c>
      <c r="B463" s="1031" t="s">
        <v>1291</v>
      </c>
      <c r="C463" s="1109" t="s">
        <v>86</v>
      </c>
      <c r="D463" s="1109" t="s">
        <v>1462</v>
      </c>
      <c r="E463" s="1106" t="s">
        <v>1301</v>
      </c>
    </row>
    <row r="464" spans="1:5" x14ac:dyDescent="0.25">
      <c r="A464" s="1031">
        <v>463</v>
      </c>
      <c r="B464" s="1031" t="s">
        <v>1291</v>
      </c>
      <c r="C464" s="1109" t="s">
        <v>86</v>
      </c>
      <c r="D464" s="1109" t="s">
        <v>1428</v>
      </c>
      <c r="E464" s="1106" t="s">
        <v>252</v>
      </c>
    </row>
    <row r="465" spans="1:5" x14ac:dyDescent="0.25">
      <c r="A465" s="1031">
        <v>464</v>
      </c>
      <c r="B465" s="1031" t="s">
        <v>1291</v>
      </c>
      <c r="C465" s="1109" t="s">
        <v>86</v>
      </c>
      <c r="D465" s="1109" t="s">
        <v>1291</v>
      </c>
      <c r="E465" s="1109" t="s">
        <v>1257</v>
      </c>
    </row>
    <row r="466" spans="1:5" x14ac:dyDescent="0.25">
      <c r="A466" s="1031">
        <v>465</v>
      </c>
      <c r="B466" s="1031" t="s">
        <v>1291</v>
      </c>
      <c r="C466" s="1109" t="s">
        <v>86</v>
      </c>
      <c r="D466" s="1109" t="s">
        <v>1291</v>
      </c>
      <c r="E466" s="1109" t="s">
        <v>225</v>
      </c>
    </row>
    <row r="467" spans="1:5" x14ac:dyDescent="0.25">
      <c r="A467" s="1031">
        <v>466</v>
      </c>
      <c r="B467" s="1031" t="s">
        <v>208</v>
      </c>
      <c r="C467" s="1109" t="s">
        <v>86</v>
      </c>
      <c r="D467" s="1109" t="s">
        <v>1428</v>
      </c>
      <c r="E467" s="1108" t="s">
        <v>463</v>
      </c>
    </row>
    <row r="468" spans="1:5" x14ac:dyDescent="0.25">
      <c r="A468" s="1031">
        <v>467</v>
      </c>
      <c r="B468" s="1031" t="s">
        <v>1291</v>
      </c>
      <c r="C468" s="1109" t="s">
        <v>86</v>
      </c>
      <c r="D468" s="1109" t="s">
        <v>1291</v>
      </c>
      <c r="E468" s="1108" t="s">
        <v>1294</v>
      </c>
    </row>
    <row r="469" spans="1:5" x14ac:dyDescent="0.25">
      <c r="A469" s="1031">
        <v>468</v>
      </c>
      <c r="B469" s="1031" t="s">
        <v>1291</v>
      </c>
      <c r="C469" s="1109" t="s">
        <v>86</v>
      </c>
      <c r="D469" s="1109" t="s">
        <v>1428</v>
      </c>
      <c r="E469" s="1108" t="s">
        <v>1296</v>
      </c>
    </row>
    <row r="470" spans="1:5" x14ac:dyDescent="0.25">
      <c r="A470" s="1031">
        <v>469</v>
      </c>
      <c r="B470" s="1031" t="s">
        <v>1291</v>
      </c>
      <c r="C470" s="1109" t="s">
        <v>86</v>
      </c>
      <c r="D470" s="1109" t="s">
        <v>1428</v>
      </c>
      <c r="E470" s="1108" t="s">
        <v>1297</v>
      </c>
    </row>
    <row r="471" spans="1:5" x14ac:dyDescent="0.25">
      <c r="A471" s="1031">
        <v>470</v>
      </c>
      <c r="B471" s="1031" t="s">
        <v>1291</v>
      </c>
      <c r="C471" s="1109" t="s">
        <v>86</v>
      </c>
      <c r="D471" s="1109" t="s">
        <v>1463</v>
      </c>
      <c r="E471" s="1108" t="s">
        <v>1298</v>
      </c>
    </row>
    <row r="472" spans="1:5" x14ac:dyDescent="0.25">
      <c r="A472" s="1031">
        <v>471</v>
      </c>
      <c r="B472" s="1031" t="s">
        <v>1291</v>
      </c>
      <c r="C472" s="1109" t="s">
        <v>86</v>
      </c>
      <c r="D472" s="1109" t="s">
        <v>1428</v>
      </c>
      <c r="E472" s="1108" t="s">
        <v>1299</v>
      </c>
    </row>
    <row r="473" spans="1:5" x14ac:dyDescent="0.25">
      <c r="A473" s="1031">
        <v>472</v>
      </c>
      <c r="B473" s="1031" t="s">
        <v>1291</v>
      </c>
      <c r="C473" s="1109" t="s">
        <v>86</v>
      </c>
      <c r="D473" s="1109" t="s">
        <v>1463</v>
      </c>
      <c r="E473" s="1108" t="s">
        <v>1300</v>
      </c>
    </row>
    <row r="474" spans="1:5" x14ac:dyDescent="0.25">
      <c r="A474" s="1031">
        <v>473</v>
      </c>
      <c r="B474" s="1031" t="s">
        <v>1291</v>
      </c>
      <c r="C474" s="1109" t="s">
        <v>86</v>
      </c>
      <c r="D474" s="1109" t="s">
        <v>1463</v>
      </c>
      <c r="E474" s="1108" t="s">
        <v>1238</v>
      </c>
    </row>
    <row r="475" spans="1:5" x14ac:dyDescent="0.25">
      <c r="A475" s="1031">
        <v>474</v>
      </c>
      <c r="B475" s="1031" t="s">
        <v>1291</v>
      </c>
      <c r="C475" s="1109" t="s">
        <v>88</v>
      </c>
      <c r="D475" s="1109" t="s">
        <v>1462</v>
      </c>
      <c r="E475" s="1106" t="s">
        <v>1301</v>
      </c>
    </row>
    <row r="476" spans="1:5" x14ac:dyDescent="0.25">
      <c r="A476" s="1031">
        <v>475</v>
      </c>
      <c r="B476" s="1031" t="s">
        <v>1291</v>
      </c>
      <c r="C476" s="1109" t="s">
        <v>88</v>
      </c>
      <c r="D476" s="1109" t="s">
        <v>1428</v>
      </c>
      <c r="E476" s="1106" t="s">
        <v>252</v>
      </c>
    </row>
    <row r="477" spans="1:5" x14ac:dyDescent="0.25">
      <c r="A477" s="1031">
        <v>476</v>
      </c>
      <c r="B477" s="1031" t="s">
        <v>1291</v>
      </c>
      <c r="C477" s="1109" t="s">
        <v>88</v>
      </c>
      <c r="D477" s="1109" t="s">
        <v>1291</v>
      </c>
      <c r="E477" s="1109" t="s">
        <v>1257</v>
      </c>
    </row>
    <row r="478" spans="1:5" x14ac:dyDescent="0.25">
      <c r="A478" s="1031">
        <v>477</v>
      </c>
      <c r="B478" s="1031" t="s">
        <v>1291</v>
      </c>
      <c r="C478" s="1109" t="s">
        <v>88</v>
      </c>
      <c r="D478" s="1109" t="s">
        <v>1291</v>
      </c>
      <c r="E478" s="1109" t="s">
        <v>225</v>
      </c>
    </row>
    <row r="479" spans="1:5" x14ac:dyDescent="0.25">
      <c r="A479" s="1031">
        <v>478</v>
      </c>
      <c r="B479" s="1031" t="s">
        <v>208</v>
      </c>
      <c r="C479" s="1109" t="s">
        <v>88</v>
      </c>
      <c r="D479" s="1109" t="s">
        <v>1428</v>
      </c>
      <c r="E479" s="1108" t="s">
        <v>463</v>
      </c>
    </row>
    <row r="480" spans="1:5" x14ac:dyDescent="0.25">
      <c r="A480" s="1031">
        <v>479</v>
      </c>
      <c r="B480" s="1031" t="s">
        <v>1291</v>
      </c>
      <c r="C480" s="1109" t="s">
        <v>88</v>
      </c>
      <c r="D480" s="1109" t="s">
        <v>1291</v>
      </c>
      <c r="E480" s="1108" t="s">
        <v>1294</v>
      </c>
    </row>
    <row r="481" spans="1:5" x14ac:dyDescent="0.25">
      <c r="A481" s="1031">
        <v>480</v>
      </c>
      <c r="B481" s="1031" t="s">
        <v>1291</v>
      </c>
      <c r="C481" s="1109" t="s">
        <v>88</v>
      </c>
      <c r="D481" s="1109" t="s">
        <v>1428</v>
      </c>
      <c r="E481" s="1108" t="s">
        <v>1296</v>
      </c>
    </row>
    <row r="482" spans="1:5" x14ac:dyDescent="0.25">
      <c r="A482" s="1031">
        <v>481</v>
      </c>
      <c r="B482" s="1031" t="s">
        <v>1291</v>
      </c>
      <c r="C482" s="1109" t="s">
        <v>88</v>
      </c>
      <c r="D482" s="1109" t="s">
        <v>1428</v>
      </c>
      <c r="E482" s="1108" t="s">
        <v>1297</v>
      </c>
    </row>
    <row r="483" spans="1:5" x14ac:dyDescent="0.25">
      <c r="A483" s="1031">
        <v>482</v>
      </c>
      <c r="B483" s="1031" t="s">
        <v>1291</v>
      </c>
      <c r="C483" s="1109" t="s">
        <v>88</v>
      </c>
      <c r="D483" s="1109" t="s">
        <v>1463</v>
      </c>
      <c r="E483" s="1108" t="s">
        <v>1298</v>
      </c>
    </row>
    <row r="484" spans="1:5" x14ac:dyDescent="0.25">
      <c r="A484" s="1031">
        <v>483</v>
      </c>
      <c r="B484" s="1031" t="s">
        <v>1291</v>
      </c>
      <c r="C484" s="1109" t="s">
        <v>88</v>
      </c>
      <c r="D484" s="1109" t="s">
        <v>1428</v>
      </c>
      <c r="E484" s="1108" t="s">
        <v>1299</v>
      </c>
    </row>
    <row r="485" spans="1:5" x14ac:dyDescent="0.25">
      <c r="A485" s="1031">
        <v>484</v>
      </c>
      <c r="B485" s="1031" t="s">
        <v>1291</v>
      </c>
      <c r="C485" s="1109" t="s">
        <v>88</v>
      </c>
      <c r="D485" s="1109" t="s">
        <v>1463</v>
      </c>
      <c r="E485" s="1108" t="s">
        <v>1300</v>
      </c>
    </row>
    <row r="486" spans="1:5" x14ac:dyDescent="0.25">
      <c r="A486" s="1031">
        <v>485</v>
      </c>
      <c r="B486" s="1031" t="s">
        <v>1291</v>
      </c>
      <c r="C486" s="1109" t="s">
        <v>88</v>
      </c>
      <c r="D486" s="1109" t="s">
        <v>1463</v>
      </c>
      <c r="E486" s="1108" t="s">
        <v>1238</v>
      </c>
    </row>
    <row r="487" spans="1:5" x14ac:dyDescent="0.25">
      <c r="A487" s="1031">
        <v>486</v>
      </c>
      <c r="B487" s="1031" t="s">
        <v>1291</v>
      </c>
      <c r="C487" s="1109" t="s">
        <v>87</v>
      </c>
      <c r="D487" s="1109" t="s">
        <v>1462</v>
      </c>
      <c r="E487" s="1106" t="s">
        <v>1301</v>
      </c>
    </row>
    <row r="488" spans="1:5" x14ac:dyDescent="0.25">
      <c r="A488" s="1031">
        <v>487</v>
      </c>
      <c r="B488" s="1031" t="s">
        <v>1291</v>
      </c>
      <c r="C488" s="1109" t="s">
        <v>87</v>
      </c>
      <c r="D488" s="1109" t="s">
        <v>1428</v>
      </c>
      <c r="E488" s="1106" t="s">
        <v>252</v>
      </c>
    </row>
    <row r="489" spans="1:5" x14ac:dyDescent="0.25">
      <c r="A489" s="1031">
        <v>488</v>
      </c>
      <c r="B489" s="1031" t="s">
        <v>1291</v>
      </c>
      <c r="C489" s="1109" t="s">
        <v>87</v>
      </c>
      <c r="D489" s="1109" t="s">
        <v>1291</v>
      </c>
      <c r="E489" s="1109" t="s">
        <v>1257</v>
      </c>
    </row>
    <row r="490" spans="1:5" x14ac:dyDescent="0.25">
      <c r="A490" s="1031">
        <v>489</v>
      </c>
      <c r="B490" s="1031" t="s">
        <v>1291</v>
      </c>
      <c r="C490" s="1109" t="s">
        <v>87</v>
      </c>
      <c r="D490" s="1109" t="s">
        <v>1291</v>
      </c>
      <c r="E490" s="1109" t="s">
        <v>225</v>
      </c>
    </row>
    <row r="491" spans="1:5" x14ac:dyDescent="0.25">
      <c r="A491" s="1031">
        <v>490</v>
      </c>
      <c r="B491" s="1031" t="s">
        <v>208</v>
      </c>
      <c r="C491" s="1109" t="s">
        <v>87</v>
      </c>
      <c r="D491" s="1109" t="s">
        <v>1428</v>
      </c>
      <c r="E491" s="1108" t="s">
        <v>463</v>
      </c>
    </row>
    <row r="492" spans="1:5" x14ac:dyDescent="0.25">
      <c r="A492" s="1031">
        <v>491</v>
      </c>
      <c r="B492" s="1031" t="s">
        <v>1291</v>
      </c>
      <c r="C492" s="1109" t="s">
        <v>87</v>
      </c>
      <c r="D492" s="1109" t="s">
        <v>1291</v>
      </c>
      <c r="E492" s="1108" t="s">
        <v>1294</v>
      </c>
    </row>
    <row r="493" spans="1:5" x14ac:dyDescent="0.25">
      <c r="A493" s="1031">
        <v>492</v>
      </c>
      <c r="B493" s="1031" t="s">
        <v>1291</v>
      </c>
      <c r="C493" s="1109" t="s">
        <v>87</v>
      </c>
      <c r="D493" s="1109" t="s">
        <v>1428</v>
      </c>
      <c r="E493" s="1108" t="s">
        <v>1296</v>
      </c>
    </row>
    <row r="494" spans="1:5" x14ac:dyDescent="0.25">
      <c r="A494" s="1031">
        <v>493</v>
      </c>
      <c r="B494" s="1031" t="s">
        <v>1291</v>
      </c>
      <c r="C494" s="1109" t="s">
        <v>87</v>
      </c>
      <c r="D494" s="1109" t="s">
        <v>1428</v>
      </c>
      <c r="E494" s="1108" t="s">
        <v>1297</v>
      </c>
    </row>
    <row r="495" spans="1:5" x14ac:dyDescent="0.25">
      <c r="A495" s="1031">
        <v>494</v>
      </c>
      <c r="B495" s="1031" t="s">
        <v>1291</v>
      </c>
      <c r="C495" s="1109" t="s">
        <v>87</v>
      </c>
      <c r="D495" s="1109" t="s">
        <v>1463</v>
      </c>
      <c r="E495" s="1108" t="s">
        <v>1298</v>
      </c>
    </row>
    <row r="496" spans="1:5" x14ac:dyDescent="0.25">
      <c r="A496" s="1031">
        <v>495</v>
      </c>
      <c r="B496" s="1031" t="s">
        <v>1291</v>
      </c>
      <c r="C496" s="1109" t="s">
        <v>87</v>
      </c>
      <c r="D496" s="1109" t="s">
        <v>1428</v>
      </c>
      <c r="E496" s="1108" t="s">
        <v>1299</v>
      </c>
    </row>
    <row r="497" spans="1:5" x14ac:dyDescent="0.25">
      <c r="A497" s="1031">
        <v>496</v>
      </c>
      <c r="B497" s="1031" t="s">
        <v>1291</v>
      </c>
      <c r="C497" s="1109" t="s">
        <v>87</v>
      </c>
      <c r="D497" s="1109" t="s">
        <v>1463</v>
      </c>
      <c r="E497" s="1108" t="s">
        <v>1300</v>
      </c>
    </row>
    <row r="498" spans="1:5" x14ac:dyDescent="0.25">
      <c r="A498" s="1031">
        <v>497</v>
      </c>
      <c r="B498" s="1031" t="s">
        <v>1291</v>
      </c>
      <c r="C498" s="1109" t="s">
        <v>87</v>
      </c>
      <c r="D498" s="1109" t="s">
        <v>1463</v>
      </c>
      <c r="E498" s="1108" t="s">
        <v>1238</v>
      </c>
    </row>
    <row r="499" spans="1:5" x14ac:dyDescent="0.25">
      <c r="A499" s="1031">
        <v>498</v>
      </c>
      <c r="B499" s="1031" t="s">
        <v>1291</v>
      </c>
      <c r="C499" s="1109" t="s">
        <v>1276</v>
      </c>
      <c r="D499" s="1109" t="s">
        <v>1428</v>
      </c>
      <c r="E499" s="1106" t="s">
        <v>1287</v>
      </c>
    </row>
    <row r="500" spans="1:5" x14ac:dyDescent="0.25">
      <c r="A500" s="1031">
        <v>499</v>
      </c>
      <c r="B500" s="1031" t="s">
        <v>1291</v>
      </c>
      <c r="C500" s="1109" t="s">
        <v>1276</v>
      </c>
      <c r="D500" s="1109" t="s">
        <v>1428</v>
      </c>
      <c r="E500" s="1106" t="s">
        <v>1288</v>
      </c>
    </row>
    <row r="501" spans="1:5" x14ac:dyDescent="0.25">
      <c r="A501" s="1031">
        <v>500</v>
      </c>
      <c r="B501" s="1031" t="s">
        <v>1291</v>
      </c>
      <c r="C501" s="1109" t="s">
        <v>1276</v>
      </c>
      <c r="D501" s="1109" t="s">
        <v>1428</v>
      </c>
      <c r="E501" s="1106" t="s">
        <v>1282</v>
      </c>
    </row>
    <row r="502" spans="1:5" x14ac:dyDescent="0.25">
      <c r="A502" s="1031">
        <v>501</v>
      </c>
      <c r="B502" s="1031" t="s">
        <v>1418</v>
      </c>
      <c r="C502" s="1109" t="s">
        <v>1464</v>
      </c>
      <c r="D502" s="1109" t="s">
        <v>1428</v>
      </c>
      <c r="E502" s="1106" t="s">
        <v>1465</v>
      </c>
    </row>
    <row r="503" spans="1:5" x14ac:dyDescent="0.25">
      <c r="A503" s="1031">
        <v>502</v>
      </c>
      <c r="B503" s="1031" t="s">
        <v>1418</v>
      </c>
      <c r="C503" s="1109" t="s">
        <v>1466</v>
      </c>
      <c r="D503" s="1109" t="s">
        <v>1467</v>
      </c>
      <c r="E503" s="1106" t="s">
        <v>1466</v>
      </c>
    </row>
    <row r="504" spans="1:5" x14ac:dyDescent="0.25">
      <c r="A504" s="1031">
        <v>503</v>
      </c>
      <c r="B504" s="1031" t="s">
        <v>1418</v>
      </c>
      <c r="C504" s="1109" t="s">
        <v>1466</v>
      </c>
      <c r="D504" s="1109" t="s">
        <v>1467</v>
      </c>
      <c r="E504" s="1106" t="s">
        <v>1468</v>
      </c>
    </row>
    <row r="505" spans="1:5" x14ac:dyDescent="0.25">
      <c r="A505" s="1031">
        <v>504</v>
      </c>
      <c r="B505" s="1031" t="s">
        <v>1418</v>
      </c>
      <c r="C505" s="1109" t="s">
        <v>1466</v>
      </c>
      <c r="D505" s="1109" t="s">
        <v>1467</v>
      </c>
      <c r="E505" s="1106" t="s">
        <v>1469</v>
      </c>
    </row>
    <row r="506" spans="1:5" x14ac:dyDescent="0.25">
      <c r="A506" s="1031">
        <v>505</v>
      </c>
      <c r="B506" s="1031" t="s">
        <v>1418</v>
      </c>
      <c r="C506" s="1109" t="s">
        <v>1466</v>
      </c>
      <c r="D506" s="1109" t="s">
        <v>1467</v>
      </c>
      <c r="E506" s="1106" t="s">
        <v>1470</v>
      </c>
    </row>
    <row r="507" spans="1:5" x14ac:dyDescent="0.25">
      <c r="A507" s="1031">
        <v>506</v>
      </c>
      <c r="B507" s="1031" t="s">
        <v>1418</v>
      </c>
      <c r="C507" s="1109" t="s">
        <v>1466</v>
      </c>
      <c r="D507" s="1109" t="s">
        <v>1467</v>
      </c>
      <c r="E507" s="1106" t="s">
        <v>1471</v>
      </c>
    </row>
    <row r="508" spans="1:5" x14ac:dyDescent="0.25">
      <c r="A508" s="1031">
        <v>507</v>
      </c>
      <c r="B508" s="1031" t="s">
        <v>1418</v>
      </c>
      <c r="C508" s="1109" t="s">
        <v>1466</v>
      </c>
      <c r="D508" s="1109" t="s">
        <v>1467</v>
      </c>
      <c r="E508" s="1106" t="s">
        <v>1472</v>
      </c>
    </row>
    <row r="509" spans="1:5" x14ac:dyDescent="0.25">
      <c r="A509" s="1031">
        <v>508</v>
      </c>
      <c r="B509" s="1031" t="s">
        <v>1368</v>
      </c>
      <c r="C509" s="1109" t="s">
        <v>1457</v>
      </c>
      <c r="D509" s="1109" t="s">
        <v>1473</v>
      </c>
      <c r="E509" s="1106" t="s">
        <v>1474</v>
      </c>
    </row>
    <row r="510" spans="1:5" x14ac:dyDescent="0.25">
      <c r="A510" s="1031">
        <v>509</v>
      </c>
      <c r="B510" s="1031" t="s">
        <v>1368</v>
      </c>
      <c r="C510" s="1109" t="s">
        <v>1457</v>
      </c>
      <c r="D510" s="1109" t="s">
        <v>1473</v>
      </c>
      <c r="E510" s="1106" t="s">
        <v>1250</v>
      </c>
    </row>
    <row r="511" spans="1:5" x14ac:dyDescent="0.25">
      <c r="A511" s="1031">
        <v>510</v>
      </c>
      <c r="B511" s="1031" t="s">
        <v>1368</v>
      </c>
      <c r="C511" s="1109" t="s">
        <v>1457</v>
      </c>
      <c r="D511" s="1109" t="s">
        <v>1473</v>
      </c>
      <c r="E511" s="1106" t="s">
        <v>1251</v>
      </c>
    </row>
    <row r="512" spans="1:5" x14ac:dyDescent="0.25">
      <c r="A512" s="1031">
        <v>511</v>
      </c>
      <c r="B512" s="1031" t="s">
        <v>1368</v>
      </c>
      <c r="C512" s="1109" t="s">
        <v>1457</v>
      </c>
      <c r="D512" s="1109" t="s">
        <v>1475</v>
      </c>
      <c r="E512" s="1106" t="s">
        <v>1255</v>
      </c>
    </row>
    <row r="513" spans="1:5" x14ac:dyDescent="0.25">
      <c r="A513" s="1031">
        <v>512</v>
      </c>
      <c r="B513" s="1031" t="s">
        <v>1368</v>
      </c>
      <c r="C513" s="1109" t="s">
        <v>1457</v>
      </c>
      <c r="D513" s="1109" t="s">
        <v>1476</v>
      </c>
      <c r="E513" s="1106" t="s">
        <v>1252</v>
      </c>
    </row>
    <row r="514" spans="1:5" ht="30" x14ac:dyDescent="0.25">
      <c r="A514" s="1031">
        <v>513</v>
      </c>
      <c r="B514" s="1031" t="s">
        <v>1291</v>
      </c>
      <c r="C514" s="1109" t="s">
        <v>1457</v>
      </c>
      <c r="D514" s="1109" t="s">
        <v>1477</v>
      </c>
      <c r="E514" s="1106" t="s">
        <v>1280</v>
      </c>
    </row>
    <row r="515" spans="1:5" ht="30" x14ac:dyDescent="0.25">
      <c r="A515" s="1031">
        <v>514</v>
      </c>
      <c r="B515" s="1031" t="s">
        <v>1291</v>
      </c>
      <c r="C515" s="1109" t="s">
        <v>1457</v>
      </c>
      <c r="D515" s="1109" t="s">
        <v>1477</v>
      </c>
      <c r="E515" s="1106" t="s">
        <v>1478</v>
      </c>
    </row>
    <row r="516" spans="1:5" x14ac:dyDescent="0.25">
      <c r="A516" s="1031">
        <v>515</v>
      </c>
      <c r="B516" s="1031" t="s">
        <v>1368</v>
      </c>
      <c r="C516" s="1109" t="s">
        <v>1479</v>
      </c>
      <c r="D516" s="1109" t="s">
        <v>1434</v>
      </c>
      <c r="E516" s="1106" t="s">
        <v>1213</v>
      </c>
    </row>
    <row r="517" spans="1:5" x14ac:dyDescent="0.25">
      <c r="A517" s="1031">
        <v>516</v>
      </c>
      <c r="B517" s="1031" t="s">
        <v>1291</v>
      </c>
      <c r="C517" s="1109" t="s">
        <v>1479</v>
      </c>
      <c r="D517" s="1109" t="s">
        <v>1434</v>
      </c>
      <c r="E517" s="1106" t="s">
        <v>1283</v>
      </c>
    </row>
    <row r="518" spans="1:5" x14ac:dyDescent="0.25">
      <c r="A518" s="1031">
        <v>517</v>
      </c>
      <c r="B518" s="1031" t="s">
        <v>1291</v>
      </c>
      <c r="C518" s="1109" t="s">
        <v>1479</v>
      </c>
      <c r="D518" s="1109" t="s">
        <v>1434</v>
      </c>
      <c r="E518" s="1106" t="s">
        <v>1284</v>
      </c>
    </row>
    <row r="519" spans="1:5" x14ac:dyDescent="0.25">
      <c r="A519" s="1031">
        <v>518</v>
      </c>
      <c r="B519" s="1031" t="s">
        <v>1291</v>
      </c>
      <c r="C519" s="1109" t="s">
        <v>1479</v>
      </c>
      <c r="D519" s="1109" t="s">
        <v>1434</v>
      </c>
      <c r="E519" s="1106" t="s">
        <v>1480</v>
      </c>
    </row>
    <row r="520" spans="1:5" x14ac:dyDescent="0.25">
      <c r="A520" s="1031">
        <v>519</v>
      </c>
      <c r="B520" s="1031" t="s">
        <v>1291</v>
      </c>
      <c r="C520" s="1109" t="s">
        <v>1479</v>
      </c>
      <c r="D520" s="1109" t="s">
        <v>1434</v>
      </c>
      <c r="E520" s="1106" t="s">
        <v>1286</v>
      </c>
    </row>
    <row r="521" spans="1:5" x14ac:dyDescent="0.25">
      <c r="A521" s="1031">
        <v>520</v>
      </c>
      <c r="B521" s="1031" t="s">
        <v>129</v>
      </c>
      <c r="C521" s="1109" t="s">
        <v>1481</v>
      </c>
      <c r="D521" s="1109" t="s">
        <v>1428</v>
      </c>
      <c r="E521" s="1106" t="s">
        <v>1482</v>
      </c>
    </row>
    <row r="522" spans="1:5" x14ac:dyDescent="0.25">
      <c r="A522" s="1031">
        <v>521</v>
      </c>
      <c r="B522" s="1031" t="s">
        <v>1535</v>
      </c>
      <c r="C522" s="1109" t="s">
        <v>1761</v>
      </c>
      <c r="D522" s="1109" t="s">
        <v>1562</v>
      </c>
      <c r="E522" s="1105" t="s">
        <v>1510</v>
      </c>
    </row>
    <row r="523" spans="1:5" x14ac:dyDescent="0.25">
      <c r="A523" s="1031">
        <v>522</v>
      </c>
      <c r="B523" s="1031" t="s">
        <v>1535</v>
      </c>
      <c r="C523" s="1109" t="s">
        <v>1729</v>
      </c>
      <c r="D523" s="1109" t="s">
        <v>1428</v>
      </c>
      <c r="E523" s="1105" t="s">
        <v>1724</v>
      </c>
    </row>
    <row r="524" spans="1:5" x14ac:dyDescent="0.25">
      <c r="A524" s="1031">
        <v>523</v>
      </c>
      <c r="B524" s="1031" t="s">
        <v>1535</v>
      </c>
      <c r="C524" s="1109" t="s">
        <v>1761</v>
      </c>
      <c r="D524" s="1109" t="s">
        <v>1562</v>
      </c>
      <c r="E524" s="1105" t="s">
        <v>1400</v>
      </c>
    </row>
    <row r="525" spans="1:5" x14ac:dyDescent="0.25">
      <c r="A525" s="1031">
        <v>524</v>
      </c>
      <c r="B525" s="1031" t="s">
        <v>1535</v>
      </c>
      <c r="C525" s="1109" t="s">
        <v>1761</v>
      </c>
      <c r="D525" s="1109" t="s">
        <v>1562</v>
      </c>
      <c r="E525" s="1105" t="s">
        <v>1397</v>
      </c>
    </row>
    <row r="526" spans="1:5" x14ac:dyDescent="0.25">
      <c r="A526" s="1031">
        <v>525</v>
      </c>
      <c r="B526" s="1031" t="s">
        <v>1535</v>
      </c>
      <c r="C526" s="1109" t="s">
        <v>1761</v>
      </c>
      <c r="D526" s="1109" t="s">
        <v>1562</v>
      </c>
      <c r="E526" s="1105" t="s">
        <v>1398</v>
      </c>
    </row>
    <row r="527" spans="1:5" x14ac:dyDescent="0.25">
      <c r="A527" s="1031">
        <v>526</v>
      </c>
      <c r="B527" s="1031" t="s">
        <v>1535</v>
      </c>
      <c r="C527" s="1109" t="s">
        <v>1761</v>
      </c>
      <c r="D527" s="1109" t="s">
        <v>1562</v>
      </c>
      <c r="E527" s="1105" t="s">
        <v>1414</v>
      </c>
    </row>
    <row r="528" spans="1:5" x14ac:dyDescent="0.25">
      <c r="A528" s="1031">
        <v>527</v>
      </c>
      <c r="B528" s="1031" t="s">
        <v>1535</v>
      </c>
      <c r="C528" s="1109" t="s">
        <v>1761</v>
      </c>
      <c r="D528" s="1109" t="s">
        <v>1428</v>
      </c>
      <c r="E528" s="1105" t="s">
        <v>1399</v>
      </c>
    </row>
    <row r="529" spans="1:5" x14ac:dyDescent="0.25">
      <c r="A529" s="1031">
        <v>528</v>
      </c>
      <c r="B529" s="1031" t="s">
        <v>1535</v>
      </c>
      <c r="C529" s="1109" t="s">
        <v>1761</v>
      </c>
      <c r="D529" s="1109" t="s">
        <v>1562</v>
      </c>
      <c r="E529" s="1105" t="s">
        <v>1505</v>
      </c>
    </row>
    <row r="530" spans="1:5" x14ac:dyDescent="0.25">
      <c r="A530" s="1031">
        <v>529</v>
      </c>
      <c r="B530" s="1031" t="s">
        <v>1535</v>
      </c>
      <c r="C530" s="1109" t="s">
        <v>1761</v>
      </c>
      <c r="D530" s="1109" t="s">
        <v>1562</v>
      </c>
      <c r="E530" s="1105" t="s">
        <v>1506</v>
      </c>
    </row>
    <row r="531" spans="1:5" x14ac:dyDescent="0.25">
      <c r="A531" s="1031">
        <v>530</v>
      </c>
      <c r="B531" s="1031" t="s">
        <v>1535</v>
      </c>
      <c r="C531" s="1109" t="s">
        <v>1761</v>
      </c>
      <c r="D531" s="1109" t="s">
        <v>1428</v>
      </c>
      <c r="E531" s="1105" t="s">
        <v>1507</v>
      </c>
    </row>
    <row r="532" spans="1:5" ht="30" x14ac:dyDescent="0.25">
      <c r="A532" s="1031">
        <v>531</v>
      </c>
      <c r="B532" s="1031" t="s">
        <v>1535</v>
      </c>
      <c r="C532" s="1109" t="s">
        <v>1761</v>
      </c>
      <c r="D532" s="1109" t="s">
        <v>1563</v>
      </c>
      <c r="E532" s="1105" t="s">
        <v>1402</v>
      </c>
    </row>
    <row r="533" spans="1:5" ht="30" x14ac:dyDescent="0.25">
      <c r="A533" s="1031">
        <v>532</v>
      </c>
      <c r="B533" s="1031" t="s">
        <v>1535</v>
      </c>
      <c r="C533" s="1109" t="s">
        <v>1761</v>
      </c>
      <c r="D533" s="1109" t="s">
        <v>1563</v>
      </c>
      <c r="E533" s="1105" t="s">
        <v>1403</v>
      </c>
    </row>
    <row r="534" spans="1:5" ht="30" x14ac:dyDescent="0.25">
      <c r="A534" s="1031">
        <v>533</v>
      </c>
      <c r="B534" s="1031" t="s">
        <v>1535</v>
      </c>
      <c r="C534" s="1109" t="s">
        <v>1761</v>
      </c>
      <c r="D534" s="1109" t="s">
        <v>1563</v>
      </c>
      <c r="E534" s="1105" t="s">
        <v>1514</v>
      </c>
    </row>
    <row r="535" spans="1:5" x14ac:dyDescent="0.25">
      <c r="A535" s="1031">
        <v>534</v>
      </c>
      <c r="B535" s="1031" t="s">
        <v>1535</v>
      </c>
      <c r="C535" s="1109" t="s">
        <v>1761</v>
      </c>
      <c r="D535" s="1109" t="s">
        <v>1428</v>
      </c>
      <c r="E535" s="1105" t="s">
        <v>1511</v>
      </c>
    </row>
    <row r="536" spans="1:5" x14ac:dyDescent="0.25">
      <c r="A536" s="1031">
        <v>535</v>
      </c>
      <c r="B536" s="1031" t="s">
        <v>1535</v>
      </c>
      <c r="C536" s="1109" t="s">
        <v>1761</v>
      </c>
      <c r="D536" s="1109" t="s">
        <v>1562</v>
      </c>
      <c r="E536" s="1105" t="s">
        <v>1406</v>
      </c>
    </row>
    <row r="537" spans="1:5" x14ac:dyDescent="0.25">
      <c r="A537" s="1031">
        <v>536</v>
      </c>
      <c r="B537" s="1031" t="s">
        <v>1535</v>
      </c>
      <c r="C537" s="1109" t="s">
        <v>1762</v>
      </c>
      <c r="D537" s="1109" t="s">
        <v>1562</v>
      </c>
      <c r="E537" s="1105" t="s">
        <v>1510</v>
      </c>
    </row>
    <row r="538" spans="1:5" x14ac:dyDescent="0.25">
      <c r="A538" s="1031">
        <v>537</v>
      </c>
      <c r="B538" s="1031" t="s">
        <v>1535</v>
      </c>
      <c r="C538" s="1109" t="s">
        <v>1730</v>
      </c>
      <c r="D538" s="1109" t="s">
        <v>1428</v>
      </c>
      <c r="E538" s="1105" t="s">
        <v>1724</v>
      </c>
    </row>
    <row r="539" spans="1:5" x14ac:dyDescent="0.25">
      <c r="A539" s="1031">
        <v>538</v>
      </c>
      <c r="B539" s="1031" t="s">
        <v>1535</v>
      </c>
      <c r="C539" s="1109" t="s">
        <v>1762</v>
      </c>
      <c r="D539" s="1109" t="s">
        <v>1562</v>
      </c>
      <c r="E539" s="1105" t="s">
        <v>1400</v>
      </c>
    </row>
    <row r="540" spans="1:5" x14ac:dyDescent="0.25">
      <c r="A540" s="1031">
        <v>539</v>
      </c>
      <c r="B540" s="1031" t="s">
        <v>1535</v>
      </c>
      <c r="C540" s="1109" t="s">
        <v>1762</v>
      </c>
      <c r="D540" s="1109" t="s">
        <v>1562</v>
      </c>
      <c r="E540" s="1105" t="s">
        <v>1397</v>
      </c>
    </row>
    <row r="541" spans="1:5" x14ac:dyDescent="0.25">
      <c r="A541" s="1031">
        <v>540</v>
      </c>
      <c r="B541" s="1031" t="s">
        <v>1535</v>
      </c>
      <c r="C541" s="1109" t="s">
        <v>1762</v>
      </c>
      <c r="D541" s="1109" t="s">
        <v>1562</v>
      </c>
      <c r="E541" s="1105" t="s">
        <v>1398</v>
      </c>
    </row>
    <row r="542" spans="1:5" x14ac:dyDescent="0.25">
      <c r="A542" s="1031">
        <v>541</v>
      </c>
      <c r="B542" s="1031" t="s">
        <v>1535</v>
      </c>
      <c r="C542" s="1109" t="s">
        <v>1762</v>
      </c>
      <c r="D542" s="1109" t="s">
        <v>1562</v>
      </c>
      <c r="E542" s="1105" t="s">
        <v>1414</v>
      </c>
    </row>
    <row r="543" spans="1:5" x14ac:dyDescent="0.25">
      <c r="A543" s="1031">
        <v>542</v>
      </c>
      <c r="B543" s="1031" t="s">
        <v>1535</v>
      </c>
      <c r="C543" s="1109" t="s">
        <v>1762</v>
      </c>
      <c r="D543" s="1109" t="s">
        <v>1428</v>
      </c>
      <c r="E543" s="1105" t="s">
        <v>1399</v>
      </c>
    </row>
    <row r="544" spans="1:5" x14ac:dyDescent="0.25">
      <c r="A544" s="1031">
        <v>543</v>
      </c>
      <c r="B544" s="1031" t="s">
        <v>1535</v>
      </c>
      <c r="C544" s="1109" t="s">
        <v>1762</v>
      </c>
      <c r="D544" s="1109" t="s">
        <v>1562</v>
      </c>
      <c r="E544" s="1105" t="s">
        <v>1505</v>
      </c>
    </row>
    <row r="545" spans="1:5" x14ac:dyDescent="0.25">
      <c r="A545" s="1031">
        <v>544</v>
      </c>
      <c r="B545" s="1031" t="s">
        <v>1535</v>
      </c>
      <c r="C545" s="1109" t="s">
        <v>1762</v>
      </c>
      <c r="D545" s="1109" t="s">
        <v>1562</v>
      </c>
      <c r="E545" s="1105" t="s">
        <v>1506</v>
      </c>
    </row>
    <row r="546" spans="1:5" x14ac:dyDescent="0.25">
      <c r="A546" s="1031">
        <v>545</v>
      </c>
      <c r="B546" s="1031" t="s">
        <v>1535</v>
      </c>
      <c r="C546" s="1109" t="s">
        <v>1762</v>
      </c>
      <c r="D546" s="1109" t="s">
        <v>1428</v>
      </c>
      <c r="E546" s="1105" t="s">
        <v>1507</v>
      </c>
    </row>
    <row r="547" spans="1:5" ht="30" x14ac:dyDescent="0.25">
      <c r="A547" s="1031">
        <v>546</v>
      </c>
      <c r="B547" s="1031" t="s">
        <v>1535</v>
      </c>
      <c r="C547" s="1109" t="s">
        <v>1762</v>
      </c>
      <c r="D547" s="1109" t="s">
        <v>1563</v>
      </c>
      <c r="E547" s="1105" t="s">
        <v>1402</v>
      </c>
    </row>
    <row r="548" spans="1:5" ht="30" x14ac:dyDescent="0.25">
      <c r="A548" s="1031">
        <v>547</v>
      </c>
      <c r="B548" s="1031" t="s">
        <v>1535</v>
      </c>
      <c r="C548" s="1109" t="s">
        <v>1762</v>
      </c>
      <c r="D548" s="1109" t="s">
        <v>1563</v>
      </c>
      <c r="E548" s="1105" t="s">
        <v>1403</v>
      </c>
    </row>
    <row r="549" spans="1:5" ht="30" x14ac:dyDescent="0.25">
      <c r="A549" s="1031">
        <v>548</v>
      </c>
      <c r="B549" s="1031" t="s">
        <v>1535</v>
      </c>
      <c r="C549" s="1109" t="s">
        <v>1762</v>
      </c>
      <c r="D549" s="1109" t="s">
        <v>1563</v>
      </c>
      <c r="E549" s="1105" t="s">
        <v>1514</v>
      </c>
    </row>
    <row r="550" spans="1:5" x14ac:dyDescent="0.25">
      <c r="A550" s="1031">
        <v>549</v>
      </c>
      <c r="B550" s="1031" t="s">
        <v>1535</v>
      </c>
      <c r="C550" s="1109" t="s">
        <v>1762</v>
      </c>
      <c r="D550" s="1109" t="s">
        <v>1428</v>
      </c>
      <c r="E550" s="1105" t="s">
        <v>1511</v>
      </c>
    </row>
    <row r="551" spans="1:5" x14ac:dyDescent="0.25">
      <c r="A551" s="1031">
        <v>550</v>
      </c>
      <c r="B551" s="1031" t="s">
        <v>1535</v>
      </c>
      <c r="C551" s="1109" t="s">
        <v>1762</v>
      </c>
      <c r="D551" s="1109" t="s">
        <v>1562</v>
      </c>
      <c r="E551" s="1105" t="s">
        <v>1406</v>
      </c>
    </row>
    <row r="552" spans="1:5" x14ac:dyDescent="0.25">
      <c r="A552" s="1031">
        <v>551</v>
      </c>
      <c r="B552" s="1031" t="s">
        <v>1535</v>
      </c>
      <c r="C552" s="1109" t="s">
        <v>1763</v>
      </c>
      <c r="D552" s="1109" t="s">
        <v>1564</v>
      </c>
      <c r="E552" s="1105" t="s">
        <v>1510</v>
      </c>
    </row>
    <row r="553" spans="1:5" x14ac:dyDescent="0.25">
      <c r="A553" s="1031">
        <v>552</v>
      </c>
      <c r="B553" s="1031" t="s">
        <v>1535</v>
      </c>
      <c r="C553" s="1109" t="s">
        <v>1565</v>
      </c>
      <c r="D553" s="1109" t="s">
        <v>1428</v>
      </c>
      <c r="E553" s="1105" t="s">
        <v>1724</v>
      </c>
    </row>
    <row r="554" spans="1:5" x14ac:dyDescent="0.25">
      <c r="A554" s="1031">
        <v>553</v>
      </c>
      <c r="B554" s="1031" t="s">
        <v>1535</v>
      </c>
      <c r="C554" s="1109" t="s">
        <v>1763</v>
      </c>
      <c r="D554" s="1109" t="s">
        <v>1564</v>
      </c>
      <c r="E554" s="1105" t="s">
        <v>1400</v>
      </c>
    </row>
    <row r="555" spans="1:5" x14ac:dyDescent="0.25">
      <c r="A555" s="1031">
        <v>554</v>
      </c>
      <c r="B555" s="1031" t="s">
        <v>1535</v>
      </c>
      <c r="C555" s="1109" t="s">
        <v>1763</v>
      </c>
      <c r="D555" s="1109" t="s">
        <v>1564</v>
      </c>
      <c r="E555" s="1105" t="s">
        <v>1397</v>
      </c>
    </row>
    <row r="556" spans="1:5" x14ac:dyDescent="0.25">
      <c r="A556" s="1031">
        <v>555</v>
      </c>
      <c r="B556" s="1031" t="s">
        <v>1535</v>
      </c>
      <c r="C556" s="1109" t="s">
        <v>1763</v>
      </c>
      <c r="D556" s="1109" t="s">
        <v>1564</v>
      </c>
      <c r="E556" s="1105" t="s">
        <v>1398</v>
      </c>
    </row>
    <row r="557" spans="1:5" x14ac:dyDescent="0.25">
      <c r="A557" s="1031">
        <v>556</v>
      </c>
      <c r="B557" s="1031" t="s">
        <v>1535</v>
      </c>
      <c r="C557" s="1109" t="s">
        <v>1763</v>
      </c>
      <c r="D557" s="1109" t="s">
        <v>1564</v>
      </c>
      <c r="E557" s="1105" t="s">
        <v>1414</v>
      </c>
    </row>
    <row r="558" spans="1:5" x14ac:dyDescent="0.25">
      <c r="A558" s="1031">
        <v>557</v>
      </c>
      <c r="B558" s="1031" t="s">
        <v>1535</v>
      </c>
      <c r="C558" s="1109" t="s">
        <v>1763</v>
      </c>
      <c r="D558" s="1109" t="s">
        <v>1428</v>
      </c>
      <c r="E558" s="1105" t="s">
        <v>1399</v>
      </c>
    </row>
    <row r="559" spans="1:5" x14ac:dyDescent="0.25">
      <c r="A559" s="1031">
        <v>558</v>
      </c>
      <c r="B559" s="1031" t="s">
        <v>1535</v>
      </c>
      <c r="C559" s="1109" t="s">
        <v>1565</v>
      </c>
      <c r="D559" s="1109" t="s">
        <v>1564</v>
      </c>
      <c r="E559" s="1105" t="s">
        <v>1505</v>
      </c>
    </row>
    <row r="560" spans="1:5" x14ac:dyDescent="0.25">
      <c r="A560" s="1031">
        <v>559</v>
      </c>
      <c r="B560" s="1031" t="s">
        <v>1535</v>
      </c>
      <c r="C560" s="1109" t="s">
        <v>1565</v>
      </c>
      <c r="D560" s="1109" t="s">
        <v>1564</v>
      </c>
      <c r="E560" s="1105" t="s">
        <v>1506</v>
      </c>
    </row>
    <row r="561" spans="1:5" x14ac:dyDescent="0.25">
      <c r="A561" s="1031">
        <v>560</v>
      </c>
      <c r="B561" s="1031" t="s">
        <v>1535</v>
      </c>
      <c r="C561" s="1109" t="s">
        <v>1565</v>
      </c>
      <c r="D561" s="1109" t="s">
        <v>1428</v>
      </c>
      <c r="E561" s="1105" t="s">
        <v>1507</v>
      </c>
    </row>
    <row r="562" spans="1:5" ht="30" x14ac:dyDescent="0.25">
      <c r="A562" s="1031">
        <v>561</v>
      </c>
      <c r="B562" s="1031" t="s">
        <v>1535</v>
      </c>
      <c r="C562" s="1109" t="s">
        <v>1565</v>
      </c>
      <c r="D562" s="1109" t="s">
        <v>1563</v>
      </c>
      <c r="E562" s="1105" t="s">
        <v>1402</v>
      </c>
    </row>
    <row r="563" spans="1:5" ht="30" x14ac:dyDescent="0.25">
      <c r="A563" s="1031">
        <v>562</v>
      </c>
      <c r="B563" s="1031" t="s">
        <v>1535</v>
      </c>
      <c r="C563" s="1109" t="s">
        <v>1565</v>
      </c>
      <c r="D563" s="1109" t="s">
        <v>1563</v>
      </c>
      <c r="E563" s="1105" t="s">
        <v>1403</v>
      </c>
    </row>
    <row r="564" spans="1:5" ht="30" x14ac:dyDescent="0.25">
      <c r="A564" s="1031">
        <v>563</v>
      </c>
      <c r="B564" s="1031" t="s">
        <v>1535</v>
      </c>
      <c r="C564" s="1109" t="s">
        <v>1565</v>
      </c>
      <c r="D564" s="1109" t="s">
        <v>1563</v>
      </c>
      <c r="E564" s="1105" t="s">
        <v>1514</v>
      </c>
    </row>
    <row r="565" spans="1:5" x14ac:dyDescent="0.25">
      <c r="A565" s="1031">
        <v>564</v>
      </c>
      <c r="B565" s="1031" t="s">
        <v>1535</v>
      </c>
      <c r="C565" s="1109" t="s">
        <v>1565</v>
      </c>
      <c r="D565" s="1109" t="s">
        <v>1428</v>
      </c>
      <c r="E565" s="1105" t="s">
        <v>1511</v>
      </c>
    </row>
    <row r="566" spans="1:5" x14ac:dyDescent="0.25">
      <c r="A566" s="1031">
        <v>565</v>
      </c>
      <c r="B566" s="1031" t="s">
        <v>1535</v>
      </c>
      <c r="C566" s="1109" t="s">
        <v>1565</v>
      </c>
      <c r="D566" s="1109" t="s">
        <v>1564</v>
      </c>
      <c r="E566" s="1105" t="s">
        <v>1525</v>
      </c>
    </row>
    <row r="567" spans="1:5" x14ac:dyDescent="0.25">
      <c r="A567" s="1031">
        <v>566</v>
      </c>
      <c r="B567" s="1031" t="s">
        <v>1535</v>
      </c>
      <c r="C567" s="1109" t="s">
        <v>1566</v>
      </c>
      <c r="D567" s="1109" t="s">
        <v>1564</v>
      </c>
      <c r="E567" s="1105" t="s">
        <v>1404</v>
      </c>
    </row>
    <row r="568" spans="1:5" x14ac:dyDescent="0.25">
      <c r="A568" s="1031">
        <v>567</v>
      </c>
      <c r="B568" s="1031" t="s">
        <v>1535</v>
      </c>
      <c r="C568" s="1109" t="s">
        <v>1566</v>
      </c>
      <c r="D568" s="1109" t="s">
        <v>1564</v>
      </c>
      <c r="E568" s="1105" t="s">
        <v>1405</v>
      </c>
    </row>
    <row r="569" spans="1:5" x14ac:dyDescent="0.25">
      <c r="A569" s="1031">
        <v>568</v>
      </c>
      <c r="B569" s="1031" t="s">
        <v>1535</v>
      </c>
      <c r="C569" s="1109" t="s">
        <v>1566</v>
      </c>
      <c r="D569" s="1109" t="s">
        <v>1564</v>
      </c>
      <c r="E569" s="1105" t="s">
        <v>1110</v>
      </c>
    </row>
    <row r="570" spans="1:5" x14ac:dyDescent="0.25">
      <c r="A570" s="1031">
        <v>569</v>
      </c>
      <c r="B570" s="1031" t="s">
        <v>1535</v>
      </c>
      <c r="C570" s="1109" t="s">
        <v>1565</v>
      </c>
      <c r="D570" s="1109" t="s">
        <v>1564</v>
      </c>
      <c r="E570" s="1105" t="s">
        <v>1527</v>
      </c>
    </row>
    <row r="571" spans="1:5" x14ac:dyDescent="0.25">
      <c r="A571" s="1031">
        <v>570</v>
      </c>
      <c r="B571" s="1031" t="s">
        <v>1535</v>
      </c>
      <c r="C571" s="1109" t="s">
        <v>1567</v>
      </c>
      <c r="D571" s="1109" t="s">
        <v>1564</v>
      </c>
      <c r="E571" s="1105" t="s">
        <v>1510</v>
      </c>
    </row>
    <row r="572" spans="1:5" x14ac:dyDescent="0.25">
      <c r="A572" s="1031">
        <v>571</v>
      </c>
      <c r="B572" s="1031" t="s">
        <v>1535</v>
      </c>
      <c r="C572" s="1109" t="s">
        <v>1567</v>
      </c>
      <c r="D572" s="1109" t="s">
        <v>1428</v>
      </c>
      <c r="E572" s="1105" t="s">
        <v>1724</v>
      </c>
    </row>
    <row r="573" spans="1:5" x14ac:dyDescent="0.25">
      <c r="A573" s="1031">
        <v>572</v>
      </c>
      <c r="B573" s="1031" t="s">
        <v>1535</v>
      </c>
      <c r="C573" s="1109" t="s">
        <v>1567</v>
      </c>
      <c r="D573" s="1109" t="s">
        <v>1564</v>
      </c>
      <c r="E573" s="1105" t="s">
        <v>1400</v>
      </c>
    </row>
    <row r="574" spans="1:5" x14ac:dyDescent="0.25">
      <c r="A574" s="1031">
        <v>573</v>
      </c>
      <c r="B574" s="1031" t="s">
        <v>1535</v>
      </c>
      <c r="C574" s="1109" t="s">
        <v>1567</v>
      </c>
      <c r="D574" s="1109" t="s">
        <v>1564</v>
      </c>
      <c r="E574" s="1105" t="s">
        <v>1397</v>
      </c>
    </row>
    <row r="575" spans="1:5" x14ac:dyDescent="0.25">
      <c r="A575" s="1031">
        <v>574</v>
      </c>
      <c r="B575" s="1031" t="s">
        <v>1535</v>
      </c>
      <c r="C575" s="1109" t="s">
        <v>1567</v>
      </c>
      <c r="D575" s="1109" t="s">
        <v>1564</v>
      </c>
      <c r="E575" s="1105" t="s">
        <v>1398</v>
      </c>
    </row>
    <row r="576" spans="1:5" x14ac:dyDescent="0.25">
      <c r="A576" s="1031">
        <v>575</v>
      </c>
      <c r="B576" s="1031" t="s">
        <v>1535</v>
      </c>
      <c r="C576" s="1109" t="s">
        <v>1567</v>
      </c>
      <c r="D576" s="1109" t="s">
        <v>1564</v>
      </c>
      <c r="E576" s="1105" t="s">
        <v>1414</v>
      </c>
    </row>
    <row r="577" spans="1:5" x14ac:dyDescent="0.25">
      <c r="A577" s="1031">
        <v>576</v>
      </c>
      <c r="B577" s="1031" t="s">
        <v>1535</v>
      </c>
      <c r="C577" s="1109" t="s">
        <v>1567</v>
      </c>
      <c r="D577" s="1109" t="s">
        <v>1428</v>
      </c>
      <c r="E577" s="1105" t="s">
        <v>1399</v>
      </c>
    </row>
    <row r="578" spans="1:5" x14ac:dyDescent="0.25">
      <c r="A578" s="1031">
        <v>577</v>
      </c>
      <c r="B578" s="1031" t="s">
        <v>1535</v>
      </c>
      <c r="C578" s="1109" t="s">
        <v>1567</v>
      </c>
      <c r="D578" s="1109" t="s">
        <v>1564</v>
      </c>
      <c r="E578" s="1105" t="s">
        <v>1505</v>
      </c>
    </row>
    <row r="579" spans="1:5" x14ac:dyDescent="0.25">
      <c r="A579" s="1031">
        <v>578</v>
      </c>
      <c r="B579" s="1031" t="s">
        <v>1535</v>
      </c>
      <c r="C579" s="1109" t="s">
        <v>1567</v>
      </c>
      <c r="D579" s="1109" t="s">
        <v>1564</v>
      </c>
      <c r="E579" s="1105" t="s">
        <v>1506</v>
      </c>
    </row>
    <row r="580" spans="1:5" x14ac:dyDescent="0.25">
      <c r="A580" s="1031">
        <v>579</v>
      </c>
      <c r="B580" s="1031" t="s">
        <v>1535</v>
      </c>
      <c r="C580" s="1109" t="s">
        <v>1567</v>
      </c>
      <c r="D580" s="1109" t="s">
        <v>1428</v>
      </c>
      <c r="E580" s="1105" t="s">
        <v>1507</v>
      </c>
    </row>
    <row r="581" spans="1:5" ht="30" x14ac:dyDescent="0.25">
      <c r="A581" s="1031">
        <v>580</v>
      </c>
      <c r="B581" s="1031" t="s">
        <v>1535</v>
      </c>
      <c r="C581" s="1109" t="s">
        <v>1567</v>
      </c>
      <c r="D581" s="1109" t="s">
        <v>1563</v>
      </c>
      <c r="E581" s="1105" t="s">
        <v>1402</v>
      </c>
    </row>
    <row r="582" spans="1:5" ht="30" x14ac:dyDescent="0.25">
      <c r="A582" s="1031">
        <v>581</v>
      </c>
      <c r="B582" s="1031" t="s">
        <v>1535</v>
      </c>
      <c r="C582" s="1109" t="s">
        <v>1567</v>
      </c>
      <c r="D582" s="1109" t="s">
        <v>1563</v>
      </c>
      <c r="E582" s="1105" t="s">
        <v>1403</v>
      </c>
    </row>
    <row r="583" spans="1:5" ht="30" x14ac:dyDescent="0.25">
      <c r="A583" s="1031">
        <v>582</v>
      </c>
      <c r="B583" s="1031" t="s">
        <v>1535</v>
      </c>
      <c r="C583" s="1109" t="s">
        <v>1567</v>
      </c>
      <c r="D583" s="1109" t="s">
        <v>1563</v>
      </c>
      <c r="E583" s="1105" t="s">
        <v>1514</v>
      </c>
    </row>
    <row r="584" spans="1:5" x14ac:dyDescent="0.25">
      <c r="A584" s="1031">
        <v>583</v>
      </c>
      <c r="B584" s="1031" t="s">
        <v>1535</v>
      </c>
      <c r="C584" s="1109" t="s">
        <v>1567</v>
      </c>
      <c r="D584" s="1109" t="s">
        <v>1428</v>
      </c>
      <c r="E584" s="1105" t="s">
        <v>1511</v>
      </c>
    </row>
    <row r="585" spans="1:5" x14ac:dyDescent="0.25">
      <c r="A585" s="1031">
        <v>584</v>
      </c>
      <c r="B585" s="1031" t="s">
        <v>1535</v>
      </c>
      <c r="C585" s="1109" t="s">
        <v>1567</v>
      </c>
      <c r="D585" s="1109" t="s">
        <v>1564</v>
      </c>
      <c r="E585" s="1105" t="s">
        <v>1525</v>
      </c>
    </row>
    <row r="586" spans="1:5" x14ac:dyDescent="0.25">
      <c r="A586" s="1031">
        <v>585</v>
      </c>
      <c r="B586" s="1031" t="s">
        <v>1535</v>
      </c>
      <c r="C586" s="1109" t="s">
        <v>1568</v>
      </c>
      <c r="D586" s="1109" t="s">
        <v>1564</v>
      </c>
      <c r="E586" s="1105" t="s">
        <v>1404</v>
      </c>
    </row>
    <row r="587" spans="1:5" x14ac:dyDescent="0.25">
      <c r="A587" s="1031">
        <v>586</v>
      </c>
      <c r="B587" s="1031" t="s">
        <v>1535</v>
      </c>
      <c r="C587" s="1109" t="s">
        <v>1568</v>
      </c>
      <c r="D587" s="1109" t="s">
        <v>1564</v>
      </c>
      <c r="E587" s="1105" t="s">
        <v>1405</v>
      </c>
    </row>
    <row r="588" spans="1:5" x14ac:dyDescent="0.25">
      <c r="A588" s="1031">
        <v>587</v>
      </c>
      <c r="B588" s="1031" t="s">
        <v>1535</v>
      </c>
      <c r="C588" s="1109" t="s">
        <v>1568</v>
      </c>
      <c r="D588" s="1109" t="s">
        <v>1564</v>
      </c>
      <c r="E588" s="1105" t="s">
        <v>1406</v>
      </c>
    </row>
    <row r="589" spans="1:5" x14ac:dyDescent="0.25">
      <c r="A589" s="1031">
        <v>588</v>
      </c>
      <c r="B589" s="1031" t="s">
        <v>1535</v>
      </c>
      <c r="C589" s="1109" t="s">
        <v>1567</v>
      </c>
      <c r="D589" s="1109" t="s">
        <v>1564</v>
      </c>
      <c r="E589" s="1105" t="s">
        <v>1527</v>
      </c>
    </row>
    <row r="590" spans="1:5" x14ac:dyDescent="0.25">
      <c r="A590" s="1031">
        <v>589</v>
      </c>
      <c r="B590" s="1031" t="s">
        <v>1535</v>
      </c>
      <c r="C590" s="1109" t="s">
        <v>1569</v>
      </c>
      <c r="D590" s="1109" t="s">
        <v>1532</v>
      </c>
      <c r="E590" s="1105" t="s">
        <v>1510</v>
      </c>
    </row>
    <row r="591" spans="1:5" x14ac:dyDescent="0.25">
      <c r="A591" s="1031">
        <v>590</v>
      </c>
      <c r="B591" s="1031" t="s">
        <v>1535</v>
      </c>
      <c r="C591" s="1109" t="s">
        <v>1569</v>
      </c>
      <c r="D591" s="1109" t="s">
        <v>1428</v>
      </c>
      <c r="E591" s="1105" t="s">
        <v>1724</v>
      </c>
    </row>
    <row r="592" spans="1:5" x14ac:dyDescent="0.25">
      <c r="A592" s="1031">
        <v>591</v>
      </c>
      <c r="B592" s="1031" t="s">
        <v>1535</v>
      </c>
      <c r="C592" s="1109" t="s">
        <v>1569</v>
      </c>
      <c r="D592" s="1109" t="s">
        <v>1532</v>
      </c>
      <c r="E592" s="1105" t="s">
        <v>1400</v>
      </c>
    </row>
    <row r="593" spans="1:5" x14ac:dyDescent="0.25">
      <c r="A593" s="1031">
        <v>592</v>
      </c>
      <c r="B593" s="1031" t="s">
        <v>1535</v>
      </c>
      <c r="C593" s="1109" t="s">
        <v>1569</v>
      </c>
      <c r="D593" s="1109" t="s">
        <v>1532</v>
      </c>
      <c r="E593" s="1105" t="s">
        <v>1397</v>
      </c>
    </row>
    <row r="594" spans="1:5" x14ac:dyDescent="0.25">
      <c r="A594" s="1031">
        <v>593</v>
      </c>
      <c r="B594" s="1031" t="s">
        <v>1535</v>
      </c>
      <c r="C594" s="1109" t="s">
        <v>1569</v>
      </c>
      <c r="D594" s="1109" t="s">
        <v>1532</v>
      </c>
      <c r="E594" s="1105" t="s">
        <v>1398</v>
      </c>
    </row>
    <row r="595" spans="1:5" x14ac:dyDescent="0.25">
      <c r="A595" s="1031">
        <v>594</v>
      </c>
      <c r="B595" s="1031" t="s">
        <v>1535</v>
      </c>
      <c r="C595" s="1109" t="s">
        <v>1569</v>
      </c>
      <c r="D595" s="1109" t="s">
        <v>1532</v>
      </c>
      <c r="E595" s="1105" t="s">
        <v>1414</v>
      </c>
    </row>
    <row r="596" spans="1:5" x14ac:dyDescent="0.25">
      <c r="A596" s="1031">
        <v>595</v>
      </c>
      <c r="B596" s="1031" t="s">
        <v>1535</v>
      </c>
      <c r="C596" s="1109" t="s">
        <v>1569</v>
      </c>
      <c r="D596" s="1109" t="s">
        <v>1532</v>
      </c>
      <c r="E596" s="1105" t="s">
        <v>1399</v>
      </c>
    </row>
    <row r="597" spans="1:5" x14ac:dyDescent="0.25">
      <c r="A597" s="1031">
        <v>596</v>
      </c>
      <c r="B597" s="1031" t="s">
        <v>1535</v>
      </c>
      <c r="C597" s="1109" t="s">
        <v>1569</v>
      </c>
      <c r="D597" s="1109" t="s">
        <v>1532</v>
      </c>
      <c r="E597" s="1105" t="s">
        <v>1505</v>
      </c>
    </row>
    <row r="598" spans="1:5" x14ac:dyDescent="0.25">
      <c r="A598" s="1031">
        <v>597</v>
      </c>
      <c r="B598" s="1031" t="s">
        <v>1535</v>
      </c>
      <c r="C598" s="1109" t="s">
        <v>1569</v>
      </c>
      <c r="D598" s="1109" t="s">
        <v>1532</v>
      </c>
      <c r="E598" s="1105" t="s">
        <v>1506</v>
      </c>
    </row>
    <row r="599" spans="1:5" x14ac:dyDescent="0.25">
      <c r="A599" s="1031">
        <v>598</v>
      </c>
      <c r="B599" s="1031" t="s">
        <v>1535</v>
      </c>
      <c r="C599" s="1109" t="s">
        <v>1569</v>
      </c>
      <c r="D599" s="1109" t="s">
        <v>1428</v>
      </c>
      <c r="E599" s="1105" t="s">
        <v>1507</v>
      </c>
    </row>
    <row r="600" spans="1:5" ht="30" x14ac:dyDescent="0.25">
      <c r="A600" s="1031">
        <v>599</v>
      </c>
      <c r="B600" s="1031" t="s">
        <v>1535</v>
      </c>
      <c r="C600" s="1109" t="s">
        <v>1569</v>
      </c>
      <c r="D600" s="1109" t="s">
        <v>1563</v>
      </c>
      <c r="E600" s="1105" t="s">
        <v>1402</v>
      </c>
    </row>
    <row r="601" spans="1:5" ht="30" x14ac:dyDescent="0.25">
      <c r="A601" s="1031">
        <v>600</v>
      </c>
      <c r="B601" s="1031" t="s">
        <v>1535</v>
      </c>
      <c r="C601" s="1109" t="s">
        <v>1569</v>
      </c>
      <c r="D601" s="1109" t="s">
        <v>1563</v>
      </c>
      <c r="E601" s="1105" t="s">
        <v>1403</v>
      </c>
    </row>
    <row r="602" spans="1:5" ht="30" x14ac:dyDescent="0.25">
      <c r="A602" s="1031">
        <v>601</v>
      </c>
      <c r="B602" s="1031" t="s">
        <v>1535</v>
      </c>
      <c r="C602" s="1109" t="s">
        <v>1569</v>
      </c>
      <c r="D602" s="1109" t="s">
        <v>1563</v>
      </c>
      <c r="E602" s="1105" t="s">
        <v>1514</v>
      </c>
    </row>
    <row r="603" spans="1:5" x14ac:dyDescent="0.25">
      <c r="A603" s="1031">
        <v>602</v>
      </c>
      <c r="B603" s="1031" t="s">
        <v>1535</v>
      </c>
      <c r="C603" s="1109" t="s">
        <v>1569</v>
      </c>
      <c r="D603" s="1109" t="s">
        <v>1428</v>
      </c>
      <c r="E603" s="1105" t="s">
        <v>1511</v>
      </c>
    </row>
    <row r="604" spans="1:5" x14ac:dyDescent="0.25">
      <c r="A604" s="1031">
        <v>603</v>
      </c>
      <c r="B604" s="1031" t="s">
        <v>1535</v>
      </c>
      <c r="C604" s="1109" t="s">
        <v>1569</v>
      </c>
      <c r="D604" s="1109" t="s">
        <v>1532</v>
      </c>
      <c r="E604" s="1105" t="s">
        <v>1525</v>
      </c>
    </row>
    <row r="605" spans="1:5" x14ac:dyDescent="0.25">
      <c r="A605" s="1031">
        <v>604</v>
      </c>
      <c r="B605" s="1031" t="s">
        <v>1535</v>
      </c>
      <c r="C605" s="1109" t="s">
        <v>1570</v>
      </c>
      <c r="D605" s="1109" t="s">
        <v>1532</v>
      </c>
      <c r="E605" s="1105" t="s">
        <v>1404</v>
      </c>
    </row>
    <row r="606" spans="1:5" x14ac:dyDescent="0.25">
      <c r="A606" s="1031">
        <v>605</v>
      </c>
      <c r="B606" s="1031" t="s">
        <v>1535</v>
      </c>
      <c r="C606" s="1109" t="s">
        <v>1570</v>
      </c>
      <c r="D606" s="1109" t="s">
        <v>1532</v>
      </c>
      <c r="E606" s="1105" t="s">
        <v>1405</v>
      </c>
    </row>
    <row r="607" spans="1:5" x14ac:dyDescent="0.25">
      <c r="A607" s="1031">
        <v>606</v>
      </c>
      <c r="B607" s="1031" t="s">
        <v>1535</v>
      </c>
      <c r="C607" s="1109" t="s">
        <v>1570</v>
      </c>
      <c r="D607" s="1109" t="s">
        <v>1532</v>
      </c>
      <c r="E607" s="1105" t="s">
        <v>1406</v>
      </c>
    </row>
    <row r="608" spans="1:5" x14ac:dyDescent="0.25">
      <c r="A608" s="1031">
        <v>607</v>
      </c>
      <c r="B608" s="1031" t="s">
        <v>1535</v>
      </c>
      <c r="C608" s="1109" t="s">
        <v>1571</v>
      </c>
      <c r="D608" s="1109" t="s">
        <v>1532</v>
      </c>
      <c r="E608" s="1105" t="s">
        <v>1404</v>
      </c>
    </row>
    <row r="609" spans="1:5" x14ac:dyDescent="0.25">
      <c r="A609" s="1031">
        <v>608</v>
      </c>
      <c r="B609" s="1031" t="s">
        <v>1535</v>
      </c>
      <c r="C609" s="1109" t="s">
        <v>1571</v>
      </c>
      <c r="D609" s="1109" t="s">
        <v>1532</v>
      </c>
      <c r="E609" s="1105" t="s">
        <v>1405</v>
      </c>
    </row>
    <row r="610" spans="1:5" x14ac:dyDescent="0.25">
      <c r="A610" s="1031">
        <v>609</v>
      </c>
      <c r="B610" s="1031" t="s">
        <v>1535</v>
      </c>
      <c r="C610" s="1109" t="s">
        <v>1571</v>
      </c>
      <c r="D610" s="1109" t="s">
        <v>1532</v>
      </c>
      <c r="E610" s="1105" t="s">
        <v>1406</v>
      </c>
    </row>
    <row r="611" spans="1:5" x14ac:dyDescent="0.25">
      <c r="A611" s="1031">
        <v>610</v>
      </c>
      <c r="B611" s="1031" t="s">
        <v>1535</v>
      </c>
      <c r="C611" s="1109" t="s">
        <v>1572</v>
      </c>
      <c r="D611" s="1109" t="s">
        <v>1532</v>
      </c>
      <c r="E611" s="1105" t="s">
        <v>1404</v>
      </c>
    </row>
    <row r="612" spans="1:5" x14ac:dyDescent="0.25">
      <c r="A612" s="1031">
        <v>611</v>
      </c>
      <c r="B612" s="1031" t="s">
        <v>1535</v>
      </c>
      <c r="C612" s="1109" t="s">
        <v>1572</v>
      </c>
      <c r="D612" s="1109" t="s">
        <v>1532</v>
      </c>
      <c r="E612" s="1105" t="s">
        <v>1405</v>
      </c>
    </row>
    <row r="613" spans="1:5" x14ac:dyDescent="0.25">
      <c r="A613" s="1031">
        <v>612</v>
      </c>
      <c r="B613" s="1031" t="s">
        <v>1535</v>
      </c>
      <c r="C613" s="1109" t="s">
        <v>1572</v>
      </c>
      <c r="D613" s="1109" t="s">
        <v>1532</v>
      </c>
      <c r="E613" s="1105" t="s">
        <v>1406</v>
      </c>
    </row>
    <row r="614" spans="1:5" x14ac:dyDescent="0.25">
      <c r="A614" s="1031">
        <v>613</v>
      </c>
      <c r="B614" s="1031" t="s">
        <v>1535</v>
      </c>
      <c r="C614" s="1109" t="s">
        <v>1573</v>
      </c>
      <c r="D614" s="1109" t="s">
        <v>1532</v>
      </c>
      <c r="E614" s="1105" t="s">
        <v>1404</v>
      </c>
    </row>
    <row r="615" spans="1:5" x14ac:dyDescent="0.25">
      <c r="A615" s="1031">
        <v>614</v>
      </c>
      <c r="B615" s="1031" t="s">
        <v>1535</v>
      </c>
      <c r="C615" s="1109" t="s">
        <v>1573</v>
      </c>
      <c r="D615" s="1109" t="s">
        <v>1532</v>
      </c>
      <c r="E615" s="1105" t="s">
        <v>1405</v>
      </c>
    </row>
    <row r="616" spans="1:5" x14ac:dyDescent="0.25">
      <c r="A616" s="1031">
        <v>615</v>
      </c>
      <c r="B616" s="1031" t="s">
        <v>1535</v>
      </c>
      <c r="C616" s="1109" t="s">
        <v>1573</v>
      </c>
      <c r="D616" s="1109" t="s">
        <v>1532</v>
      </c>
      <c r="E616" s="1105" t="s">
        <v>1406</v>
      </c>
    </row>
    <row r="617" spans="1:5" x14ac:dyDescent="0.25">
      <c r="A617" s="1031">
        <v>616</v>
      </c>
      <c r="B617" s="1031" t="s">
        <v>1535</v>
      </c>
      <c r="C617" s="1109" t="s">
        <v>1574</v>
      </c>
      <c r="D617" s="1109" t="s">
        <v>1532</v>
      </c>
      <c r="E617" s="1105" t="s">
        <v>1404</v>
      </c>
    </row>
    <row r="618" spans="1:5" x14ac:dyDescent="0.25">
      <c r="A618" s="1031">
        <v>617</v>
      </c>
      <c r="B618" s="1031" t="s">
        <v>1535</v>
      </c>
      <c r="C618" s="1109" t="s">
        <v>1574</v>
      </c>
      <c r="D618" s="1109" t="s">
        <v>1532</v>
      </c>
      <c r="E618" s="1105" t="s">
        <v>1405</v>
      </c>
    </row>
    <row r="619" spans="1:5" x14ac:dyDescent="0.25">
      <c r="A619" s="1031">
        <v>618</v>
      </c>
      <c r="B619" s="1031" t="s">
        <v>1535</v>
      </c>
      <c r="C619" s="1109" t="s">
        <v>1574</v>
      </c>
      <c r="D619" s="1109" t="s">
        <v>1532</v>
      </c>
      <c r="E619" s="1105" t="s">
        <v>1406</v>
      </c>
    </row>
    <row r="620" spans="1:5" x14ac:dyDescent="0.25">
      <c r="A620" s="1031">
        <v>619</v>
      </c>
      <c r="B620" s="1031" t="s">
        <v>1535</v>
      </c>
      <c r="C620" s="1109" t="s">
        <v>1569</v>
      </c>
      <c r="D620" s="1109" t="s">
        <v>1527</v>
      </c>
      <c r="E620" s="1105" t="s">
        <v>1527</v>
      </c>
    </row>
    <row r="621" spans="1:5" x14ac:dyDescent="0.25">
      <c r="A621" s="1031">
        <v>620</v>
      </c>
      <c r="B621" s="1031" t="s">
        <v>1535</v>
      </c>
      <c r="C621" s="1109" t="s">
        <v>1575</v>
      </c>
      <c r="D621" s="1109" t="s">
        <v>1532</v>
      </c>
      <c r="E621" s="1105" t="s">
        <v>1510</v>
      </c>
    </row>
    <row r="622" spans="1:5" x14ac:dyDescent="0.25">
      <c r="A622" s="1031">
        <v>621</v>
      </c>
      <c r="B622" s="1031" t="s">
        <v>1535</v>
      </c>
      <c r="C622" s="1109" t="s">
        <v>1575</v>
      </c>
      <c r="D622" s="1109" t="s">
        <v>1428</v>
      </c>
      <c r="E622" s="1105" t="s">
        <v>1724</v>
      </c>
    </row>
    <row r="623" spans="1:5" x14ac:dyDescent="0.25">
      <c r="A623" s="1031">
        <v>622</v>
      </c>
      <c r="B623" s="1031" t="s">
        <v>1535</v>
      </c>
      <c r="C623" s="1109" t="s">
        <v>1575</v>
      </c>
      <c r="D623" s="1109" t="s">
        <v>1532</v>
      </c>
      <c r="E623" s="1105" t="s">
        <v>1400</v>
      </c>
    </row>
    <row r="624" spans="1:5" x14ac:dyDescent="0.25">
      <c r="A624" s="1031">
        <v>623</v>
      </c>
      <c r="B624" s="1031" t="s">
        <v>1535</v>
      </c>
      <c r="C624" s="1109" t="s">
        <v>1575</v>
      </c>
      <c r="D624" s="1109" t="s">
        <v>1532</v>
      </c>
      <c r="E624" s="1105" t="s">
        <v>1397</v>
      </c>
    </row>
    <row r="625" spans="1:5" x14ac:dyDescent="0.25">
      <c r="A625" s="1031">
        <v>624</v>
      </c>
      <c r="B625" s="1031" t="s">
        <v>1535</v>
      </c>
      <c r="C625" s="1109" t="s">
        <v>1575</v>
      </c>
      <c r="D625" s="1109" t="s">
        <v>1532</v>
      </c>
      <c r="E625" s="1105" t="s">
        <v>1398</v>
      </c>
    </row>
    <row r="626" spans="1:5" x14ac:dyDescent="0.25">
      <c r="A626" s="1031">
        <v>625</v>
      </c>
      <c r="B626" s="1031" t="s">
        <v>1535</v>
      </c>
      <c r="C626" s="1109" t="s">
        <v>1575</v>
      </c>
      <c r="D626" s="1109" t="s">
        <v>1532</v>
      </c>
      <c r="E626" s="1105" t="s">
        <v>1414</v>
      </c>
    </row>
    <row r="627" spans="1:5" x14ac:dyDescent="0.25">
      <c r="A627" s="1031">
        <v>626</v>
      </c>
      <c r="B627" s="1031" t="s">
        <v>1535</v>
      </c>
      <c r="C627" s="1109" t="s">
        <v>1575</v>
      </c>
      <c r="D627" s="1109" t="s">
        <v>1532</v>
      </c>
      <c r="E627" s="1105" t="s">
        <v>1399</v>
      </c>
    </row>
    <row r="628" spans="1:5" x14ac:dyDescent="0.25">
      <c r="A628" s="1031">
        <v>627</v>
      </c>
      <c r="B628" s="1031" t="s">
        <v>1535</v>
      </c>
      <c r="C628" s="1109" t="s">
        <v>1575</v>
      </c>
      <c r="D628" s="1109" t="s">
        <v>1532</v>
      </c>
      <c r="E628" s="1105" t="s">
        <v>1505</v>
      </c>
    </row>
    <row r="629" spans="1:5" x14ac:dyDescent="0.25">
      <c r="A629" s="1031">
        <v>628</v>
      </c>
      <c r="B629" s="1031" t="s">
        <v>1535</v>
      </c>
      <c r="C629" s="1109" t="s">
        <v>1575</v>
      </c>
      <c r="D629" s="1109" t="s">
        <v>1532</v>
      </c>
      <c r="E629" s="1105" t="s">
        <v>1506</v>
      </c>
    </row>
    <row r="630" spans="1:5" x14ac:dyDescent="0.25">
      <c r="A630" s="1031">
        <v>629</v>
      </c>
      <c r="B630" s="1031" t="s">
        <v>1535</v>
      </c>
      <c r="C630" s="1109" t="s">
        <v>1575</v>
      </c>
      <c r="D630" s="1109" t="s">
        <v>1428</v>
      </c>
      <c r="E630" s="1105" t="s">
        <v>1507</v>
      </c>
    </row>
    <row r="631" spans="1:5" ht="30" x14ac:dyDescent="0.25">
      <c r="A631" s="1031">
        <v>630</v>
      </c>
      <c r="B631" s="1031" t="s">
        <v>1535</v>
      </c>
      <c r="C631" s="1109" t="s">
        <v>1575</v>
      </c>
      <c r="D631" s="1109" t="s">
        <v>1563</v>
      </c>
      <c r="E631" s="1105" t="s">
        <v>1402</v>
      </c>
    </row>
    <row r="632" spans="1:5" ht="30" x14ac:dyDescent="0.25">
      <c r="A632" s="1031">
        <v>631</v>
      </c>
      <c r="B632" s="1031" t="s">
        <v>1535</v>
      </c>
      <c r="C632" s="1109" t="s">
        <v>1575</v>
      </c>
      <c r="D632" s="1109" t="s">
        <v>1563</v>
      </c>
      <c r="E632" s="1105" t="s">
        <v>1403</v>
      </c>
    </row>
    <row r="633" spans="1:5" ht="30" x14ac:dyDescent="0.25">
      <c r="A633" s="1031">
        <v>632</v>
      </c>
      <c r="B633" s="1031" t="s">
        <v>1535</v>
      </c>
      <c r="C633" s="1109" t="s">
        <v>1575</v>
      </c>
      <c r="D633" s="1109" t="s">
        <v>1563</v>
      </c>
      <c r="E633" s="1105" t="s">
        <v>1514</v>
      </c>
    </row>
    <row r="634" spans="1:5" x14ac:dyDescent="0.25">
      <c r="A634" s="1031">
        <v>633</v>
      </c>
      <c r="B634" s="1031" t="s">
        <v>1535</v>
      </c>
      <c r="C634" s="1109" t="s">
        <v>1575</v>
      </c>
      <c r="D634" s="1109" t="s">
        <v>1428</v>
      </c>
      <c r="E634" s="1105" t="s">
        <v>1511</v>
      </c>
    </row>
    <row r="635" spans="1:5" x14ac:dyDescent="0.25">
      <c r="A635" s="1031">
        <v>634</v>
      </c>
      <c r="B635" s="1031" t="s">
        <v>1535</v>
      </c>
      <c r="C635" s="1109" t="s">
        <v>1575</v>
      </c>
      <c r="D635" s="1109" t="s">
        <v>1532</v>
      </c>
      <c r="E635" s="1105" t="s">
        <v>1525</v>
      </c>
    </row>
    <row r="636" spans="1:5" x14ac:dyDescent="0.25">
      <c r="A636" s="1031">
        <v>635</v>
      </c>
      <c r="B636" s="1031" t="s">
        <v>1535</v>
      </c>
      <c r="C636" s="1109" t="s">
        <v>1576</v>
      </c>
      <c r="D636" s="1109" t="s">
        <v>1532</v>
      </c>
      <c r="E636" s="1105" t="s">
        <v>1404</v>
      </c>
    </row>
    <row r="637" spans="1:5" x14ac:dyDescent="0.25">
      <c r="A637" s="1031">
        <v>636</v>
      </c>
      <c r="B637" s="1031" t="s">
        <v>1535</v>
      </c>
      <c r="C637" s="1109" t="s">
        <v>1576</v>
      </c>
      <c r="D637" s="1109" t="s">
        <v>1532</v>
      </c>
      <c r="E637" s="1105" t="s">
        <v>1405</v>
      </c>
    </row>
    <row r="638" spans="1:5" x14ac:dyDescent="0.25">
      <c r="A638" s="1031">
        <v>637</v>
      </c>
      <c r="B638" s="1031" t="s">
        <v>1535</v>
      </c>
      <c r="C638" s="1109" t="s">
        <v>1576</v>
      </c>
      <c r="D638" s="1109" t="s">
        <v>1532</v>
      </c>
      <c r="E638" s="1105" t="s">
        <v>1406</v>
      </c>
    </row>
    <row r="639" spans="1:5" x14ac:dyDescent="0.25">
      <c r="A639" s="1031">
        <v>638</v>
      </c>
      <c r="B639" s="1031" t="s">
        <v>1535</v>
      </c>
      <c r="C639" s="1109" t="s">
        <v>1577</v>
      </c>
      <c r="D639" s="1109" t="s">
        <v>1532</v>
      </c>
      <c r="E639" s="1105" t="s">
        <v>1404</v>
      </c>
    </row>
    <row r="640" spans="1:5" x14ac:dyDescent="0.25">
      <c r="A640" s="1031">
        <v>639</v>
      </c>
      <c r="B640" s="1031" t="s">
        <v>1535</v>
      </c>
      <c r="C640" s="1109" t="s">
        <v>1577</v>
      </c>
      <c r="D640" s="1109" t="s">
        <v>1532</v>
      </c>
      <c r="E640" s="1105" t="s">
        <v>1405</v>
      </c>
    </row>
    <row r="641" spans="1:5" x14ac:dyDescent="0.25">
      <c r="A641" s="1031">
        <v>640</v>
      </c>
      <c r="B641" s="1031" t="s">
        <v>1535</v>
      </c>
      <c r="C641" s="1109" t="s">
        <v>1577</v>
      </c>
      <c r="D641" s="1109" t="s">
        <v>1532</v>
      </c>
      <c r="E641" s="1105" t="s">
        <v>1406</v>
      </c>
    </row>
    <row r="642" spans="1:5" x14ac:dyDescent="0.25">
      <c r="A642" s="1031">
        <v>641</v>
      </c>
      <c r="B642" s="1031" t="s">
        <v>1535</v>
      </c>
      <c r="C642" s="1109" t="s">
        <v>1578</v>
      </c>
      <c r="D642" s="1109" t="s">
        <v>1532</v>
      </c>
      <c r="E642" s="1105" t="s">
        <v>1404</v>
      </c>
    </row>
    <row r="643" spans="1:5" x14ac:dyDescent="0.25">
      <c r="A643" s="1031">
        <v>642</v>
      </c>
      <c r="B643" s="1031" t="s">
        <v>1535</v>
      </c>
      <c r="C643" s="1109" t="s">
        <v>1578</v>
      </c>
      <c r="D643" s="1109" t="s">
        <v>1532</v>
      </c>
      <c r="E643" s="1105" t="s">
        <v>1405</v>
      </c>
    </row>
    <row r="644" spans="1:5" x14ac:dyDescent="0.25">
      <c r="A644" s="1031">
        <v>643</v>
      </c>
      <c r="B644" s="1031" t="s">
        <v>1535</v>
      </c>
      <c r="C644" s="1109" t="s">
        <v>1578</v>
      </c>
      <c r="D644" s="1109" t="s">
        <v>1532</v>
      </c>
      <c r="E644" s="1105" t="s">
        <v>1406</v>
      </c>
    </row>
    <row r="645" spans="1:5" x14ac:dyDescent="0.25">
      <c r="A645" s="1031">
        <v>644</v>
      </c>
      <c r="B645" s="1031" t="s">
        <v>1535</v>
      </c>
      <c r="C645" s="1109" t="s">
        <v>1579</v>
      </c>
      <c r="D645" s="1109" t="s">
        <v>1532</v>
      </c>
      <c r="E645" s="1105" t="s">
        <v>1404</v>
      </c>
    </row>
    <row r="646" spans="1:5" x14ac:dyDescent="0.25">
      <c r="A646" s="1031">
        <v>645</v>
      </c>
      <c r="B646" s="1031" t="s">
        <v>1535</v>
      </c>
      <c r="C646" s="1109" t="s">
        <v>1579</v>
      </c>
      <c r="D646" s="1109" t="s">
        <v>1532</v>
      </c>
      <c r="E646" s="1105" t="s">
        <v>1405</v>
      </c>
    </row>
    <row r="647" spans="1:5" x14ac:dyDescent="0.25">
      <c r="A647" s="1031">
        <v>646</v>
      </c>
      <c r="B647" s="1031" t="s">
        <v>1535</v>
      </c>
      <c r="C647" s="1109" t="s">
        <v>1579</v>
      </c>
      <c r="D647" s="1109" t="s">
        <v>1532</v>
      </c>
      <c r="E647" s="1105" t="s">
        <v>1406</v>
      </c>
    </row>
    <row r="648" spans="1:5" x14ac:dyDescent="0.25">
      <c r="A648" s="1031">
        <v>647</v>
      </c>
      <c r="B648" s="1031" t="s">
        <v>1535</v>
      </c>
      <c r="C648" s="1109" t="s">
        <v>1580</v>
      </c>
      <c r="D648" s="1109" t="s">
        <v>1532</v>
      </c>
      <c r="E648" s="1105" t="s">
        <v>1404</v>
      </c>
    </row>
    <row r="649" spans="1:5" x14ac:dyDescent="0.25">
      <c r="A649" s="1031">
        <v>648</v>
      </c>
      <c r="B649" s="1031" t="s">
        <v>1535</v>
      </c>
      <c r="C649" s="1109" t="s">
        <v>1580</v>
      </c>
      <c r="D649" s="1109" t="s">
        <v>1532</v>
      </c>
      <c r="E649" s="1105" t="s">
        <v>1405</v>
      </c>
    </row>
    <row r="650" spans="1:5" x14ac:dyDescent="0.25">
      <c r="A650" s="1031">
        <v>649</v>
      </c>
      <c r="B650" s="1031" t="s">
        <v>1535</v>
      </c>
      <c r="C650" s="1109" t="s">
        <v>1580</v>
      </c>
      <c r="D650" s="1109" t="s">
        <v>1532</v>
      </c>
      <c r="E650" s="1105" t="s">
        <v>1406</v>
      </c>
    </row>
    <row r="651" spans="1:5" x14ac:dyDescent="0.25">
      <c r="A651" s="1031">
        <v>650</v>
      </c>
      <c r="B651" s="1031" t="s">
        <v>1535</v>
      </c>
      <c r="C651" s="1109" t="s">
        <v>1575</v>
      </c>
      <c r="D651" s="1109" t="s">
        <v>1527</v>
      </c>
      <c r="E651" s="1105" t="s">
        <v>1527</v>
      </c>
    </row>
    <row r="652" spans="1:5" x14ac:dyDescent="0.25">
      <c r="A652" s="1031">
        <v>651</v>
      </c>
      <c r="B652" s="1031" t="s">
        <v>1535</v>
      </c>
      <c r="C652" s="1109" t="s">
        <v>1581</v>
      </c>
      <c r="D652" s="1109" t="s">
        <v>1541</v>
      </c>
      <c r="E652" s="1105" t="s">
        <v>1510</v>
      </c>
    </row>
    <row r="653" spans="1:5" x14ac:dyDescent="0.25">
      <c r="A653" s="1031">
        <v>652</v>
      </c>
      <c r="B653" s="1031" t="s">
        <v>1535</v>
      </c>
      <c r="C653" s="1109" t="s">
        <v>1581</v>
      </c>
      <c r="D653" s="1109" t="s">
        <v>1428</v>
      </c>
      <c r="E653" s="1105" t="s">
        <v>1724</v>
      </c>
    </row>
    <row r="654" spans="1:5" x14ac:dyDescent="0.25">
      <c r="A654" s="1031">
        <v>653</v>
      </c>
      <c r="B654" s="1031" t="s">
        <v>1535</v>
      </c>
      <c r="C654" s="1109" t="s">
        <v>1581</v>
      </c>
      <c r="D654" s="1109" t="s">
        <v>1541</v>
      </c>
      <c r="E654" s="1105" t="s">
        <v>1400</v>
      </c>
    </row>
    <row r="655" spans="1:5" x14ac:dyDescent="0.25">
      <c r="A655" s="1031">
        <v>654</v>
      </c>
      <c r="B655" s="1031" t="s">
        <v>1535</v>
      </c>
      <c r="C655" s="1109" t="s">
        <v>1581</v>
      </c>
      <c r="D655" s="1109" t="s">
        <v>1541</v>
      </c>
      <c r="E655" s="1105" t="s">
        <v>1397</v>
      </c>
    </row>
    <row r="656" spans="1:5" x14ac:dyDescent="0.25">
      <c r="A656" s="1031">
        <v>655</v>
      </c>
      <c r="B656" s="1031" t="s">
        <v>1535</v>
      </c>
      <c r="C656" s="1109" t="s">
        <v>1581</v>
      </c>
      <c r="D656" s="1109" t="s">
        <v>1541</v>
      </c>
      <c r="E656" s="1105" t="s">
        <v>1398</v>
      </c>
    </row>
    <row r="657" spans="1:5" x14ac:dyDescent="0.25">
      <c r="A657" s="1031">
        <v>656</v>
      </c>
      <c r="B657" s="1031" t="s">
        <v>1535</v>
      </c>
      <c r="C657" s="1109" t="s">
        <v>1581</v>
      </c>
      <c r="D657" s="1109" t="s">
        <v>1541</v>
      </c>
      <c r="E657" s="1105" t="s">
        <v>1414</v>
      </c>
    </row>
    <row r="658" spans="1:5" x14ac:dyDescent="0.25">
      <c r="A658" s="1031">
        <v>657</v>
      </c>
      <c r="B658" s="1031" t="s">
        <v>1535</v>
      </c>
      <c r="C658" s="1109" t="s">
        <v>1581</v>
      </c>
      <c r="D658" s="1109" t="s">
        <v>1541</v>
      </c>
      <c r="E658" s="1105" t="s">
        <v>1399</v>
      </c>
    </row>
    <row r="659" spans="1:5" x14ac:dyDescent="0.25">
      <c r="A659" s="1031">
        <v>658</v>
      </c>
      <c r="B659" s="1031" t="s">
        <v>1535</v>
      </c>
      <c r="C659" s="1109" t="s">
        <v>1581</v>
      </c>
      <c r="D659" s="1109" t="s">
        <v>1541</v>
      </c>
      <c r="E659" s="1105" t="s">
        <v>1505</v>
      </c>
    </row>
    <row r="660" spans="1:5" x14ac:dyDescent="0.25">
      <c r="A660" s="1031">
        <v>659</v>
      </c>
      <c r="B660" s="1031" t="s">
        <v>1535</v>
      </c>
      <c r="C660" s="1109" t="s">
        <v>1581</v>
      </c>
      <c r="D660" s="1109" t="s">
        <v>1541</v>
      </c>
      <c r="E660" s="1105" t="s">
        <v>1506</v>
      </c>
    </row>
    <row r="661" spans="1:5" x14ac:dyDescent="0.25">
      <c r="A661" s="1031">
        <v>660</v>
      </c>
      <c r="B661" s="1031" t="s">
        <v>1535</v>
      </c>
      <c r="C661" s="1109" t="s">
        <v>1581</v>
      </c>
      <c r="D661" s="1109" t="s">
        <v>1428</v>
      </c>
      <c r="E661" s="1105" t="s">
        <v>1507</v>
      </c>
    </row>
    <row r="662" spans="1:5" ht="30" x14ac:dyDescent="0.25">
      <c r="A662" s="1031">
        <v>661</v>
      </c>
      <c r="B662" s="1031" t="s">
        <v>1535</v>
      </c>
      <c r="C662" s="1109" t="s">
        <v>1581</v>
      </c>
      <c r="D662" s="1109" t="s">
        <v>1563</v>
      </c>
      <c r="E662" s="1105" t="s">
        <v>1402</v>
      </c>
    </row>
    <row r="663" spans="1:5" ht="30" x14ac:dyDescent="0.25">
      <c r="A663" s="1031">
        <v>662</v>
      </c>
      <c r="B663" s="1031" t="s">
        <v>1535</v>
      </c>
      <c r="C663" s="1109" t="s">
        <v>1581</v>
      </c>
      <c r="D663" s="1109" t="s">
        <v>1563</v>
      </c>
      <c r="E663" s="1105" t="s">
        <v>1403</v>
      </c>
    </row>
    <row r="664" spans="1:5" ht="30" x14ac:dyDescent="0.25">
      <c r="A664" s="1031">
        <v>663</v>
      </c>
      <c r="B664" s="1031" t="s">
        <v>1535</v>
      </c>
      <c r="C664" s="1109" t="s">
        <v>1581</v>
      </c>
      <c r="D664" s="1109" t="s">
        <v>1563</v>
      </c>
      <c r="E664" s="1105" t="s">
        <v>1514</v>
      </c>
    </row>
    <row r="665" spans="1:5" x14ac:dyDescent="0.25">
      <c r="A665" s="1031">
        <v>664</v>
      </c>
      <c r="B665" s="1031" t="s">
        <v>1535</v>
      </c>
      <c r="C665" s="1109" t="s">
        <v>1581</v>
      </c>
      <c r="D665" s="1109" t="s">
        <v>1428</v>
      </c>
      <c r="E665" s="1105" t="s">
        <v>1511</v>
      </c>
    </row>
    <row r="666" spans="1:5" x14ac:dyDescent="0.25">
      <c r="A666" s="1031">
        <v>665</v>
      </c>
      <c r="B666" s="1031" t="s">
        <v>1535</v>
      </c>
      <c r="C666" s="1109" t="s">
        <v>1581</v>
      </c>
      <c r="D666" s="1109" t="s">
        <v>1541</v>
      </c>
      <c r="E666" s="1105" t="s">
        <v>1525</v>
      </c>
    </row>
    <row r="667" spans="1:5" x14ac:dyDescent="0.25">
      <c r="A667" s="1031">
        <v>666</v>
      </c>
      <c r="B667" s="1031" t="s">
        <v>1535</v>
      </c>
      <c r="C667" s="1109" t="s">
        <v>1582</v>
      </c>
      <c r="D667" s="1109" t="s">
        <v>1541</v>
      </c>
      <c r="E667" s="1105" t="s">
        <v>1404</v>
      </c>
    </row>
    <row r="668" spans="1:5" x14ac:dyDescent="0.25">
      <c r="A668" s="1031">
        <v>667</v>
      </c>
      <c r="B668" s="1031" t="s">
        <v>1535</v>
      </c>
      <c r="C668" s="1109" t="s">
        <v>1582</v>
      </c>
      <c r="D668" s="1109" t="s">
        <v>1541</v>
      </c>
      <c r="E668" s="1105" t="s">
        <v>1405</v>
      </c>
    </row>
    <row r="669" spans="1:5" x14ac:dyDescent="0.25">
      <c r="A669" s="1031">
        <v>668</v>
      </c>
      <c r="B669" s="1031" t="s">
        <v>1535</v>
      </c>
      <c r="C669" s="1109" t="s">
        <v>1582</v>
      </c>
      <c r="D669" s="1109" t="s">
        <v>1541</v>
      </c>
      <c r="E669" s="1105" t="s">
        <v>1406</v>
      </c>
    </row>
    <row r="670" spans="1:5" x14ac:dyDescent="0.25">
      <c r="A670" s="1031">
        <v>669</v>
      </c>
      <c r="B670" s="1031" t="s">
        <v>1535</v>
      </c>
      <c r="C670" s="1109" t="s">
        <v>1583</v>
      </c>
      <c r="D670" s="1109" t="s">
        <v>1541</v>
      </c>
      <c r="E670" s="1105" t="s">
        <v>1510</v>
      </c>
    </row>
    <row r="671" spans="1:5" x14ac:dyDescent="0.25">
      <c r="A671" s="1031">
        <v>670</v>
      </c>
      <c r="B671" s="1031" t="s">
        <v>1535</v>
      </c>
      <c r="C671" s="1109" t="s">
        <v>1583</v>
      </c>
      <c r="D671" s="1109" t="s">
        <v>1428</v>
      </c>
      <c r="E671" s="1105" t="s">
        <v>1724</v>
      </c>
    </row>
    <row r="672" spans="1:5" x14ac:dyDescent="0.25">
      <c r="A672" s="1031">
        <v>671</v>
      </c>
      <c r="B672" s="1031" t="s">
        <v>1535</v>
      </c>
      <c r="C672" s="1109" t="s">
        <v>1583</v>
      </c>
      <c r="D672" s="1109" t="s">
        <v>1541</v>
      </c>
      <c r="E672" s="1105" t="s">
        <v>1400</v>
      </c>
    </row>
    <row r="673" spans="1:5" x14ac:dyDescent="0.25">
      <c r="A673" s="1031">
        <v>672</v>
      </c>
      <c r="B673" s="1031" t="s">
        <v>1535</v>
      </c>
      <c r="C673" s="1109" t="s">
        <v>1583</v>
      </c>
      <c r="D673" s="1109" t="s">
        <v>1541</v>
      </c>
      <c r="E673" s="1105" t="s">
        <v>1397</v>
      </c>
    </row>
    <row r="674" spans="1:5" x14ac:dyDescent="0.25">
      <c r="A674" s="1031">
        <v>673</v>
      </c>
      <c r="B674" s="1031" t="s">
        <v>1535</v>
      </c>
      <c r="C674" s="1109" t="s">
        <v>1583</v>
      </c>
      <c r="D674" s="1109" t="s">
        <v>1541</v>
      </c>
      <c r="E674" s="1105" t="s">
        <v>1398</v>
      </c>
    </row>
    <row r="675" spans="1:5" x14ac:dyDescent="0.25">
      <c r="A675" s="1031">
        <v>674</v>
      </c>
      <c r="B675" s="1031" t="s">
        <v>1535</v>
      </c>
      <c r="C675" s="1109" t="s">
        <v>1583</v>
      </c>
      <c r="D675" s="1109" t="s">
        <v>1541</v>
      </c>
      <c r="E675" s="1105" t="s">
        <v>1414</v>
      </c>
    </row>
    <row r="676" spans="1:5" x14ac:dyDescent="0.25">
      <c r="A676" s="1031">
        <v>675</v>
      </c>
      <c r="B676" s="1031" t="s">
        <v>1535</v>
      </c>
      <c r="C676" s="1109" t="s">
        <v>1583</v>
      </c>
      <c r="D676" s="1109" t="s">
        <v>1541</v>
      </c>
      <c r="E676" s="1105" t="s">
        <v>1399</v>
      </c>
    </row>
    <row r="677" spans="1:5" x14ac:dyDescent="0.25">
      <c r="A677" s="1031">
        <v>676</v>
      </c>
      <c r="B677" s="1031" t="s">
        <v>1535</v>
      </c>
      <c r="C677" s="1109" t="s">
        <v>1583</v>
      </c>
      <c r="D677" s="1109" t="s">
        <v>1541</v>
      </c>
      <c r="E677" s="1105" t="s">
        <v>1505</v>
      </c>
    </row>
    <row r="678" spans="1:5" x14ac:dyDescent="0.25">
      <c r="A678" s="1031">
        <v>677</v>
      </c>
      <c r="B678" s="1031" t="s">
        <v>1535</v>
      </c>
      <c r="C678" s="1109" t="s">
        <v>1583</v>
      </c>
      <c r="D678" s="1109" t="s">
        <v>1541</v>
      </c>
      <c r="E678" s="1105" t="s">
        <v>1506</v>
      </c>
    </row>
    <row r="679" spans="1:5" x14ac:dyDescent="0.25">
      <c r="A679" s="1031">
        <v>678</v>
      </c>
      <c r="B679" s="1031" t="s">
        <v>1535</v>
      </c>
      <c r="C679" s="1109" t="s">
        <v>1583</v>
      </c>
      <c r="D679" s="1109" t="s">
        <v>1428</v>
      </c>
      <c r="E679" s="1105" t="s">
        <v>1507</v>
      </c>
    </row>
    <row r="680" spans="1:5" ht="30" x14ac:dyDescent="0.25">
      <c r="A680" s="1031">
        <v>679</v>
      </c>
      <c r="B680" s="1031" t="s">
        <v>1535</v>
      </c>
      <c r="C680" s="1109" t="s">
        <v>1583</v>
      </c>
      <c r="D680" s="1109" t="s">
        <v>1563</v>
      </c>
      <c r="E680" s="1105" t="s">
        <v>1402</v>
      </c>
    </row>
    <row r="681" spans="1:5" ht="30" x14ac:dyDescent="0.25">
      <c r="A681" s="1031">
        <v>680</v>
      </c>
      <c r="B681" s="1031" t="s">
        <v>1535</v>
      </c>
      <c r="C681" s="1109" t="s">
        <v>1583</v>
      </c>
      <c r="D681" s="1109" t="s">
        <v>1563</v>
      </c>
      <c r="E681" s="1105" t="s">
        <v>1403</v>
      </c>
    </row>
    <row r="682" spans="1:5" ht="30" x14ac:dyDescent="0.25">
      <c r="A682" s="1031">
        <v>681</v>
      </c>
      <c r="B682" s="1031" t="s">
        <v>1535</v>
      </c>
      <c r="C682" s="1109" t="s">
        <v>1583</v>
      </c>
      <c r="D682" s="1109" t="s">
        <v>1563</v>
      </c>
      <c r="E682" s="1105" t="s">
        <v>1514</v>
      </c>
    </row>
    <row r="683" spans="1:5" x14ac:dyDescent="0.25">
      <c r="A683" s="1031">
        <v>682</v>
      </c>
      <c r="B683" s="1031" t="s">
        <v>1535</v>
      </c>
      <c r="C683" s="1109" t="s">
        <v>1583</v>
      </c>
      <c r="D683" s="1109" t="s">
        <v>1428</v>
      </c>
      <c r="E683" s="1105" t="s">
        <v>1511</v>
      </c>
    </row>
    <row r="684" spans="1:5" x14ac:dyDescent="0.25">
      <c r="A684" s="1031">
        <v>683</v>
      </c>
      <c r="B684" s="1031" t="s">
        <v>1535</v>
      </c>
      <c r="C684" s="1109" t="s">
        <v>1583</v>
      </c>
      <c r="D684" s="1109" t="s">
        <v>1541</v>
      </c>
      <c r="E684" s="1105" t="s">
        <v>1525</v>
      </c>
    </row>
    <row r="685" spans="1:5" x14ac:dyDescent="0.25">
      <c r="A685" s="1031">
        <v>684</v>
      </c>
      <c r="B685" s="1031" t="s">
        <v>1535</v>
      </c>
      <c r="C685" s="1109" t="s">
        <v>1584</v>
      </c>
      <c r="D685" s="1109" t="s">
        <v>1541</v>
      </c>
      <c r="E685" s="1105" t="s">
        <v>1404</v>
      </c>
    </row>
    <row r="686" spans="1:5" x14ac:dyDescent="0.25">
      <c r="A686" s="1031">
        <v>685</v>
      </c>
      <c r="B686" s="1031" t="s">
        <v>1535</v>
      </c>
      <c r="C686" s="1109" t="s">
        <v>1584</v>
      </c>
      <c r="D686" s="1109" t="s">
        <v>1541</v>
      </c>
      <c r="E686" s="1105" t="s">
        <v>1405</v>
      </c>
    </row>
    <row r="687" spans="1:5" x14ac:dyDescent="0.25">
      <c r="A687" s="1031">
        <v>686</v>
      </c>
      <c r="B687" s="1031" t="s">
        <v>1535</v>
      </c>
      <c r="C687" s="1109" t="s">
        <v>1584</v>
      </c>
      <c r="D687" s="1109" t="s">
        <v>1541</v>
      </c>
      <c r="E687" s="1105" t="s">
        <v>1406</v>
      </c>
    </row>
    <row r="688" spans="1:5" x14ac:dyDescent="0.25">
      <c r="A688" s="1031">
        <v>687</v>
      </c>
      <c r="B688" s="1031" t="s">
        <v>1535</v>
      </c>
      <c r="C688" s="1109" t="s">
        <v>1585</v>
      </c>
      <c r="D688" s="1109" t="s">
        <v>1542</v>
      </c>
      <c r="E688" s="1105" t="s">
        <v>1510</v>
      </c>
    </row>
    <row r="689" spans="1:5" x14ac:dyDescent="0.25">
      <c r="A689" s="1031">
        <v>688</v>
      </c>
      <c r="B689" s="1031" t="s">
        <v>1535</v>
      </c>
      <c r="C689" s="1109" t="s">
        <v>1585</v>
      </c>
      <c r="D689" s="1109" t="s">
        <v>1428</v>
      </c>
      <c r="E689" s="1105" t="s">
        <v>1724</v>
      </c>
    </row>
    <row r="690" spans="1:5" x14ac:dyDescent="0.25">
      <c r="A690" s="1031">
        <v>689</v>
      </c>
      <c r="B690" s="1031" t="s">
        <v>1535</v>
      </c>
      <c r="C690" s="1109" t="s">
        <v>1585</v>
      </c>
      <c r="D690" s="1109" t="s">
        <v>1542</v>
      </c>
      <c r="E690" s="1105" t="s">
        <v>1400</v>
      </c>
    </row>
    <row r="691" spans="1:5" x14ac:dyDescent="0.25">
      <c r="A691" s="1031">
        <v>690</v>
      </c>
      <c r="B691" s="1031" t="s">
        <v>1535</v>
      </c>
      <c r="C691" s="1109" t="s">
        <v>1585</v>
      </c>
      <c r="D691" s="1109" t="s">
        <v>1542</v>
      </c>
      <c r="E691" s="1105" t="s">
        <v>1397</v>
      </c>
    </row>
    <row r="692" spans="1:5" x14ac:dyDescent="0.25">
      <c r="A692" s="1031">
        <v>691</v>
      </c>
      <c r="B692" s="1031" t="s">
        <v>1535</v>
      </c>
      <c r="C692" s="1109" t="s">
        <v>1585</v>
      </c>
      <c r="D692" s="1109" t="s">
        <v>1542</v>
      </c>
      <c r="E692" s="1105" t="s">
        <v>1398</v>
      </c>
    </row>
    <row r="693" spans="1:5" x14ac:dyDescent="0.25">
      <c r="A693" s="1031">
        <v>692</v>
      </c>
      <c r="B693" s="1031" t="s">
        <v>1535</v>
      </c>
      <c r="C693" s="1109" t="s">
        <v>1585</v>
      </c>
      <c r="D693" s="1109" t="s">
        <v>1542</v>
      </c>
      <c r="E693" s="1105" t="s">
        <v>1414</v>
      </c>
    </row>
    <row r="694" spans="1:5" x14ac:dyDescent="0.25">
      <c r="A694" s="1031">
        <v>693</v>
      </c>
      <c r="B694" s="1031" t="s">
        <v>1535</v>
      </c>
      <c r="C694" s="1109" t="s">
        <v>1585</v>
      </c>
      <c r="D694" s="1109" t="s">
        <v>1542</v>
      </c>
      <c r="E694" s="1105" t="s">
        <v>1399</v>
      </c>
    </row>
    <row r="695" spans="1:5" x14ac:dyDescent="0.25">
      <c r="A695" s="1031">
        <v>694</v>
      </c>
      <c r="B695" s="1031" t="s">
        <v>1535</v>
      </c>
      <c r="C695" s="1109" t="s">
        <v>1585</v>
      </c>
      <c r="D695" s="1109" t="s">
        <v>1542</v>
      </c>
      <c r="E695" s="1105" t="s">
        <v>1505</v>
      </c>
    </row>
    <row r="696" spans="1:5" x14ac:dyDescent="0.25">
      <c r="A696" s="1031">
        <v>695</v>
      </c>
      <c r="B696" s="1031" t="s">
        <v>1535</v>
      </c>
      <c r="C696" s="1109" t="s">
        <v>1585</v>
      </c>
      <c r="D696" s="1109" t="s">
        <v>1542</v>
      </c>
      <c r="E696" s="1105" t="s">
        <v>1506</v>
      </c>
    </row>
    <row r="697" spans="1:5" x14ac:dyDescent="0.25">
      <c r="A697" s="1031">
        <v>696</v>
      </c>
      <c r="B697" s="1031" t="s">
        <v>1535</v>
      </c>
      <c r="C697" s="1109" t="s">
        <v>1585</v>
      </c>
      <c r="D697" s="1109" t="s">
        <v>1428</v>
      </c>
      <c r="E697" s="1105" t="s">
        <v>1507</v>
      </c>
    </row>
    <row r="698" spans="1:5" ht="30" x14ac:dyDescent="0.25">
      <c r="A698" s="1031">
        <v>697</v>
      </c>
      <c r="B698" s="1031" t="s">
        <v>1535</v>
      </c>
      <c r="C698" s="1109" t="s">
        <v>1585</v>
      </c>
      <c r="D698" s="1109" t="s">
        <v>1563</v>
      </c>
      <c r="E698" s="1105" t="s">
        <v>1402</v>
      </c>
    </row>
    <row r="699" spans="1:5" ht="30" x14ac:dyDescent="0.25">
      <c r="A699" s="1031">
        <v>698</v>
      </c>
      <c r="B699" s="1031" t="s">
        <v>1535</v>
      </c>
      <c r="C699" s="1109" t="s">
        <v>1585</v>
      </c>
      <c r="D699" s="1109" t="s">
        <v>1563</v>
      </c>
      <c r="E699" s="1105" t="s">
        <v>1403</v>
      </c>
    </row>
    <row r="700" spans="1:5" ht="30" x14ac:dyDescent="0.25">
      <c r="A700" s="1031">
        <v>699</v>
      </c>
      <c r="B700" s="1031" t="s">
        <v>1535</v>
      </c>
      <c r="C700" s="1109" t="s">
        <v>1585</v>
      </c>
      <c r="D700" s="1109" t="s">
        <v>1563</v>
      </c>
      <c r="E700" s="1105" t="s">
        <v>1514</v>
      </c>
    </row>
    <row r="701" spans="1:5" x14ac:dyDescent="0.25">
      <c r="A701" s="1031">
        <v>700</v>
      </c>
      <c r="B701" s="1031" t="s">
        <v>1535</v>
      </c>
      <c r="C701" s="1109" t="s">
        <v>1585</v>
      </c>
      <c r="D701" s="1109" t="s">
        <v>1428</v>
      </c>
      <c r="E701" s="1105" t="s">
        <v>1511</v>
      </c>
    </row>
    <row r="702" spans="1:5" x14ac:dyDescent="0.25">
      <c r="A702" s="1031">
        <v>701</v>
      </c>
      <c r="B702" s="1031" t="s">
        <v>1535</v>
      </c>
      <c r="C702" s="1109" t="s">
        <v>1585</v>
      </c>
      <c r="D702" s="1109" t="s">
        <v>1542</v>
      </c>
      <c r="E702" s="1105" t="s">
        <v>1525</v>
      </c>
    </row>
    <row r="703" spans="1:5" x14ac:dyDescent="0.25">
      <c r="A703" s="1031">
        <v>702</v>
      </c>
      <c r="B703" s="1031" t="s">
        <v>1535</v>
      </c>
      <c r="C703" s="1109" t="s">
        <v>1586</v>
      </c>
      <c r="D703" s="1109" t="s">
        <v>1542</v>
      </c>
      <c r="E703" s="1105" t="s">
        <v>1404</v>
      </c>
    </row>
    <row r="704" spans="1:5" x14ac:dyDescent="0.25">
      <c r="A704" s="1031">
        <v>703</v>
      </c>
      <c r="B704" s="1031" t="s">
        <v>1535</v>
      </c>
      <c r="C704" s="1109" t="s">
        <v>1586</v>
      </c>
      <c r="D704" s="1109" t="s">
        <v>1542</v>
      </c>
      <c r="E704" s="1105" t="s">
        <v>1405</v>
      </c>
    </row>
    <row r="705" spans="1:5" x14ac:dyDescent="0.25">
      <c r="A705" s="1031">
        <v>704</v>
      </c>
      <c r="B705" s="1031" t="s">
        <v>1535</v>
      </c>
      <c r="C705" s="1109" t="s">
        <v>1586</v>
      </c>
      <c r="D705" s="1109" t="s">
        <v>1542</v>
      </c>
      <c r="E705" s="1105" t="s">
        <v>1406</v>
      </c>
    </row>
    <row r="706" spans="1:5" x14ac:dyDescent="0.25">
      <c r="A706" s="1031">
        <v>705</v>
      </c>
      <c r="B706" s="1031" t="s">
        <v>1535</v>
      </c>
      <c r="C706" s="1109" t="s">
        <v>1587</v>
      </c>
      <c r="D706" s="1109" t="s">
        <v>1542</v>
      </c>
      <c r="E706" s="1105" t="s">
        <v>1404</v>
      </c>
    </row>
    <row r="707" spans="1:5" x14ac:dyDescent="0.25">
      <c r="A707" s="1031">
        <v>706</v>
      </c>
      <c r="B707" s="1031" t="s">
        <v>1535</v>
      </c>
      <c r="C707" s="1109" t="s">
        <v>1587</v>
      </c>
      <c r="D707" s="1109" t="s">
        <v>1542</v>
      </c>
      <c r="E707" s="1105" t="s">
        <v>1405</v>
      </c>
    </row>
    <row r="708" spans="1:5" x14ac:dyDescent="0.25">
      <c r="A708" s="1031">
        <v>707</v>
      </c>
      <c r="B708" s="1031" t="s">
        <v>1535</v>
      </c>
      <c r="C708" s="1109" t="s">
        <v>1587</v>
      </c>
      <c r="D708" s="1109" t="s">
        <v>1542</v>
      </c>
      <c r="E708" s="1105" t="s">
        <v>1406</v>
      </c>
    </row>
    <row r="709" spans="1:5" x14ac:dyDescent="0.25">
      <c r="A709" s="1031">
        <v>708</v>
      </c>
      <c r="B709" s="1031" t="s">
        <v>1535</v>
      </c>
      <c r="C709" s="1109" t="s">
        <v>1588</v>
      </c>
      <c r="D709" s="1109" t="s">
        <v>1542</v>
      </c>
      <c r="E709" s="1105" t="s">
        <v>1404</v>
      </c>
    </row>
    <row r="710" spans="1:5" x14ac:dyDescent="0.25">
      <c r="A710" s="1031">
        <v>709</v>
      </c>
      <c r="B710" s="1031" t="s">
        <v>1535</v>
      </c>
      <c r="C710" s="1109" t="s">
        <v>1588</v>
      </c>
      <c r="D710" s="1109" t="s">
        <v>1542</v>
      </c>
      <c r="E710" s="1105" t="s">
        <v>1405</v>
      </c>
    </row>
    <row r="711" spans="1:5" x14ac:dyDescent="0.25">
      <c r="A711" s="1031">
        <v>710</v>
      </c>
      <c r="B711" s="1031" t="s">
        <v>1535</v>
      </c>
      <c r="C711" s="1109" t="s">
        <v>1588</v>
      </c>
      <c r="D711" s="1109" t="s">
        <v>1542</v>
      </c>
      <c r="E711" s="1105" t="s">
        <v>1406</v>
      </c>
    </row>
    <row r="712" spans="1:5" x14ac:dyDescent="0.25">
      <c r="A712" s="1031">
        <v>711</v>
      </c>
      <c r="B712" s="1031" t="s">
        <v>1535</v>
      </c>
      <c r="C712" s="1109" t="s">
        <v>1589</v>
      </c>
      <c r="D712" s="1109" t="s">
        <v>1542</v>
      </c>
      <c r="E712" s="1105" t="s">
        <v>1404</v>
      </c>
    </row>
    <row r="713" spans="1:5" x14ac:dyDescent="0.25">
      <c r="A713" s="1031">
        <v>712</v>
      </c>
      <c r="B713" s="1031" t="s">
        <v>1535</v>
      </c>
      <c r="C713" s="1109" t="s">
        <v>1589</v>
      </c>
      <c r="D713" s="1109" t="s">
        <v>1542</v>
      </c>
      <c r="E713" s="1105" t="s">
        <v>1405</v>
      </c>
    </row>
    <row r="714" spans="1:5" x14ac:dyDescent="0.25">
      <c r="A714" s="1031">
        <v>713</v>
      </c>
      <c r="B714" s="1031" t="s">
        <v>1535</v>
      </c>
      <c r="C714" s="1109" t="s">
        <v>1589</v>
      </c>
      <c r="D714" s="1109" t="s">
        <v>1542</v>
      </c>
      <c r="E714" s="1105" t="s">
        <v>1406</v>
      </c>
    </row>
    <row r="715" spans="1:5" x14ac:dyDescent="0.25">
      <c r="A715" s="1031">
        <v>714</v>
      </c>
      <c r="B715" s="1031" t="s">
        <v>1535</v>
      </c>
      <c r="C715" s="1109" t="s">
        <v>1590</v>
      </c>
      <c r="D715" s="1109" t="s">
        <v>1542</v>
      </c>
      <c r="E715" s="1105" t="s">
        <v>1404</v>
      </c>
    </row>
    <row r="716" spans="1:5" x14ac:dyDescent="0.25">
      <c r="A716" s="1031">
        <v>715</v>
      </c>
      <c r="B716" s="1031" t="s">
        <v>1535</v>
      </c>
      <c r="C716" s="1109" t="s">
        <v>1590</v>
      </c>
      <c r="D716" s="1109" t="s">
        <v>1542</v>
      </c>
      <c r="E716" s="1105" t="s">
        <v>1405</v>
      </c>
    </row>
    <row r="717" spans="1:5" x14ac:dyDescent="0.25">
      <c r="A717" s="1031">
        <v>716</v>
      </c>
      <c r="B717" s="1031" t="s">
        <v>1535</v>
      </c>
      <c r="C717" s="1109" t="s">
        <v>1590</v>
      </c>
      <c r="D717" s="1109" t="s">
        <v>1542</v>
      </c>
      <c r="E717" s="1105" t="s">
        <v>1406</v>
      </c>
    </row>
    <row r="718" spans="1:5" x14ac:dyDescent="0.25">
      <c r="A718" s="1031">
        <v>717</v>
      </c>
      <c r="B718" s="1031" t="s">
        <v>1535</v>
      </c>
      <c r="C718" s="1109" t="s">
        <v>1591</v>
      </c>
      <c r="D718" s="1109" t="s">
        <v>1542</v>
      </c>
      <c r="E718" s="1105" t="s">
        <v>1510</v>
      </c>
    </row>
    <row r="719" spans="1:5" x14ac:dyDescent="0.25">
      <c r="A719" s="1031">
        <v>718</v>
      </c>
      <c r="B719" s="1031" t="s">
        <v>1535</v>
      </c>
      <c r="C719" s="1109" t="s">
        <v>1591</v>
      </c>
      <c r="D719" s="1109" t="s">
        <v>1428</v>
      </c>
      <c r="E719" s="1105" t="s">
        <v>1724</v>
      </c>
    </row>
    <row r="720" spans="1:5" x14ac:dyDescent="0.25">
      <c r="A720" s="1031">
        <v>719</v>
      </c>
      <c r="B720" s="1031" t="s">
        <v>1535</v>
      </c>
      <c r="C720" s="1109" t="s">
        <v>1591</v>
      </c>
      <c r="D720" s="1109" t="s">
        <v>1542</v>
      </c>
      <c r="E720" s="1105" t="s">
        <v>1400</v>
      </c>
    </row>
    <row r="721" spans="1:5" x14ac:dyDescent="0.25">
      <c r="A721" s="1031">
        <v>720</v>
      </c>
      <c r="B721" s="1031" t="s">
        <v>1535</v>
      </c>
      <c r="C721" s="1109" t="s">
        <v>1591</v>
      </c>
      <c r="D721" s="1109" t="s">
        <v>1542</v>
      </c>
      <c r="E721" s="1105" t="s">
        <v>1397</v>
      </c>
    </row>
    <row r="722" spans="1:5" x14ac:dyDescent="0.25">
      <c r="A722" s="1031">
        <v>721</v>
      </c>
      <c r="B722" s="1031" t="s">
        <v>1535</v>
      </c>
      <c r="C722" s="1109" t="s">
        <v>1591</v>
      </c>
      <c r="D722" s="1109" t="s">
        <v>1542</v>
      </c>
      <c r="E722" s="1105" t="s">
        <v>1398</v>
      </c>
    </row>
    <row r="723" spans="1:5" x14ac:dyDescent="0.25">
      <c r="A723" s="1031">
        <v>722</v>
      </c>
      <c r="B723" s="1031" t="s">
        <v>1535</v>
      </c>
      <c r="C723" s="1109" t="s">
        <v>1591</v>
      </c>
      <c r="D723" s="1109" t="s">
        <v>1542</v>
      </c>
      <c r="E723" s="1105" t="s">
        <v>1414</v>
      </c>
    </row>
    <row r="724" spans="1:5" x14ac:dyDescent="0.25">
      <c r="A724" s="1031">
        <v>723</v>
      </c>
      <c r="B724" s="1031" t="s">
        <v>1535</v>
      </c>
      <c r="C724" s="1109" t="s">
        <v>1591</v>
      </c>
      <c r="D724" s="1109" t="s">
        <v>1542</v>
      </c>
      <c r="E724" s="1105" t="s">
        <v>1399</v>
      </c>
    </row>
    <row r="725" spans="1:5" x14ac:dyDescent="0.25">
      <c r="A725" s="1031">
        <v>724</v>
      </c>
      <c r="B725" s="1031" t="s">
        <v>1535</v>
      </c>
      <c r="C725" s="1109" t="s">
        <v>1591</v>
      </c>
      <c r="D725" s="1109" t="s">
        <v>1542</v>
      </c>
      <c r="E725" s="1105" t="s">
        <v>1505</v>
      </c>
    </row>
    <row r="726" spans="1:5" x14ac:dyDescent="0.25">
      <c r="A726" s="1031">
        <v>725</v>
      </c>
      <c r="B726" s="1031" t="s">
        <v>1535</v>
      </c>
      <c r="C726" s="1109" t="s">
        <v>1591</v>
      </c>
      <c r="D726" s="1109" t="s">
        <v>1542</v>
      </c>
      <c r="E726" s="1105" t="s">
        <v>1506</v>
      </c>
    </row>
    <row r="727" spans="1:5" x14ac:dyDescent="0.25">
      <c r="A727" s="1031">
        <v>726</v>
      </c>
      <c r="B727" s="1031" t="s">
        <v>1535</v>
      </c>
      <c r="C727" s="1109" t="s">
        <v>1591</v>
      </c>
      <c r="D727" s="1109" t="s">
        <v>1428</v>
      </c>
      <c r="E727" s="1105" t="s">
        <v>1507</v>
      </c>
    </row>
    <row r="728" spans="1:5" ht="30" x14ac:dyDescent="0.25">
      <c r="A728" s="1031">
        <v>727</v>
      </c>
      <c r="B728" s="1031" t="s">
        <v>1535</v>
      </c>
      <c r="C728" s="1109" t="s">
        <v>1591</v>
      </c>
      <c r="D728" s="1109" t="s">
        <v>1563</v>
      </c>
      <c r="E728" s="1105" t="s">
        <v>1402</v>
      </c>
    </row>
    <row r="729" spans="1:5" ht="30" x14ac:dyDescent="0.25">
      <c r="A729" s="1031">
        <v>728</v>
      </c>
      <c r="B729" s="1031" t="s">
        <v>1535</v>
      </c>
      <c r="C729" s="1109" t="s">
        <v>1591</v>
      </c>
      <c r="D729" s="1109" t="s">
        <v>1563</v>
      </c>
      <c r="E729" s="1105" t="s">
        <v>1403</v>
      </c>
    </row>
    <row r="730" spans="1:5" ht="30" x14ac:dyDescent="0.25">
      <c r="A730" s="1031">
        <v>729</v>
      </c>
      <c r="B730" s="1031" t="s">
        <v>1535</v>
      </c>
      <c r="C730" s="1109" t="s">
        <v>1591</v>
      </c>
      <c r="D730" s="1109" t="s">
        <v>1563</v>
      </c>
      <c r="E730" s="1105" t="s">
        <v>1514</v>
      </c>
    </row>
    <row r="731" spans="1:5" x14ac:dyDescent="0.25">
      <c r="A731" s="1031">
        <v>730</v>
      </c>
      <c r="B731" s="1031" t="s">
        <v>1535</v>
      </c>
      <c r="C731" s="1109" t="s">
        <v>1591</v>
      </c>
      <c r="D731" s="1109" t="s">
        <v>1428</v>
      </c>
      <c r="E731" s="1105" t="s">
        <v>1511</v>
      </c>
    </row>
    <row r="732" spans="1:5" x14ac:dyDescent="0.25">
      <c r="A732" s="1031">
        <v>731</v>
      </c>
      <c r="B732" s="1031" t="s">
        <v>1535</v>
      </c>
      <c r="C732" s="1109" t="s">
        <v>1591</v>
      </c>
      <c r="D732" s="1109" t="s">
        <v>1542</v>
      </c>
      <c r="E732" s="1105" t="s">
        <v>1525</v>
      </c>
    </row>
    <row r="733" spans="1:5" x14ac:dyDescent="0.25">
      <c r="A733" s="1031">
        <v>732</v>
      </c>
      <c r="B733" s="1031" t="s">
        <v>1535</v>
      </c>
      <c r="C733" s="1109" t="s">
        <v>1592</v>
      </c>
      <c r="D733" s="1109" t="s">
        <v>1542</v>
      </c>
      <c r="E733" s="1105" t="s">
        <v>1404</v>
      </c>
    </row>
    <row r="734" spans="1:5" x14ac:dyDescent="0.25">
      <c r="A734" s="1031">
        <v>733</v>
      </c>
      <c r="B734" s="1031" t="s">
        <v>1535</v>
      </c>
      <c r="C734" s="1109" t="s">
        <v>1592</v>
      </c>
      <c r="D734" s="1109" t="s">
        <v>1542</v>
      </c>
      <c r="E734" s="1105" t="s">
        <v>1405</v>
      </c>
    </row>
    <row r="735" spans="1:5" x14ac:dyDescent="0.25">
      <c r="A735" s="1031">
        <v>734</v>
      </c>
      <c r="B735" s="1031" t="s">
        <v>1535</v>
      </c>
      <c r="C735" s="1109" t="s">
        <v>1592</v>
      </c>
      <c r="D735" s="1109" t="s">
        <v>1542</v>
      </c>
      <c r="E735" s="1105" t="s">
        <v>1406</v>
      </c>
    </row>
    <row r="736" spans="1:5" x14ac:dyDescent="0.25">
      <c r="A736" s="1031">
        <v>735</v>
      </c>
      <c r="B736" s="1031" t="s">
        <v>1535</v>
      </c>
      <c r="C736" s="1109" t="s">
        <v>1593</v>
      </c>
      <c r="D736" s="1109" t="s">
        <v>1542</v>
      </c>
      <c r="E736" s="1105" t="s">
        <v>1404</v>
      </c>
    </row>
    <row r="737" spans="1:5" x14ac:dyDescent="0.25">
      <c r="A737" s="1031">
        <v>736</v>
      </c>
      <c r="B737" s="1031" t="s">
        <v>1535</v>
      </c>
      <c r="C737" s="1109" t="s">
        <v>1593</v>
      </c>
      <c r="D737" s="1109" t="s">
        <v>1542</v>
      </c>
      <c r="E737" s="1105" t="s">
        <v>1405</v>
      </c>
    </row>
    <row r="738" spans="1:5" x14ac:dyDescent="0.25">
      <c r="A738" s="1031">
        <v>737</v>
      </c>
      <c r="B738" s="1031" t="s">
        <v>1535</v>
      </c>
      <c r="C738" s="1109" t="s">
        <v>1593</v>
      </c>
      <c r="D738" s="1109" t="s">
        <v>1542</v>
      </c>
      <c r="E738" s="1105" t="s">
        <v>1406</v>
      </c>
    </row>
    <row r="739" spans="1:5" x14ac:dyDescent="0.25">
      <c r="A739" s="1031">
        <v>738</v>
      </c>
      <c r="B739" s="1031" t="s">
        <v>1535</v>
      </c>
      <c r="C739" s="1109" t="s">
        <v>1594</v>
      </c>
      <c r="D739" s="1109" t="s">
        <v>1542</v>
      </c>
      <c r="E739" s="1105" t="s">
        <v>1404</v>
      </c>
    </row>
    <row r="740" spans="1:5" x14ac:dyDescent="0.25">
      <c r="A740" s="1031">
        <v>739</v>
      </c>
      <c r="B740" s="1031" t="s">
        <v>1535</v>
      </c>
      <c r="C740" s="1109" t="s">
        <v>1594</v>
      </c>
      <c r="D740" s="1109" t="s">
        <v>1542</v>
      </c>
      <c r="E740" s="1105" t="s">
        <v>1405</v>
      </c>
    </row>
    <row r="741" spans="1:5" x14ac:dyDescent="0.25">
      <c r="A741" s="1031">
        <v>740</v>
      </c>
      <c r="B741" s="1031" t="s">
        <v>1535</v>
      </c>
      <c r="C741" s="1109" t="s">
        <v>1594</v>
      </c>
      <c r="D741" s="1109" t="s">
        <v>1542</v>
      </c>
      <c r="E741" s="1105" t="s">
        <v>1406</v>
      </c>
    </row>
    <row r="742" spans="1:5" x14ac:dyDescent="0.25">
      <c r="A742" s="1031">
        <v>741</v>
      </c>
      <c r="B742" s="1031" t="s">
        <v>1535</v>
      </c>
      <c r="C742" s="1109" t="s">
        <v>1595</v>
      </c>
      <c r="D742" s="1109" t="s">
        <v>1542</v>
      </c>
      <c r="E742" s="1105" t="s">
        <v>1404</v>
      </c>
    </row>
    <row r="743" spans="1:5" x14ac:dyDescent="0.25">
      <c r="A743" s="1031">
        <v>742</v>
      </c>
      <c r="B743" s="1031" t="s">
        <v>1535</v>
      </c>
      <c r="C743" s="1109" t="s">
        <v>1595</v>
      </c>
      <c r="D743" s="1109" t="s">
        <v>1542</v>
      </c>
      <c r="E743" s="1105" t="s">
        <v>1405</v>
      </c>
    </row>
    <row r="744" spans="1:5" x14ac:dyDescent="0.25">
      <c r="A744" s="1031">
        <v>743</v>
      </c>
      <c r="B744" s="1031" t="s">
        <v>1535</v>
      </c>
      <c r="C744" s="1109" t="s">
        <v>1595</v>
      </c>
      <c r="D744" s="1109" t="s">
        <v>1542</v>
      </c>
      <c r="E744" s="1105" t="s">
        <v>1406</v>
      </c>
    </row>
    <row r="745" spans="1:5" x14ac:dyDescent="0.25">
      <c r="A745" s="1031">
        <v>744</v>
      </c>
      <c r="B745" s="1031" t="s">
        <v>1535</v>
      </c>
      <c r="C745" s="1109" t="s">
        <v>1596</v>
      </c>
      <c r="D745" s="1109" t="s">
        <v>1542</v>
      </c>
      <c r="E745" s="1105" t="s">
        <v>1404</v>
      </c>
    </row>
    <row r="746" spans="1:5" x14ac:dyDescent="0.25">
      <c r="A746" s="1031">
        <v>745</v>
      </c>
      <c r="B746" s="1031" t="s">
        <v>1535</v>
      </c>
      <c r="C746" s="1109" t="s">
        <v>1596</v>
      </c>
      <c r="D746" s="1109" t="s">
        <v>1542</v>
      </c>
      <c r="E746" s="1105" t="s">
        <v>1405</v>
      </c>
    </row>
    <row r="747" spans="1:5" x14ac:dyDescent="0.25">
      <c r="A747" s="1031">
        <v>746</v>
      </c>
      <c r="B747" s="1031" t="s">
        <v>1535</v>
      </c>
      <c r="C747" s="1109" t="s">
        <v>1596</v>
      </c>
      <c r="D747" s="1109" t="s">
        <v>1542</v>
      </c>
      <c r="E747" s="1105" t="s">
        <v>1406</v>
      </c>
    </row>
    <row r="748" spans="1:5" x14ac:dyDescent="0.25">
      <c r="A748" s="1031">
        <v>747</v>
      </c>
      <c r="B748" s="1031" t="s">
        <v>1535</v>
      </c>
      <c r="C748" s="1109" t="s">
        <v>1764</v>
      </c>
      <c r="D748" s="1109" t="s">
        <v>1597</v>
      </c>
      <c r="E748" s="1105" t="s">
        <v>1510</v>
      </c>
    </row>
    <row r="749" spans="1:5" x14ac:dyDescent="0.25">
      <c r="A749" s="1031">
        <v>748</v>
      </c>
      <c r="B749" s="1031" t="s">
        <v>1535</v>
      </c>
      <c r="C749" s="1109" t="s">
        <v>1731</v>
      </c>
      <c r="D749" s="1109" t="s">
        <v>1428</v>
      </c>
      <c r="E749" s="1105" t="s">
        <v>1724</v>
      </c>
    </row>
    <row r="750" spans="1:5" x14ac:dyDescent="0.25">
      <c r="A750" s="1031">
        <v>749</v>
      </c>
      <c r="B750" s="1031" t="s">
        <v>1535</v>
      </c>
      <c r="C750" s="1109" t="s">
        <v>1764</v>
      </c>
      <c r="D750" s="1109" t="s">
        <v>1597</v>
      </c>
      <c r="E750" s="1105" t="s">
        <v>1400</v>
      </c>
    </row>
    <row r="751" spans="1:5" x14ac:dyDescent="0.25">
      <c r="A751" s="1031">
        <v>750</v>
      </c>
      <c r="B751" s="1031" t="s">
        <v>1535</v>
      </c>
      <c r="C751" s="1109" t="s">
        <v>1764</v>
      </c>
      <c r="D751" s="1109" t="s">
        <v>1597</v>
      </c>
      <c r="E751" s="1105" t="s">
        <v>1397</v>
      </c>
    </row>
    <row r="752" spans="1:5" x14ac:dyDescent="0.25">
      <c r="A752" s="1031">
        <v>751</v>
      </c>
      <c r="B752" s="1031" t="s">
        <v>1535</v>
      </c>
      <c r="C752" s="1109" t="s">
        <v>1764</v>
      </c>
      <c r="D752" s="1109" t="s">
        <v>1597</v>
      </c>
      <c r="E752" s="1105" t="s">
        <v>1398</v>
      </c>
    </row>
    <row r="753" spans="1:5" x14ac:dyDescent="0.25">
      <c r="A753" s="1031">
        <v>752</v>
      </c>
      <c r="B753" s="1031" t="s">
        <v>1535</v>
      </c>
      <c r="C753" s="1109" t="s">
        <v>1764</v>
      </c>
      <c r="D753" s="1109" t="s">
        <v>1597</v>
      </c>
      <c r="E753" s="1105" t="s">
        <v>1414</v>
      </c>
    </row>
    <row r="754" spans="1:5" x14ac:dyDescent="0.25">
      <c r="A754" s="1031">
        <v>753</v>
      </c>
      <c r="B754" s="1031" t="s">
        <v>1535</v>
      </c>
      <c r="C754" s="1109" t="s">
        <v>1764</v>
      </c>
      <c r="D754" s="1109" t="s">
        <v>1428</v>
      </c>
      <c r="E754" s="1105" t="s">
        <v>1399</v>
      </c>
    </row>
    <row r="755" spans="1:5" x14ac:dyDescent="0.25">
      <c r="A755" s="1031">
        <v>754</v>
      </c>
      <c r="B755" s="1031" t="s">
        <v>1535</v>
      </c>
      <c r="C755" s="1109" t="s">
        <v>1764</v>
      </c>
      <c r="D755" s="1109" t="s">
        <v>1597</v>
      </c>
      <c r="E755" s="1105" t="s">
        <v>1505</v>
      </c>
    </row>
    <row r="756" spans="1:5" x14ac:dyDescent="0.25">
      <c r="A756" s="1031">
        <v>755</v>
      </c>
      <c r="B756" s="1031" t="s">
        <v>1535</v>
      </c>
      <c r="C756" s="1109" t="s">
        <v>1764</v>
      </c>
      <c r="D756" s="1109" t="s">
        <v>1597</v>
      </c>
      <c r="E756" s="1105" t="s">
        <v>1506</v>
      </c>
    </row>
    <row r="757" spans="1:5" x14ac:dyDescent="0.25">
      <c r="A757" s="1031">
        <v>756</v>
      </c>
      <c r="B757" s="1031" t="s">
        <v>1535</v>
      </c>
      <c r="C757" s="1109" t="s">
        <v>1764</v>
      </c>
      <c r="D757" s="1109" t="s">
        <v>1428</v>
      </c>
      <c r="E757" s="1105" t="s">
        <v>1507</v>
      </c>
    </row>
    <row r="758" spans="1:5" ht="30" x14ac:dyDescent="0.25">
      <c r="A758" s="1031">
        <v>757</v>
      </c>
      <c r="B758" s="1031" t="s">
        <v>1535</v>
      </c>
      <c r="C758" s="1109" t="s">
        <v>1764</v>
      </c>
      <c r="D758" s="1109" t="s">
        <v>1563</v>
      </c>
      <c r="E758" s="1105" t="s">
        <v>1402</v>
      </c>
    </row>
    <row r="759" spans="1:5" ht="30" x14ac:dyDescent="0.25">
      <c r="A759" s="1031">
        <v>758</v>
      </c>
      <c r="B759" s="1031" t="s">
        <v>1535</v>
      </c>
      <c r="C759" s="1109" t="s">
        <v>1764</v>
      </c>
      <c r="D759" s="1109" t="s">
        <v>1563</v>
      </c>
      <c r="E759" s="1105" t="s">
        <v>1403</v>
      </c>
    </row>
    <row r="760" spans="1:5" ht="30" x14ac:dyDescent="0.25">
      <c r="A760" s="1031">
        <v>759</v>
      </c>
      <c r="B760" s="1031" t="s">
        <v>1535</v>
      </c>
      <c r="C760" s="1109" t="s">
        <v>1764</v>
      </c>
      <c r="D760" s="1109" t="s">
        <v>1563</v>
      </c>
      <c r="E760" s="1105" t="s">
        <v>1514</v>
      </c>
    </row>
    <row r="761" spans="1:5" x14ac:dyDescent="0.25">
      <c r="A761" s="1031">
        <v>760</v>
      </c>
      <c r="B761" s="1031" t="s">
        <v>1535</v>
      </c>
      <c r="C761" s="1109" t="s">
        <v>1764</v>
      </c>
      <c r="D761" s="1109" t="s">
        <v>1428</v>
      </c>
      <c r="E761" s="1105" t="s">
        <v>1511</v>
      </c>
    </row>
    <row r="762" spans="1:5" x14ac:dyDescent="0.25">
      <c r="A762" s="1031">
        <v>761</v>
      </c>
      <c r="B762" s="1031" t="s">
        <v>1535</v>
      </c>
      <c r="C762" s="1109" t="s">
        <v>1764</v>
      </c>
      <c r="D762" s="1109" t="s">
        <v>1597</v>
      </c>
      <c r="E762" s="1105" t="s">
        <v>1406</v>
      </c>
    </row>
    <row r="763" spans="1:5" x14ac:dyDescent="0.25">
      <c r="A763" s="1031">
        <v>762</v>
      </c>
      <c r="B763" s="1031" t="s">
        <v>1535</v>
      </c>
      <c r="C763" s="1109" t="s">
        <v>1765</v>
      </c>
      <c r="D763" s="1109" t="s">
        <v>1597</v>
      </c>
      <c r="E763" s="1105" t="s">
        <v>1510</v>
      </c>
    </row>
    <row r="764" spans="1:5" x14ac:dyDescent="0.25">
      <c r="A764" s="1031">
        <v>763</v>
      </c>
      <c r="B764" s="1031" t="s">
        <v>1535</v>
      </c>
      <c r="C764" s="1109" t="s">
        <v>1732</v>
      </c>
      <c r="D764" s="1109" t="s">
        <v>1428</v>
      </c>
      <c r="E764" s="1105" t="s">
        <v>1724</v>
      </c>
    </row>
    <row r="765" spans="1:5" x14ac:dyDescent="0.25">
      <c r="A765" s="1031">
        <v>764</v>
      </c>
      <c r="B765" s="1031" t="s">
        <v>1535</v>
      </c>
      <c r="C765" s="1109" t="s">
        <v>1765</v>
      </c>
      <c r="D765" s="1109" t="s">
        <v>1597</v>
      </c>
      <c r="E765" s="1105" t="s">
        <v>1400</v>
      </c>
    </row>
    <row r="766" spans="1:5" x14ac:dyDescent="0.25">
      <c r="A766" s="1031">
        <v>765</v>
      </c>
      <c r="B766" s="1031" t="s">
        <v>1535</v>
      </c>
      <c r="C766" s="1109" t="s">
        <v>1765</v>
      </c>
      <c r="D766" s="1109" t="s">
        <v>1597</v>
      </c>
      <c r="E766" s="1105" t="s">
        <v>1397</v>
      </c>
    </row>
    <row r="767" spans="1:5" x14ac:dyDescent="0.25">
      <c r="A767" s="1031">
        <v>766</v>
      </c>
      <c r="B767" s="1031" t="s">
        <v>1535</v>
      </c>
      <c r="C767" s="1109" t="s">
        <v>1765</v>
      </c>
      <c r="D767" s="1109" t="s">
        <v>1597</v>
      </c>
      <c r="E767" s="1105" t="s">
        <v>1398</v>
      </c>
    </row>
    <row r="768" spans="1:5" x14ac:dyDescent="0.25">
      <c r="A768" s="1031">
        <v>767</v>
      </c>
      <c r="B768" s="1031" t="s">
        <v>1535</v>
      </c>
      <c r="C768" s="1109" t="s">
        <v>1765</v>
      </c>
      <c r="D768" s="1109" t="s">
        <v>1597</v>
      </c>
      <c r="E768" s="1105" t="s">
        <v>1414</v>
      </c>
    </row>
    <row r="769" spans="1:5" x14ac:dyDescent="0.25">
      <c r="A769" s="1031">
        <v>768</v>
      </c>
      <c r="B769" s="1031" t="s">
        <v>1535</v>
      </c>
      <c r="C769" s="1109" t="s">
        <v>1765</v>
      </c>
      <c r="D769" s="1109" t="s">
        <v>1428</v>
      </c>
      <c r="E769" s="1105" t="s">
        <v>1399</v>
      </c>
    </row>
    <row r="770" spans="1:5" x14ac:dyDescent="0.25">
      <c r="A770" s="1031">
        <v>769</v>
      </c>
      <c r="B770" s="1031" t="s">
        <v>1535</v>
      </c>
      <c r="C770" s="1109" t="s">
        <v>1765</v>
      </c>
      <c r="D770" s="1109" t="s">
        <v>1597</v>
      </c>
      <c r="E770" s="1105" t="s">
        <v>1505</v>
      </c>
    </row>
    <row r="771" spans="1:5" x14ac:dyDescent="0.25">
      <c r="A771" s="1031">
        <v>770</v>
      </c>
      <c r="B771" s="1031" t="s">
        <v>1535</v>
      </c>
      <c r="C771" s="1109" t="s">
        <v>1765</v>
      </c>
      <c r="D771" s="1109" t="s">
        <v>1597</v>
      </c>
      <c r="E771" s="1105" t="s">
        <v>1506</v>
      </c>
    </row>
    <row r="772" spans="1:5" x14ac:dyDescent="0.25">
      <c r="A772" s="1031">
        <v>771</v>
      </c>
      <c r="B772" s="1031" t="s">
        <v>1535</v>
      </c>
      <c r="C772" s="1109" t="s">
        <v>1765</v>
      </c>
      <c r="D772" s="1109" t="s">
        <v>1428</v>
      </c>
      <c r="E772" s="1105" t="s">
        <v>1507</v>
      </c>
    </row>
    <row r="773" spans="1:5" ht="30" x14ac:dyDescent="0.25">
      <c r="A773" s="1031">
        <v>772</v>
      </c>
      <c r="B773" s="1031" t="s">
        <v>1535</v>
      </c>
      <c r="C773" s="1109" t="s">
        <v>1765</v>
      </c>
      <c r="D773" s="1109" t="s">
        <v>1563</v>
      </c>
      <c r="E773" s="1105" t="s">
        <v>1402</v>
      </c>
    </row>
    <row r="774" spans="1:5" ht="30" x14ac:dyDescent="0.25">
      <c r="A774" s="1031">
        <v>773</v>
      </c>
      <c r="B774" s="1031" t="s">
        <v>1535</v>
      </c>
      <c r="C774" s="1109" t="s">
        <v>1765</v>
      </c>
      <c r="D774" s="1109" t="s">
        <v>1563</v>
      </c>
      <c r="E774" s="1105" t="s">
        <v>1403</v>
      </c>
    </row>
    <row r="775" spans="1:5" ht="30" x14ac:dyDescent="0.25">
      <c r="A775" s="1031">
        <v>774</v>
      </c>
      <c r="B775" s="1031" t="s">
        <v>1535</v>
      </c>
      <c r="C775" s="1109" t="s">
        <v>1765</v>
      </c>
      <c r="D775" s="1109" t="s">
        <v>1563</v>
      </c>
      <c r="E775" s="1105" t="s">
        <v>1514</v>
      </c>
    </row>
    <row r="776" spans="1:5" x14ac:dyDescent="0.25">
      <c r="A776" s="1031">
        <v>775</v>
      </c>
      <c r="B776" s="1031" t="s">
        <v>1535</v>
      </c>
      <c r="C776" s="1109" t="s">
        <v>1765</v>
      </c>
      <c r="D776" s="1109" t="s">
        <v>1428</v>
      </c>
      <c r="E776" s="1105" t="s">
        <v>1511</v>
      </c>
    </row>
    <row r="777" spans="1:5" x14ac:dyDescent="0.25">
      <c r="A777" s="1031">
        <v>776</v>
      </c>
      <c r="B777" s="1031" t="s">
        <v>1535</v>
      </c>
      <c r="C777" s="1109" t="s">
        <v>1765</v>
      </c>
      <c r="D777" s="1109" t="s">
        <v>1597</v>
      </c>
      <c r="E777" s="1105" t="s">
        <v>1406</v>
      </c>
    </row>
    <row r="778" spans="1:5" x14ac:dyDescent="0.25">
      <c r="A778" s="1031">
        <v>777</v>
      </c>
      <c r="B778" s="1031" t="s">
        <v>1535</v>
      </c>
      <c r="C778" s="1109" t="s">
        <v>1766</v>
      </c>
      <c r="D778" s="1109" t="s">
        <v>1598</v>
      </c>
      <c r="E778" s="1105" t="s">
        <v>1510</v>
      </c>
    </row>
    <row r="779" spans="1:5" x14ac:dyDescent="0.25">
      <c r="A779" s="1031">
        <v>778</v>
      </c>
      <c r="B779" s="1031" t="s">
        <v>1535</v>
      </c>
      <c r="C779" s="1109" t="s">
        <v>1599</v>
      </c>
      <c r="D779" s="1109" t="s">
        <v>1428</v>
      </c>
      <c r="E779" s="1105" t="s">
        <v>1724</v>
      </c>
    </row>
    <row r="780" spans="1:5" x14ac:dyDescent="0.25">
      <c r="A780" s="1031">
        <v>779</v>
      </c>
      <c r="B780" s="1031" t="s">
        <v>1535</v>
      </c>
      <c r="C780" s="1109" t="s">
        <v>1766</v>
      </c>
      <c r="D780" s="1109" t="s">
        <v>1598</v>
      </c>
      <c r="E780" s="1105" t="s">
        <v>1400</v>
      </c>
    </row>
    <row r="781" spans="1:5" x14ac:dyDescent="0.25">
      <c r="A781" s="1031">
        <v>780</v>
      </c>
      <c r="B781" s="1031" t="s">
        <v>1535</v>
      </c>
      <c r="C781" s="1109" t="s">
        <v>1766</v>
      </c>
      <c r="D781" s="1109" t="s">
        <v>1598</v>
      </c>
      <c r="E781" s="1105" t="s">
        <v>1397</v>
      </c>
    </row>
    <row r="782" spans="1:5" x14ac:dyDescent="0.25">
      <c r="A782" s="1031">
        <v>781</v>
      </c>
      <c r="B782" s="1031" t="s">
        <v>1535</v>
      </c>
      <c r="C782" s="1109" t="s">
        <v>1766</v>
      </c>
      <c r="D782" s="1109" t="s">
        <v>1598</v>
      </c>
      <c r="E782" s="1105" t="s">
        <v>1398</v>
      </c>
    </row>
    <row r="783" spans="1:5" x14ac:dyDescent="0.25">
      <c r="A783" s="1031">
        <v>782</v>
      </c>
      <c r="B783" s="1031" t="s">
        <v>1535</v>
      </c>
      <c r="C783" s="1109" t="s">
        <v>1766</v>
      </c>
      <c r="D783" s="1109" t="s">
        <v>1598</v>
      </c>
      <c r="E783" s="1105" t="s">
        <v>1414</v>
      </c>
    </row>
    <row r="784" spans="1:5" x14ac:dyDescent="0.25">
      <c r="A784" s="1031">
        <v>783</v>
      </c>
      <c r="B784" s="1031" t="s">
        <v>1535</v>
      </c>
      <c r="C784" s="1109" t="s">
        <v>1766</v>
      </c>
      <c r="D784" s="1109" t="s">
        <v>1428</v>
      </c>
      <c r="E784" s="1105" t="s">
        <v>1399</v>
      </c>
    </row>
    <row r="785" spans="1:5" x14ac:dyDescent="0.25">
      <c r="A785" s="1031">
        <v>784</v>
      </c>
      <c r="B785" s="1031" t="s">
        <v>1535</v>
      </c>
      <c r="C785" s="1109" t="s">
        <v>1599</v>
      </c>
      <c r="D785" s="1109" t="s">
        <v>1598</v>
      </c>
      <c r="E785" s="1105" t="s">
        <v>1505</v>
      </c>
    </row>
    <row r="786" spans="1:5" x14ac:dyDescent="0.25">
      <c r="A786" s="1031">
        <v>785</v>
      </c>
      <c r="B786" s="1031" t="s">
        <v>1535</v>
      </c>
      <c r="C786" s="1109" t="s">
        <v>1599</v>
      </c>
      <c r="D786" s="1109" t="s">
        <v>1598</v>
      </c>
      <c r="E786" s="1105" t="s">
        <v>1506</v>
      </c>
    </row>
    <row r="787" spans="1:5" x14ac:dyDescent="0.25">
      <c r="A787" s="1031">
        <v>786</v>
      </c>
      <c r="B787" s="1031" t="s">
        <v>1535</v>
      </c>
      <c r="C787" s="1109" t="s">
        <v>1599</v>
      </c>
      <c r="D787" s="1109" t="s">
        <v>1428</v>
      </c>
      <c r="E787" s="1105" t="s">
        <v>1507</v>
      </c>
    </row>
    <row r="788" spans="1:5" ht="30" x14ac:dyDescent="0.25">
      <c r="A788" s="1031">
        <v>787</v>
      </c>
      <c r="B788" s="1031" t="s">
        <v>1535</v>
      </c>
      <c r="C788" s="1109" t="s">
        <v>1599</v>
      </c>
      <c r="D788" s="1109" t="s">
        <v>1563</v>
      </c>
      <c r="E788" s="1105" t="s">
        <v>1402</v>
      </c>
    </row>
    <row r="789" spans="1:5" ht="30" x14ac:dyDescent="0.25">
      <c r="A789" s="1031">
        <v>788</v>
      </c>
      <c r="B789" s="1031" t="s">
        <v>1535</v>
      </c>
      <c r="C789" s="1109" t="s">
        <v>1599</v>
      </c>
      <c r="D789" s="1109" t="s">
        <v>1563</v>
      </c>
      <c r="E789" s="1105" t="s">
        <v>1403</v>
      </c>
    </row>
    <row r="790" spans="1:5" ht="30" x14ac:dyDescent="0.25">
      <c r="A790" s="1031">
        <v>789</v>
      </c>
      <c r="B790" s="1031" t="s">
        <v>1535</v>
      </c>
      <c r="C790" s="1109" t="s">
        <v>1599</v>
      </c>
      <c r="D790" s="1109" t="s">
        <v>1563</v>
      </c>
      <c r="E790" s="1105" t="s">
        <v>1514</v>
      </c>
    </row>
    <row r="791" spans="1:5" x14ac:dyDescent="0.25">
      <c r="A791" s="1031">
        <v>790</v>
      </c>
      <c r="B791" s="1031" t="s">
        <v>1535</v>
      </c>
      <c r="C791" s="1109" t="s">
        <v>1599</v>
      </c>
      <c r="D791" s="1109" t="s">
        <v>1428</v>
      </c>
      <c r="E791" s="1105" t="s">
        <v>1511</v>
      </c>
    </row>
    <row r="792" spans="1:5" x14ac:dyDescent="0.25">
      <c r="A792" s="1031">
        <v>791</v>
      </c>
      <c r="B792" s="1031" t="s">
        <v>1535</v>
      </c>
      <c r="C792" s="1109" t="s">
        <v>1599</v>
      </c>
      <c r="D792" s="1109" t="s">
        <v>1598</v>
      </c>
      <c r="E792" s="1105" t="s">
        <v>1525</v>
      </c>
    </row>
    <row r="793" spans="1:5" x14ac:dyDescent="0.25">
      <c r="A793" s="1031">
        <v>792</v>
      </c>
      <c r="B793" s="1031" t="s">
        <v>1535</v>
      </c>
      <c r="C793" s="1109" t="s">
        <v>1600</v>
      </c>
      <c r="D793" s="1109" t="s">
        <v>1598</v>
      </c>
      <c r="E793" s="1105" t="s">
        <v>1404</v>
      </c>
    </row>
    <row r="794" spans="1:5" x14ac:dyDescent="0.25">
      <c r="A794" s="1031">
        <v>793</v>
      </c>
      <c r="B794" s="1031" t="s">
        <v>1535</v>
      </c>
      <c r="C794" s="1109" t="s">
        <v>1600</v>
      </c>
      <c r="D794" s="1109" t="s">
        <v>1598</v>
      </c>
      <c r="E794" s="1105" t="s">
        <v>1405</v>
      </c>
    </row>
    <row r="795" spans="1:5" x14ac:dyDescent="0.25">
      <c r="A795" s="1031">
        <v>794</v>
      </c>
      <c r="B795" s="1031" t="s">
        <v>1535</v>
      </c>
      <c r="C795" s="1109" t="s">
        <v>1600</v>
      </c>
      <c r="D795" s="1109" t="s">
        <v>1598</v>
      </c>
      <c r="E795" s="1105" t="s">
        <v>1110</v>
      </c>
    </row>
    <row r="796" spans="1:5" x14ac:dyDescent="0.25">
      <c r="A796" s="1031">
        <v>795</v>
      </c>
      <c r="B796" s="1031" t="s">
        <v>1535</v>
      </c>
      <c r="C796" s="1109" t="s">
        <v>1601</v>
      </c>
      <c r="D796" s="1109" t="s">
        <v>1598</v>
      </c>
      <c r="E796" s="1105" t="s">
        <v>1510</v>
      </c>
    </row>
    <row r="797" spans="1:5" x14ac:dyDescent="0.25">
      <c r="A797" s="1031">
        <v>796</v>
      </c>
      <c r="B797" s="1031" t="s">
        <v>1535</v>
      </c>
      <c r="C797" s="1109" t="s">
        <v>1601</v>
      </c>
      <c r="D797" s="1109" t="s">
        <v>1428</v>
      </c>
      <c r="E797" s="1105" t="s">
        <v>1724</v>
      </c>
    </row>
    <row r="798" spans="1:5" x14ac:dyDescent="0.25">
      <c r="A798" s="1031">
        <v>797</v>
      </c>
      <c r="B798" s="1031" t="s">
        <v>1535</v>
      </c>
      <c r="C798" s="1109" t="s">
        <v>1601</v>
      </c>
      <c r="D798" s="1109" t="s">
        <v>1598</v>
      </c>
      <c r="E798" s="1105" t="s">
        <v>1400</v>
      </c>
    </row>
    <row r="799" spans="1:5" x14ac:dyDescent="0.25">
      <c r="A799" s="1031">
        <v>798</v>
      </c>
      <c r="B799" s="1031" t="s">
        <v>1535</v>
      </c>
      <c r="C799" s="1109" t="s">
        <v>1601</v>
      </c>
      <c r="D799" s="1109" t="s">
        <v>1598</v>
      </c>
      <c r="E799" s="1105" t="s">
        <v>1397</v>
      </c>
    </row>
    <row r="800" spans="1:5" x14ac:dyDescent="0.25">
      <c r="A800" s="1031">
        <v>799</v>
      </c>
      <c r="B800" s="1031" t="s">
        <v>1535</v>
      </c>
      <c r="C800" s="1109" t="s">
        <v>1601</v>
      </c>
      <c r="D800" s="1109" t="s">
        <v>1598</v>
      </c>
      <c r="E800" s="1105" t="s">
        <v>1398</v>
      </c>
    </row>
    <row r="801" spans="1:5" x14ac:dyDescent="0.25">
      <c r="A801" s="1031">
        <v>800</v>
      </c>
      <c r="B801" s="1031" t="s">
        <v>1535</v>
      </c>
      <c r="C801" s="1109" t="s">
        <v>1601</v>
      </c>
      <c r="D801" s="1109" t="s">
        <v>1598</v>
      </c>
      <c r="E801" s="1105" t="s">
        <v>1414</v>
      </c>
    </row>
    <row r="802" spans="1:5" x14ac:dyDescent="0.25">
      <c r="A802" s="1031">
        <v>801</v>
      </c>
      <c r="B802" s="1031" t="s">
        <v>1535</v>
      </c>
      <c r="C802" s="1109" t="s">
        <v>1601</v>
      </c>
      <c r="D802" s="1109" t="s">
        <v>1428</v>
      </c>
      <c r="E802" s="1105" t="s">
        <v>1399</v>
      </c>
    </row>
    <row r="803" spans="1:5" x14ac:dyDescent="0.25">
      <c r="A803" s="1031">
        <v>802</v>
      </c>
      <c r="B803" s="1031" t="s">
        <v>1535</v>
      </c>
      <c r="C803" s="1109" t="s">
        <v>1601</v>
      </c>
      <c r="D803" s="1109" t="s">
        <v>1598</v>
      </c>
      <c r="E803" s="1105" t="s">
        <v>1505</v>
      </c>
    </row>
    <row r="804" spans="1:5" x14ac:dyDescent="0.25">
      <c r="A804" s="1031">
        <v>803</v>
      </c>
      <c r="B804" s="1031" t="s">
        <v>1535</v>
      </c>
      <c r="C804" s="1109" t="s">
        <v>1601</v>
      </c>
      <c r="D804" s="1109" t="s">
        <v>1598</v>
      </c>
      <c r="E804" s="1105" t="s">
        <v>1506</v>
      </c>
    </row>
    <row r="805" spans="1:5" x14ac:dyDescent="0.25">
      <c r="A805" s="1031">
        <v>804</v>
      </c>
      <c r="B805" s="1031" t="s">
        <v>1535</v>
      </c>
      <c r="C805" s="1109" t="s">
        <v>1601</v>
      </c>
      <c r="D805" s="1109" t="s">
        <v>1428</v>
      </c>
      <c r="E805" s="1105" t="s">
        <v>1507</v>
      </c>
    </row>
    <row r="806" spans="1:5" ht="30" x14ac:dyDescent="0.25">
      <c r="A806" s="1031">
        <v>805</v>
      </c>
      <c r="B806" s="1031" t="s">
        <v>1535</v>
      </c>
      <c r="C806" s="1109" t="s">
        <v>1601</v>
      </c>
      <c r="D806" s="1109" t="s">
        <v>1563</v>
      </c>
      <c r="E806" s="1105" t="s">
        <v>1402</v>
      </c>
    </row>
    <row r="807" spans="1:5" ht="30" x14ac:dyDescent="0.25">
      <c r="A807" s="1031">
        <v>806</v>
      </c>
      <c r="B807" s="1031" t="s">
        <v>1535</v>
      </c>
      <c r="C807" s="1109" t="s">
        <v>1601</v>
      </c>
      <c r="D807" s="1109" t="s">
        <v>1563</v>
      </c>
      <c r="E807" s="1105" t="s">
        <v>1403</v>
      </c>
    </row>
    <row r="808" spans="1:5" ht="30" x14ac:dyDescent="0.25">
      <c r="A808" s="1031">
        <v>807</v>
      </c>
      <c r="B808" s="1031" t="s">
        <v>1535</v>
      </c>
      <c r="C808" s="1109" t="s">
        <v>1601</v>
      </c>
      <c r="D808" s="1109" t="s">
        <v>1563</v>
      </c>
      <c r="E808" s="1105" t="s">
        <v>1514</v>
      </c>
    </row>
    <row r="809" spans="1:5" x14ac:dyDescent="0.25">
      <c r="A809" s="1031">
        <v>808</v>
      </c>
      <c r="B809" s="1031" t="s">
        <v>1535</v>
      </c>
      <c r="C809" s="1109" t="s">
        <v>1601</v>
      </c>
      <c r="D809" s="1109" t="s">
        <v>1428</v>
      </c>
      <c r="E809" s="1105" t="s">
        <v>1511</v>
      </c>
    </row>
    <row r="810" spans="1:5" x14ac:dyDescent="0.25">
      <c r="A810" s="1031">
        <v>809</v>
      </c>
      <c r="B810" s="1031" t="s">
        <v>1535</v>
      </c>
      <c r="C810" s="1109" t="s">
        <v>1601</v>
      </c>
      <c r="D810" s="1109" t="s">
        <v>1598</v>
      </c>
      <c r="E810" s="1105" t="s">
        <v>1525</v>
      </c>
    </row>
    <row r="811" spans="1:5" x14ac:dyDescent="0.25">
      <c r="A811" s="1031">
        <v>810</v>
      </c>
      <c r="B811" s="1031" t="s">
        <v>1535</v>
      </c>
      <c r="C811" s="1109" t="s">
        <v>1602</v>
      </c>
      <c r="D811" s="1109" t="s">
        <v>1598</v>
      </c>
      <c r="E811" s="1105" t="s">
        <v>1404</v>
      </c>
    </row>
    <row r="812" spans="1:5" x14ac:dyDescent="0.25">
      <c r="A812" s="1031">
        <v>811</v>
      </c>
      <c r="B812" s="1031" t="s">
        <v>1535</v>
      </c>
      <c r="C812" s="1109" t="s">
        <v>1602</v>
      </c>
      <c r="D812" s="1109" t="s">
        <v>1598</v>
      </c>
      <c r="E812" s="1105" t="s">
        <v>1405</v>
      </c>
    </row>
    <row r="813" spans="1:5" x14ac:dyDescent="0.25">
      <c r="A813" s="1031">
        <v>812</v>
      </c>
      <c r="B813" s="1031" t="s">
        <v>1535</v>
      </c>
      <c r="C813" s="1109" t="s">
        <v>1602</v>
      </c>
      <c r="D813" s="1109" t="s">
        <v>1598</v>
      </c>
      <c r="E813" s="1105" t="s">
        <v>1406</v>
      </c>
    </row>
    <row r="814" spans="1:5" x14ac:dyDescent="0.25">
      <c r="A814" s="1031">
        <v>813</v>
      </c>
      <c r="B814" s="1031" t="s">
        <v>1535</v>
      </c>
      <c r="C814" s="1109" t="s">
        <v>1603</v>
      </c>
      <c r="D814" s="1109" t="s">
        <v>1556</v>
      </c>
      <c r="E814" s="1105" t="s">
        <v>1510</v>
      </c>
    </row>
    <row r="815" spans="1:5" x14ac:dyDescent="0.25">
      <c r="A815" s="1031">
        <v>814</v>
      </c>
      <c r="B815" s="1031" t="s">
        <v>1535</v>
      </c>
      <c r="C815" s="1109" t="s">
        <v>1603</v>
      </c>
      <c r="D815" s="1109" t="s">
        <v>1428</v>
      </c>
      <c r="E815" s="1105" t="s">
        <v>1724</v>
      </c>
    </row>
    <row r="816" spans="1:5" x14ac:dyDescent="0.25">
      <c r="A816" s="1031">
        <v>815</v>
      </c>
      <c r="B816" s="1031" t="s">
        <v>1535</v>
      </c>
      <c r="C816" s="1109" t="s">
        <v>1603</v>
      </c>
      <c r="D816" s="1109" t="s">
        <v>1556</v>
      </c>
      <c r="E816" s="1105" t="s">
        <v>1400</v>
      </c>
    </row>
    <row r="817" spans="1:5" x14ac:dyDescent="0.25">
      <c r="A817" s="1031">
        <v>816</v>
      </c>
      <c r="B817" s="1031" t="s">
        <v>1535</v>
      </c>
      <c r="C817" s="1109" t="s">
        <v>1603</v>
      </c>
      <c r="D817" s="1109" t="s">
        <v>1556</v>
      </c>
      <c r="E817" s="1105" t="s">
        <v>1397</v>
      </c>
    </row>
    <row r="818" spans="1:5" x14ac:dyDescent="0.25">
      <c r="A818" s="1031">
        <v>817</v>
      </c>
      <c r="B818" s="1031" t="s">
        <v>1535</v>
      </c>
      <c r="C818" s="1109" t="s">
        <v>1603</v>
      </c>
      <c r="D818" s="1109" t="s">
        <v>1556</v>
      </c>
      <c r="E818" s="1105" t="s">
        <v>1398</v>
      </c>
    </row>
    <row r="819" spans="1:5" x14ac:dyDescent="0.25">
      <c r="A819" s="1031">
        <v>818</v>
      </c>
      <c r="B819" s="1031" t="s">
        <v>1535</v>
      </c>
      <c r="C819" s="1109" t="s">
        <v>1603</v>
      </c>
      <c r="D819" s="1109" t="s">
        <v>1556</v>
      </c>
      <c r="E819" s="1105" t="s">
        <v>1414</v>
      </c>
    </row>
    <row r="820" spans="1:5" x14ac:dyDescent="0.25">
      <c r="A820" s="1031">
        <v>819</v>
      </c>
      <c r="B820" s="1031" t="s">
        <v>1535</v>
      </c>
      <c r="C820" s="1109" t="s">
        <v>1603</v>
      </c>
      <c r="D820" s="1109" t="s">
        <v>1556</v>
      </c>
      <c r="E820" s="1105" t="s">
        <v>1399</v>
      </c>
    </row>
    <row r="821" spans="1:5" x14ac:dyDescent="0.25">
      <c r="A821" s="1031">
        <v>820</v>
      </c>
      <c r="B821" s="1031" t="s">
        <v>1535</v>
      </c>
      <c r="C821" s="1109" t="s">
        <v>1603</v>
      </c>
      <c r="D821" s="1109" t="s">
        <v>1556</v>
      </c>
      <c r="E821" s="1105" t="s">
        <v>1505</v>
      </c>
    </row>
    <row r="822" spans="1:5" x14ac:dyDescent="0.25">
      <c r="A822" s="1031">
        <v>821</v>
      </c>
      <c r="B822" s="1031" t="s">
        <v>1535</v>
      </c>
      <c r="C822" s="1109" t="s">
        <v>1603</v>
      </c>
      <c r="D822" s="1109" t="s">
        <v>1556</v>
      </c>
      <c r="E822" s="1105" t="s">
        <v>1506</v>
      </c>
    </row>
    <row r="823" spans="1:5" x14ac:dyDescent="0.25">
      <c r="A823" s="1031">
        <v>822</v>
      </c>
      <c r="B823" s="1031" t="s">
        <v>1535</v>
      </c>
      <c r="C823" s="1109" t="s">
        <v>1603</v>
      </c>
      <c r="D823" s="1109" t="s">
        <v>1428</v>
      </c>
      <c r="E823" s="1105" t="s">
        <v>1507</v>
      </c>
    </row>
    <row r="824" spans="1:5" ht="30" x14ac:dyDescent="0.25">
      <c r="A824" s="1031">
        <v>823</v>
      </c>
      <c r="B824" s="1031" t="s">
        <v>1535</v>
      </c>
      <c r="C824" s="1109" t="s">
        <v>1603</v>
      </c>
      <c r="D824" s="1109" t="s">
        <v>1563</v>
      </c>
      <c r="E824" s="1105" t="s">
        <v>1402</v>
      </c>
    </row>
    <row r="825" spans="1:5" ht="30" x14ac:dyDescent="0.25">
      <c r="A825" s="1031">
        <v>824</v>
      </c>
      <c r="B825" s="1031" t="s">
        <v>1535</v>
      </c>
      <c r="C825" s="1109" t="s">
        <v>1603</v>
      </c>
      <c r="D825" s="1109" t="s">
        <v>1563</v>
      </c>
      <c r="E825" s="1105" t="s">
        <v>1403</v>
      </c>
    </row>
    <row r="826" spans="1:5" ht="30" x14ac:dyDescent="0.25">
      <c r="A826" s="1031">
        <v>825</v>
      </c>
      <c r="B826" s="1031" t="s">
        <v>1535</v>
      </c>
      <c r="C826" s="1109" t="s">
        <v>1603</v>
      </c>
      <c r="D826" s="1109" t="s">
        <v>1563</v>
      </c>
      <c r="E826" s="1105" t="s">
        <v>1514</v>
      </c>
    </row>
    <row r="827" spans="1:5" x14ac:dyDescent="0.25">
      <c r="A827" s="1031">
        <v>826</v>
      </c>
      <c r="B827" s="1031" t="s">
        <v>1535</v>
      </c>
      <c r="C827" s="1109" t="s">
        <v>1603</v>
      </c>
      <c r="D827" s="1109" t="s">
        <v>1428</v>
      </c>
      <c r="E827" s="1105" t="s">
        <v>1511</v>
      </c>
    </row>
    <row r="828" spans="1:5" x14ac:dyDescent="0.25">
      <c r="A828" s="1031">
        <v>827</v>
      </c>
      <c r="B828" s="1031" t="s">
        <v>1535</v>
      </c>
      <c r="C828" s="1109" t="s">
        <v>1603</v>
      </c>
      <c r="D828" s="1109" t="s">
        <v>1556</v>
      </c>
      <c r="E828" s="1105" t="s">
        <v>1525</v>
      </c>
    </row>
    <row r="829" spans="1:5" x14ac:dyDescent="0.25">
      <c r="A829" s="1031">
        <v>828</v>
      </c>
      <c r="B829" s="1031" t="s">
        <v>1535</v>
      </c>
      <c r="C829" s="1109" t="s">
        <v>1604</v>
      </c>
      <c r="D829" s="1109" t="s">
        <v>1556</v>
      </c>
      <c r="E829" s="1105" t="s">
        <v>1404</v>
      </c>
    </row>
    <row r="830" spans="1:5" x14ac:dyDescent="0.25">
      <c r="A830" s="1031">
        <v>829</v>
      </c>
      <c r="B830" s="1031" t="s">
        <v>1535</v>
      </c>
      <c r="C830" s="1109" t="s">
        <v>1604</v>
      </c>
      <c r="D830" s="1109" t="s">
        <v>1556</v>
      </c>
      <c r="E830" s="1105" t="s">
        <v>1405</v>
      </c>
    </row>
    <row r="831" spans="1:5" x14ac:dyDescent="0.25">
      <c r="A831" s="1031">
        <v>830</v>
      </c>
      <c r="B831" s="1031" t="s">
        <v>1535</v>
      </c>
      <c r="C831" s="1109" t="s">
        <v>1604</v>
      </c>
      <c r="D831" s="1109" t="s">
        <v>1556</v>
      </c>
      <c r="E831" s="1105" t="s">
        <v>1406</v>
      </c>
    </row>
    <row r="832" spans="1:5" x14ac:dyDescent="0.25">
      <c r="A832" s="1031">
        <v>831</v>
      </c>
      <c r="B832" s="1031" t="s">
        <v>1535</v>
      </c>
      <c r="C832" s="1109" t="s">
        <v>1605</v>
      </c>
      <c r="D832" s="1109" t="s">
        <v>1556</v>
      </c>
      <c r="E832" s="1105" t="s">
        <v>1404</v>
      </c>
    </row>
    <row r="833" spans="1:5" x14ac:dyDescent="0.25">
      <c r="A833" s="1031">
        <v>832</v>
      </c>
      <c r="B833" s="1031" t="s">
        <v>1535</v>
      </c>
      <c r="C833" s="1109" t="s">
        <v>1605</v>
      </c>
      <c r="D833" s="1109" t="s">
        <v>1556</v>
      </c>
      <c r="E833" s="1105" t="s">
        <v>1405</v>
      </c>
    </row>
    <row r="834" spans="1:5" x14ac:dyDescent="0.25">
      <c r="A834" s="1031">
        <v>833</v>
      </c>
      <c r="B834" s="1031" t="s">
        <v>1535</v>
      </c>
      <c r="C834" s="1109" t="s">
        <v>1605</v>
      </c>
      <c r="D834" s="1109" t="s">
        <v>1556</v>
      </c>
      <c r="E834" s="1105" t="s">
        <v>1406</v>
      </c>
    </row>
    <row r="835" spans="1:5" x14ac:dyDescent="0.25">
      <c r="A835" s="1031">
        <v>834</v>
      </c>
      <c r="B835" s="1031" t="s">
        <v>1535</v>
      </c>
      <c r="C835" s="1109" t="s">
        <v>1606</v>
      </c>
      <c r="D835" s="1109" t="s">
        <v>1556</v>
      </c>
      <c r="E835" s="1105" t="s">
        <v>1404</v>
      </c>
    </row>
    <row r="836" spans="1:5" x14ac:dyDescent="0.25">
      <c r="A836" s="1031">
        <v>835</v>
      </c>
      <c r="B836" s="1031" t="s">
        <v>1535</v>
      </c>
      <c r="C836" s="1109" t="s">
        <v>1606</v>
      </c>
      <c r="D836" s="1109" t="s">
        <v>1556</v>
      </c>
      <c r="E836" s="1105" t="s">
        <v>1405</v>
      </c>
    </row>
    <row r="837" spans="1:5" x14ac:dyDescent="0.25">
      <c r="A837" s="1031">
        <v>836</v>
      </c>
      <c r="B837" s="1031" t="s">
        <v>1535</v>
      </c>
      <c r="C837" s="1109" t="s">
        <v>1606</v>
      </c>
      <c r="D837" s="1109" t="s">
        <v>1556</v>
      </c>
      <c r="E837" s="1105" t="s">
        <v>1406</v>
      </c>
    </row>
    <row r="838" spans="1:5" x14ac:dyDescent="0.25">
      <c r="A838" s="1031">
        <v>837</v>
      </c>
      <c r="B838" s="1031" t="s">
        <v>1535</v>
      </c>
      <c r="C838" s="1109" t="s">
        <v>1607</v>
      </c>
      <c r="D838" s="1109" t="s">
        <v>1532</v>
      </c>
      <c r="E838" s="1105" t="s">
        <v>1404</v>
      </c>
    </row>
    <row r="839" spans="1:5" x14ac:dyDescent="0.25">
      <c r="A839" s="1031">
        <v>838</v>
      </c>
      <c r="B839" s="1031" t="s">
        <v>1535</v>
      </c>
      <c r="C839" s="1109" t="s">
        <v>1607</v>
      </c>
      <c r="D839" s="1109" t="s">
        <v>1556</v>
      </c>
      <c r="E839" s="1105" t="s">
        <v>1405</v>
      </c>
    </row>
    <row r="840" spans="1:5" x14ac:dyDescent="0.25">
      <c r="A840" s="1031">
        <v>839</v>
      </c>
      <c r="B840" s="1031" t="s">
        <v>1535</v>
      </c>
      <c r="C840" s="1109" t="s">
        <v>1607</v>
      </c>
      <c r="D840" s="1109" t="s">
        <v>1556</v>
      </c>
      <c r="E840" s="1105" t="s">
        <v>1406</v>
      </c>
    </row>
    <row r="841" spans="1:5" x14ac:dyDescent="0.25">
      <c r="A841" s="1031">
        <v>840</v>
      </c>
      <c r="B841" s="1031" t="s">
        <v>1535</v>
      </c>
      <c r="C841" s="1109" t="s">
        <v>1608</v>
      </c>
      <c r="D841" s="1109" t="s">
        <v>1556</v>
      </c>
      <c r="E841" s="1105" t="s">
        <v>1404</v>
      </c>
    </row>
    <row r="842" spans="1:5" x14ac:dyDescent="0.25">
      <c r="A842" s="1031">
        <v>841</v>
      </c>
      <c r="B842" s="1031" t="s">
        <v>1535</v>
      </c>
      <c r="C842" s="1109" t="s">
        <v>1608</v>
      </c>
      <c r="D842" s="1109" t="s">
        <v>1556</v>
      </c>
      <c r="E842" s="1105" t="s">
        <v>1405</v>
      </c>
    </row>
    <row r="843" spans="1:5" x14ac:dyDescent="0.25">
      <c r="A843" s="1031">
        <v>842</v>
      </c>
      <c r="B843" s="1031" t="s">
        <v>1535</v>
      </c>
      <c r="C843" s="1109" t="s">
        <v>1608</v>
      </c>
      <c r="D843" s="1109" t="s">
        <v>1556</v>
      </c>
      <c r="E843" s="1105" t="s">
        <v>1406</v>
      </c>
    </row>
    <row r="844" spans="1:5" x14ac:dyDescent="0.25">
      <c r="A844" s="1031">
        <v>843</v>
      </c>
      <c r="B844" s="1031" t="s">
        <v>1535</v>
      </c>
      <c r="C844" s="1109" t="s">
        <v>1609</v>
      </c>
      <c r="D844" s="1109" t="s">
        <v>1556</v>
      </c>
      <c r="E844" s="1105" t="s">
        <v>1510</v>
      </c>
    </row>
    <row r="845" spans="1:5" x14ac:dyDescent="0.25">
      <c r="A845" s="1031">
        <v>844</v>
      </c>
      <c r="B845" s="1031" t="s">
        <v>1535</v>
      </c>
      <c r="C845" s="1109" t="s">
        <v>1609</v>
      </c>
      <c r="D845" s="1109" t="s">
        <v>1556</v>
      </c>
      <c r="E845" s="1105" t="s">
        <v>1724</v>
      </c>
    </row>
    <row r="846" spans="1:5" x14ac:dyDescent="0.25">
      <c r="A846" s="1031">
        <v>845</v>
      </c>
      <c r="B846" s="1031" t="s">
        <v>1535</v>
      </c>
      <c r="C846" s="1109" t="s">
        <v>1609</v>
      </c>
      <c r="D846" s="1109" t="s">
        <v>1556</v>
      </c>
      <c r="E846" s="1105" t="s">
        <v>1400</v>
      </c>
    </row>
    <row r="847" spans="1:5" x14ac:dyDescent="0.25">
      <c r="A847" s="1031">
        <v>846</v>
      </c>
      <c r="B847" s="1031" t="s">
        <v>1535</v>
      </c>
      <c r="C847" s="1109" t="s">
        <v>1609</v>
      </c>
      <c r="D847" s="1109" t="s">
        <v>1556</v>
      </c>
      <c r="E847" s="1105" t="s">
        <v>1397</v>
      </c>
    </row>
    <row r="848" spans="1:5" x14ac:dyDescent="0.25">
      <c r="A848" s="1031">
        <v>847</v>
      </c>
      <c r="B848" s="1031" t="s">
        <v>1535</v>
      </c>
      <c r="C848" s="1109" t="s">
        <v>1609</v>
      </c>
      <c r="D848" s="1109" t="s">
        <v>1556</v>
      </c>
      <c r="E848" s="1105" t="s">
        <v>1398</v>
      </c>
    </row>
    <row r="849" spans="1:5" x14ac:dyDescent="0.25">
      <c r="A849" s="1031">
        <v>848</v>
      </c>
      <c r="B849" s="1031" t="s">
        <v>1535</v>
      </c>
      <c r="C849" s="1109" t="s">
        <v>1609</v>
      </c>
      <c r="D849" s="1109" t="s">
        <v>1556</v>
      </c>
      <c r="E849" s="1105" t="s">
        <v>1414</v>
      </c>
    </row>
    <row r="850" spans="1:5" x14ac:dyDescent="0.25">
      <c r="A850" s="1031">
        <v>849</v>
      </c>
      <c r="B850" s="1031" t="s">
        <v>1535</v>
      </c>
      <c r="C850" s="1109" t="s">
        <v>1609</v>
      </c>
      <c r="D850" s="1109" t="s">
        <v>1556</v>
      </c>
      <c r="E850" s="1105" t="s">
        <v>1399</v>
      </c>
    </row>
    <row r="851" spans="1:5" x14ac:dyDescent="0.25">
      <c r="A851" s="1031">
        <v>850</v>
      </c>
      <c r="B851" s="1031" t="s">
        <v>1535</v>
      </c>
      <c r="C851" s="1109" t="s">
        <v>1609</v>
      </c>
      <c r="D851" s="1109" t="s">
        <v>1556</v>
      </c>
      <c r="E851" s="1105" t="s">
        <v>1505</v>
      </c>
    </row>
    <row r="852" spans="1:5" x14ac:dyDescent="0.25">
      <c r="A852" s="1031">
        <v>851</v>
      </c>
      <c r="B852" s="1031" t="s">
        <v>1535</v>
      </c>
      <c r="C852" s="1109" t="s">
        <v>1609</v>
      </c>
      <c r="D852" s="1109" t="s">
        <v>1556</v>
      </c>
      <c r="E852" s="1105" t="s">
        <v>1506</v>
      </c>
    </row>
    <row r="853" spans="1:5" x14ac:dyDescent="0.25">
      <c r="A853" s="1031">
        <v>852</v>
      </c>
      <c r="B853" s="1031" t="s">
        <v>1535</v>
      </c>
      <c r="C853" s="1109" t="s">
        <v>1609</v>
      </c>
      <c r="D853" s="1109" t="s">
        <v>1428</v>
      </c>
      <c r="E853" s="1105" t="s">
        <v>1507</v>
      </c>
    </row>
    <row r="854" spans="1:5" ht="30" x14ac:dyDescent="0.25">
      <c r="A854" s="1031">
        <v>853</v>
      </c>
      <c r="B854" s="1031" t="s">
        <v>1535</v>
      </c>
      <c r="C854" s="1109" t="s">
        <v>1609</v>
      </c>
      <c r="D854" s="1109" t="s">
        <v>1563</v>
      </c>
      <c r="E854" s="1105" t="s">
        <v>1402</v>
      </c>
    </row>
    <row r="855" spans="1:5" ht="30" x14ac:dyDescent="0.25">
      <c r="A855" s="1031">
        <v>854</v>
      </c>
      <c r="B855" s="1031" t="s">
        <v>1535</v>
      </c>
      <c r="C855" s="1109" t="s">
        <v>1609</v>
      </c>
      <c r="D855" s="1109" t="s">
        <v>1563</v>
      </c>
      <c r="E855" s="1105" t="s">
        <v>1403</v>
      </c>
    </row>
    <row r="856" spans="1:5" ht="30" x14ac:dyDescent="0.25">
      <c r="A856" s="1031">
        <v>855</v>
      </c>
      <c r="B856" s="1031" t="s">
        <v>1535</v>
      </c>
      <c r="C856" s="1109" t="s">
        <v>1609</v>
      </c>
      <c r="D856" s="1109" t="s">
        <v>1563</v>
      </c>
      <c r="E856" s="1105" t="s">
        <v>1514</v>
      </c>
    </row>
    <row r="857" spans="1:5" x14ac:dyDescent="0.25">
      <c r="A857" s="1031">
        <v>856</v>
      </c>
      <c r="B857" s="1031" t="s">
        <v>1535</v>
      </c>
      <c r="C857" s="1109" t="s">
        <v>1609</v>
      </c>
      <c r="D857" s="1109" t="s">
        <v>1428</v>
      </c>
      <c r="E857" s="1105" t="s">
        <v>1511</v>
      </c>
    </row>
    <row r="858" spans="1:5" x14ac:dyDescent="0.25">
      <c r="A858" s="1031">
        <v>857</v>
      </c>
      <c r="B858" s="1031" t="s">
        <v>1535</v>
      </c>
      <c r="C858" s="1109" t="s">
        <v>1609</v>
      </c>
      <c r="D858" s="1109" t="s">
        <v>1556</v>
      </c>
      <c r="E858" s="1105" t="s">
        <v>1525</v>
      </c>
    </row>
    <row r="859" spans="1:5" x14ac:dyDescent="0.25">
      <c r="A859" s="1031">
        <v>858</v>
      </c>
      <c r="B859" s="1031" t="s">
        <v>1535</v>
      </c>
      <c r="C859" s="1109" t="s">
        <v>1610</v>
      </c>
      <c r="D859" s="1109" t="s">
        <v>1556</v>
      </c>
      <c r="E859" s="1105" t="s">
        <v>1404</v>
      </c>
    </row>
    <row r="860" spans="1:5" x14ac:dyDescent="0.25">
      <c r="A860" s="1031">
        <v>859</v>
      </c>
      <c r="B860" s="1031" t="s">
        <v>1535</v>
      </c>
      <c r="C860" s="1109" t="s">
        <v>1610</v>
      </c>
      <c r="D860" s="1109" t="s">
        <v>1556</v>
      </c>
      <c r="E860" s="1105" t="s">
        <v>1405</v>
      </c>
    </row>
    <row r="861" spans="1:5" x14ac:dyDescent="0.25">
      <c r="A861" s="1031">
        <v>860</v>
      </c>
      <c r="B861" s="1031" t="s">
        <v>1535</v>
      </c>
      <c r="C861" s="1109" t="s">
        <v>1610</v>
      </c>
      <c r="D861" s="1109" t="s">
        <v>1556</v>
      </c>
      <c r="E861" s="1105" t="s">
        <v>1406</v>
      </c>
    </row>
    <row r="862" spans="1:5" x14ac:dyDescent="0.25">
      <c r="A862" s="1031">
        <v>861</v>
      </c>
      <c r="B862" s="1031" t="s">
        <v>1535</v>
      </c>
      <c r="C862" s="1109" t="s">
        <v>1611</v>
      </c>
      <c r="D862" s="1109" t="s">
        <v>1556</v>
      </c>
      <c r="E862" s="1105" t="s">
        <v>1404</v>
      </c>
    </row>
    <row r="863" spans="1:5" x14ac:dyDescent="0.25">
      <c r="A863" s="1031">
        <v>862</v>
      </c>
      <c r="B863" s="1031" t="s">
        <v>1535</v>
      </c>
      <c r="C863" s="1109" t="s">
        <v>1611</v>
      </c>
      <c r="D863" s="1109" t="s">
        <v>1556</v>
      </c>
      <c r="E863" s="1105" t="s">
        <v>1405</v>
      </c>
    </row>
    <row r="864" spans="1:5" x14ac:dyDescent="0.25">
      <c r="A864" s="1031">
        <v>863</v>
      </c>
      <c r="B864" s="1031" t="s">
        <v>1535</v>
      </c>
      <c r="C864" s="1109" t="s">
        <v>1611</v>
      </c>
      <c r="D864" s="1109" t="s">
        <v>1556</v>
      </c>
      <c r="E864" s="1105" t="s">
        <v>1406</v>
      </c>
    </row>
    <row r="865" spans="1:5" x14ac:dyDescent="0.25">
      <c r="A865" s="1031">
        <v>864</v>
      </c>
      <c r="B865" s="1031" t="s">
        <v>1535</v>
      </c>
      <c r="C865" s="1109" t="s">
        <v>1612</v>
      </c>
      <c r="D865" s="1109" t="s">
        <v>1556</v>
      </c>
      <c r="E865" s="1105" t="s">
        <v>1404</v>
      </c>
    </row>
    <row r="866" spans="1:5" x14ac:dyDescent="0.25">
      <c r="A866" s="1031">
        <v>865</v>
      </c>
      <c r="B866" s="1031" t="s">
        <v>1535</v>
      </c>
      <c r="C866" s="1109" t="s">
        <v>1612</v>
      </c>
      <c r="D866" s="1109" t="s">
        <v>1556</v>
      </c>
      <c r="E866" s="1105" t="s">
        <v>1405</v>
      </c>
    </row>
    <row r="867" spans="1:5" x14ac:dyDescent="0.25">
      <c r="A867" s="1031">
        <v>866</v>
      </c>
      <c r="B867" s="1031" t="s">
        <v>1535</v>
      </c>
      <c r="C867" s="1109" t="s">
        <v>1612</v>
      </c>
      <c r="D867" s="1109" t="s">
        <v>1556</v>
      </c>
      <c r="E867" s="1105" t="s">
        <v>1406</v>
      </c>
    </row>
    <row r="868" spans="1:5" x14ac:dyDescent="0.25">
      <c r="A868" s="1031">
        <v>867</v>
      </c>
      <c r="B868" s="1031" t="s">
        <v>1535</v>
      </c>
      <c r="C868" s="1109" t="s">
        <v>1613</v>
      </c>
      <c r="D868" s="1109" t="s">
        <v>1556</v>
      </c>
      <c r="E868" s="1105" t="s">
        <v>1404</v>
      </c>
    </row>
    <row r="869" spans="1:5" x14ac:dyDescent="0.25">
      <c r="A869" s="1031">
        <v>868</v>
      </c>
      <c r="B869" s="1031" t="s">
        <v>1535</v>
      </c>
      <c r="C869" s="1109" t="s">
        <v>1613</v>
      </c>
      <c r="D869" s="1109" t="s">
        <v>1556</v>
      </c>
      <c r="E869" s="1105" t="s">
        <v>1405</v>
      </c>
    </row>
    <row r="870" spans="1:5" x14ac:dyDescent="0.25">
      <c r="A870" s="1031">
        <v>869</v>
      </c>
      <c r="B870" s="1031" t="s">
        <v>1535</v>
      </c>
      <c r="C870" s="1109" t="s">
        <v>1613</v>
      </c>
      <c r="D870" s="1109" t="s">
        <v>1556</v>
      </c>
      <c r="E870" s="1105" t="s">
        <v>1406</v>
      </c>
    </row>
    <row r="871" spans="1:5" x14ac:dyDescent="0.25">
      <c r="A871" s="1031">
        <v>870</v>
      </c>
      <c r="B871" s="1031" t="s">
        <v>1535</v>
      </c>
      <c r="C871" s="1109" t="s">
        <v>1614</v>
      </c>
      <c r="D871" s="1109" t="s">
        <v>1556</v>
      </c>
      <c r="E871" s="1105" t="s">
        <v>1404</v>
      </c>
    </row>
    <row r="872" spans="1:5" x14ac:dyDescent="0.25">
      <c r="A872" s="1031">
        <v>871</v>
      </c>
      <c r="B872" s="1031" t="s">
        <v>1535</v>
      </c>
      <c r="C872" s="1109" t="s">
        <v>1614</v>
      </c>
      <c r="D872" s="1109" t="s">
        <v>1556</v>
      </c>
      <c r="E872" s="1105" t="s">
        <v>1405</v>
      </c>
    </row>
    <row r="873" spans="1:5" x14ac:dyDescent="0.25">
      <c r="A873" s="1031">
        <v>872</v>
      </c>
      <c r="B873" s="1031" t="s">
        <v>1535</v>
      </c>
      <c r="C873" s="1109" t="s">
        <v>1614</v>
      </c>
      <c r="D873" s="1109" t="s">
        <v>1556</v>
      </c>
      <c r="E873" s="1105" t="s">
        <v>1406</v>
      </c>
    </row>
    <row r="874" spans="1:5" x14ac:dyDescent="0.25">
      <c r="A874" s="1031">
        <v>873</v>
      </c>
      <c r="B874" s="1031" t="s">
        <v>1535</v>
      </c>
      <c r="C874" s="1109" t="s">
        <v>1767</v>
      </c>
      <c r="D874" s="1109" t="s">
        <v>1615</v>
      </c>
      <c r="E874" s="1105" t="s">
        <v>1510</v>
      </c>
    </row>
    <row r="875" spans="1:5" x14ac:dyDescent="0.25">
      <c r="A875" s="1031">
        <v>874</v>
      </c>
      <c r="B875" s="1031" t="s">
        <v>1535</v>
      </c>
      <c r="C875" s="1109" t="s">
        <v>1767</v>
      </c>
      <c r="D875" s="1109" t="s">
        <v>1615</v>
      </c>
      <c r="E875" s="1105" t="s">
        <v>1724</v>
      </c>
    </row>
    <row r="876" spans="1:5" x14ac:dyDescent="0.25">
      <c r="A876" s="1031">
        <v>875</v>
      </c>
      <c r="B876" s="1031" t="s">
        <v>1535</v>
      </c>
      <c r="C876" s="1109" t="s">
        <v>1767</v>
      </c>
      <c r="D876" s="1109" t="s">
        <v>1615</v>
      </c>
      <c r="E876" s="1105" t="s">
        <v>1400</v>
      </c>
    </row>
    <row r="877" spans="1:5" x14ac:dyDescent="0.25">
      <c r="A877" s="1031">
        <v>876</v>
      </c>
      <c r="B877" s="1031" t="s">
        <v>1535</v>
      </c>
      <c r="C877" s="1109" t="s">
        <v>1767</v>
      </c>
      <c r="D877" s="1109" t="s">
        <v>1615</v>
      </c>
      <c r="E877" s="1105" t="s">
        <v>1397</v>
      </c>
    </row>
    <row r="878" spans="1:5" x14ac:dyDescent="0.25">
      <c r="A878" s="1031">
        <v>877</v>
      </c>
      <c r="B878" s="1031" t="s">
        <v>1535</v>
      </c>
      <c r="C878" s="1109" t="s">
        <v>1767</v>
      </c>
      <c r="D878" s="1109" t="s">
        <v>1615</v>
      </c>
      <c r="E878" s="1105" t="s">
        <v>1398</v>
      </c>
    </row>
    <row r="879" spans="1:5" x14ac:dyDescent="0.25">
      <c r="A879" s="1031">
        <v>878</v>
      </c>
      <c r="B879" s="1031" t="s">
        <v>1535</v>
      </c>
      <c r="C879" s="1109" t="s">
        <v>1767</v>
      </c>
      <c r="D879" s="1109" t="s">
        <v>1615</v>
      </c>
      <c r="E879" s="1105" t="s">
        <v>1414</v>
      </c>
    </row>
    <row r="880" spans="1:5" x14ac:dyDescent="0.25">
      <c r="A880" s="1031">
        <v>879</v>
      </c>
      <c r="B880" s="1031" t="s">
        <v>1535</v>
      </c>
      <c r="C880" s="1109" t="s">
        <v>1767</v>
      </c>
      <c r="D880" s="1109" t="s">
        <v>1428</v>
      </c>
      <c r="E880" s="1105" t="s">
        <v>1399</v>
      </c>
    </row>
    <row r="881" spans="1:5" x14ac:dyDescent="0.25">
      <c r="A881" s="1031">
        <v>880</v>
      </c>
      <c r="B881" s="1031" t="s">
        <v>1535</v>
      </c>
      <c r="C881" s="1109" t="s">
        <v>1616</v>
      </c>
      <c r="D881" s="1109" t="s">
        <v>1615</v>
      </c>
      <c r="E881" s="1105" t="s">
        <v>1505</v>
      </c>
    </row>
    <row r="882" spans="1:5" x14ac:dyDescent="0.25">
      <c r="A882" s="1031">
        <v>881</v>
      </c>
      <c r="B882" s="1031" t="s">
        <v>1535</v>
      </c>
      <c r="C882" s="1109" t="s">
        <v>1616</v>
      </c>
      <c r="D882" s="1109" t="s">
        <v>1615</v>
      </c>
      <c r="E882" s="1105" t="s">
        <v>1506</v>
      </c>
    </row>
    <row r="883" spans="1:5" x14ac:dyDescent="0.25">
      <c r="A883" s="1031">
        <v>882</v>
      </c>
      <c r="B883" s="1031" t="s">
        <v>1535</v>
      </c>
      <c r="C883" s="1109" t="s">
        <v>1616</v>
      </c>
      <c r="D883" s="1109" t="s">
        <v>1428</v>
      </c>
      <c r="E883" s="1105" t="s">
        <v>1507</v>
      </c>
    </row>
    <row r="884" spans="1:5" ht="30" x14ac:dyDescent="0.25">
      <c r="A884" s="1031">
        <v>883</v>
      </c>
      <c r="B884" s="1031" t="s">
        <v>1535</v>
      </c>
      <c r="C884" s="1109" t="s">
        <v>1616</v>
      </c>
      <c r="D884" s="1109" t="s">
        <v>1563</v>
      </c>
      <c r="E884" s="1105" t="s">
        <v>1402</v>
      </c>
    </row>
    <row r="885" spans="1:5" ht="30" x14ac:dyDescent="0.25">
      <c r="A885" s="1031">
        <v>884</v>
      </c>
      <c r="B885" s="1031" t="s">
        <v>1535</v>
      </c>
      <c r="C885" s="1109" t="s">
        <v>1616</v>
      </c>
      <c r="D885" s="1109" t="s">
        <v>1563</v>
      </c>
      <c r="E885" s="1105" t="s">
        <v>1403</v>
      </c>
    </row>
    <row r="886" spans="1:5" ht="30" x14ac:dyDescent="0.25">
      <c r="A886" s="1031">
        <v>885</v>
      </c>
      <c r="B886" s="1031" t="s">
        <v>1535</v>
      </c>
      <c r="C886" s="1109" t="s">
        <v>1616</v>
      </c>
      <c r="D886" s="1109" t="s">
        <v>1563</v>
      </c>
      <c r="E886" s="1105" t="s">
        <v>1514</v>
      </c>
    </row>
    <row r="887" spans="1:5" x14ac:dyDescent="0.25">
      <c r="A887" s="1031">
        <v>886</v>
      </c>
      <c r="B887" s="1031" t="s">
        <v>1535</v>
      </c>
      <c r="C887" s="1109" t="s">
        <v>1616</v>
      </c>
      <c r="D887" s="1109" t="s">
        <v>1428</v>
      </c>
      <c r="E887" s="1105" t="s">
        <v>1511</v>
      </c>
    </row>
    <row r="888" spans="1:5" x14ac:dyDescent="0.25">
      <c r="A888" s="1031">
        <v>887</v>
      </c>
      <c r="B888" s="1031" t="s">
        <v>1535</v>
      </c>
      <c r="C888" s="1109" t="s">
        <v>1616</v>
      </c>
      <c r="D888" s="1109" t="s">
        <v>1615</v>
      </c>
      <c r="E888" s="1105" t="s">
        <v>1525</v>
      </c>
    </row>
    <row r="889" spans="1:5" x14ac:dyDescent="0.25">
      <c r="A889" s="1031">
        <v>888</v>
      </c>
      <c r="B889" s="1031" t="s">
        <v>1535</v>
      </c>
      <c r="C889" s="1109" t="s">
        <v>1617</v>
      </c>
      <c r="D889" s="1109" t="s">
        <v>1615</v>
      </c>
      <c r="E889" s="1105" t="s">
        <v>1404</v>
      </c>
    </row>
    <row r="890" spans="1:5" x14ac:dyDescent="0.25">
      <c r="A890" s="1031">
        <v>889</v>
      </c>
      <c r="B890" s="1031" t="s">
        <v>1535</v>
      </c>
      <c r="C890" s="1109" t="s">
        <v>1617</v>
      </c>
      <c r="D890" s="1109" t="s">
        <v>1615</v>
      </c>
      <c r="E890" s="1105" t="s">
        <v>1405</v>
      </c>
    </row>
    <row r="891" spans="1:5" x14ac:dyDescent="0.25">
      <c r="A891" s="1031">
        <v>890</v>
      </c>
      <c r="B891" s="1031" t="s">
        <v>1535</v>
      </c>
      <c r="C891" s="1109" t="s">
        <v>1617</v>
      </c>
      <c r="D891" s="1109" t="s">
        <v>1615</v>
      </c>
      <c r="E891" s="1105" t="s">
        <v>1110</v>
      </c>
    </row>
    <row r="892" spans="1:5" x14ac:dyDescent="0.25">
      <c r="A892" s="1031">
        <v>891</v>
      </c>
      <c r="B892" s="1031" t="s">
        <v>1535</v>
      </c>
      <c r="C892" s="1109" t="s">
        <v>1616</v>
      </c>
      <c r="D892" s="1109" t="s">
        <v>1615</v>
      </c>
      <c r="E892" s="1105" t="s">
        <v>1527</v>
      </c>
    </row>
    <row r="893" spans="1:5" x14ac:dyDescent="0.25">
      <c r="A893" s="1031">
        <v>892</v>
      </c>
      <c r="B893" s="1031" t="s">
        <v>1535</v>
      </c>
      <c r="C893" s="1109" t="s">
        <v>1768</v>
      </c>
      <c r="D893" s="1109" t="s">
        <v>1615</v>
      </c>
      <c r="E893" s="1107" t="s">
        <v>1510</v>
      </c>
    </row>
    <row r="894" spans="1:5" x14ac:dyDescent="0.25">
      <c r="A894" s="1031">
        <v>893</v>
      </c>
      <c r="B894" s="1031" t="s">
        <v>1535</v>
      </c>
      <c r="C894" s="1109" t="s">
        <v>1768</v>
      </c>
      <c r="D894" s="1109" t="s">
        <v>1615</v>
      </c>
      <c r="E894" s="1107" t="s">
        <v>1724</v>
      </c>
    </row>
    <row r="895" spans="1:5" x14ac:dyDescent="0.25">
      <c r="A895" s="1031">
        <v>894</v>
      </c>
      <c r="B895" s="1031" t="s">
        <v>1535</v>
      </c>
      <c r="C895" s="1109" t="s">
        <v>1768</v>
      </c>
      <c r="D895" s="1109" t="s">
        <v>1615</v>
      </c>
      <c r="E895" s="1107" t="s">
        <v>1400</v>
      </c>
    </row>
    <row r="896" spans="1:5" x14ac:dyDescent="0.25">
      <c r="A896" s="1031">
        <v>895</v>
      </c>
      <c r="B896" s="1031" t="s">
        <v>1535</v>
      </c>
      <c r="C896" s="1109" t="s">
        <v>1768</v>
      </c>
      <c r="D896" s="1109" t="s">
        <v>1615</v>
      </c>
      <c r="E896" s="1107" t="s">
        <v>1397</v>
      </c>
    </row>
    <row r="897" spans="1:5" x14ac:dyDescent="0.25">
      <c r="A897" s="1031">
        <v>896</v>
      </c>
      <c r="B897" s="1031" t="s">
        <v>1535</v>
      </c>
      <c r="C897" s="1109" t="s">
        <v>1768</v>
      </c>
      <c r="D897" s="1109" t="s">
        <v>1615</v>
      </c>
      <c r="E897" s="1107" t="s">
        <v>1398</v>
      </c>
    </row>
    <row r="898" spans="1:5" x14ac:dyDescent="0.25">
      <c r="A898" s="1031">
        <v>897</v>
      </c>
      <c r="B898" s="1031" t="s">
        <v>1535</v>
      </c>
      <c r="C898" s="1109" t="s">
        <v>1768</v>
      </c>
      <c r="D898" s="1109" t="s">
        <v>1615</v>
      </c>
      <c r="E898" s="1107" t="s">
        <v>1414</v>
      </c>
    </row>
    <row r="899" spans="1:5" x14ac:dyDescent="0.25">
      <c r="A899" s="1031">
        <v>898</v>
      </c>
      <c r="B899" s="1031" t="s">
        <v>1535</v>
      </c>
      <c r="C899" s="1109" t="s">
        <v>1768</v>
      </c>
      <c r="D899" s="1109" t="s">
        <v>1428</v>
      </c>
      <c r="E899" s="1107" t="s">
        <v>1399</v>
      </c>
    </row>
    <row r="900" spans="1:5" x14ac:dyDescent="0.25">
      <c r="A900" s="1031">
        <v>899</v>
      </c>
      <c r="B900" s="1031" t="s">
        <v>1535</v>
      </c>
      <c r="C900" s="1109" t="s">
        <v>1733</v>
      </c>
      <c r="D900" s="1109" t="s">
        <v>1615</v>
      </c>
      <c r="E900" s="1107" t="s">
        <v>1505</v>
      </c>
    </row>
    <row r="901" spans="1:5" x14ac:dyDescent="0.25">
      <c r="A901" s="1031">
        <v>900</v>
      </c>
      <c r="B901" s="1031" t="s">
        <v>1535</v>
      </c>
      <c r="C901" s="1109" t="s">
        <v>1733</v>
      </c>
      <c r="D901" s="1109" t="s">
        <v>1615</v>
      </c>
      <c r="E901" s="1107" t="s">
        <v>1506</v>
      </c>
    </row>
    <row r="902" spans="1:5" x14ac:dyDescent="0.25">
      <c r="A902" s="1031">
        <v>901</v>
      </c>
      <c r="B902" s="1031" t="s">
        <v>1535</v>
      </c>
      <c r="C902" s="1109" t="s">
        <v>1733</v>
      </c>
      <c r="D902" s="1109" t="s">
        <v>1428</v>
      </c>
      <c r="E902" s="1107" t="s">
        <v>1507</v>
      </c>
    </row>
    <row r="903" spans="1:5" ht="30" x14ac:dyDescent="0.25">
      <c r="A903" s="1031">
        <v>902</v>
      </c>
      <c r="B903" s="1031" t="s">
        <v>1535</v>
      </c>
      <c r="C903" s="1109" t="s">
        <v>1733</v>
      </c>
      <c r="D903" s="1109" t="s">
        <v>1563</v>
      </c>
      <c r="E903" s="1107" t="s">
        <v>1402</v>
      </c>
    </row>
    <row r="904" spans="1:5" ht="30" x14ac:dyDescent="0.25">
      <c r="A904" s="1031">
        <v>903</v>
      </c>
      <c r="B904" s="1031" t="s">
        <v>1535</v>
      </c>
      <c r="C904" s="1109" t="s">
        <v>1733</v>
      </c>
      <c r="D904" s="1109" t="s">
        <v>1563</v>
      </c>
      <c r="E904" s="1107" t="s">
        <v>1403</v>
      </c>
    </row>
    <row r="905" spans="1:5" ht="30" x14ac:dyDescent="0.25">
      <c r="A905" s="1031">
        <v>904</v>
      </c>
      <c r="B905" s="1031" t="s">
        <v>1535</v>
      </c>
      <c r="C905" s="1109" t="s">
        <v>1733</v>
      </c>
      <c r="D905" s="1109" t="s">
        <v>1563</v>
      </c>
      <c r="E905" s="1107" t="s">
        <v>1514</v>
      </c>
    </row>
    <row r="906" spans="1:5" x14ac:dyDescent="0.25">
      <c r="A906" s="1031">
        <v>905</v>
      </c>
      <c r="B906" s="1031" t="s">
        <v>1535</v>
      </c>
      <c r="C906" s="1109" t="s">
        <v>1733</v>
      </c>
      <c r="D906" s="1109" t="s">
        <v>1428</v>
      </c>
      <c r="E906" s="1107" t="s">
        <v>1511</v>
      </c>
    </row>
    <row r="907" spans="1:5" x14ac:dyDescent="0.25">
      <c r="A907" s="1031">
        <v>906</v>
      </c>
      <c r="B907" s="1031" t="s">
        <v>1535</v>
      </c>
      <c r="C907" s="1109" t="s">
        <v>1733</v>
      </c>
      <c r="D907" s="1109" t="s">
        <v>1615</v>
      </c>
      <c r="E907" s="1107" t="s">
        <v>1525</v>
      </c>
    </row>
    <row r="908" spans="1:5" x14ac:dyDescent="0.25">
      <c r="A908" s="1031">
        <v>907</v>
      </c>
      <c r="B908" s="1031" t="s">
        <v>1535</v>
      </c>
      <c r="C908" s="1109" t="s">
        <v>1734</v>
      </c>
      <c r="D908" s="1109" t="s">
        <v>1615</v>
      </c>
      <c r="E908" s="1107" t="s">
        <v>1404</v>
      </c>
    </row>
    <row r="909" spans="1:5" x14ac:dyDescent="0.25">
      <c r="A909" s="1031">
        <v>908</v>
      </c>
      <c r="B909" s="1031" t="s">
        <v>1535</v>
      </c>
      <c r="C909" s="1109" t="s">
        <v>1734</v>
      </c>
      <c r="D909" s="1109" t="s">
        <v>1615</v>
      </c>
      <c r="E909" s="1107" t="s">
        <v>1405</v>
      </c>
    </row>
    <row r="910" spans="1:5" x14ac:dyDescent="0.25">
      <c r="A910" s="1031">
        <v>909</v>
      </c>
      <c r="B910" s="1031" t="s">
        <v>1535</v>
      </c>
      <c r="C910" s="1109" t="s">
        <v>1734</v>
      </c>
      <c r="D910" s="1109" t="s">
        <v>1615</v>
      </c>
      <c r="E910" s="1107" t="s">
        <v>1110</v>
      </c>
    </row>
    <row r="911" spans="1:5" x14ac:dyDescent="0.25">
      <c r="A911" s="1031">
        <v>910</v>
      </c>
      <c r="B911" s="1031" t="s">
        <v>1535</v>
      </c>
      <c r="C911" s="1109" t="s">
        <v>1733</v>
      </c>
      <c r="D911" s="1109" t="s">
        <v>1615</v>
      </c>
      <c r="E911" s="1107" t="s">
        <v>1527</v>
      </c>
    </row>
    <row r="912" spans="1:5" x14ac:dyDescent="0.25">
      <c r="A912" s="1031">
        <v>911</v>
      </c>
      <c r="B912" s="1031" t="s">
        <v>1535</v>
      </c>
      <c r="C912" s="1109" t="s">
        <v>1769</v>
      </c>
      <c r="D912" s="1109" t="s">
        <v>1615</v>
      </c>
      <c r="E912" s="1107" t="s">
        <v>1510</v>
      </c>
    </row>
    <row r="913" spans="1:5" x14ac:dyDescent="0.25">
      <c r="A913" s="1031">
        <v>912</v>
      </c>
      <c r="B913" s="1031" t="s">
        <v>1535</v>
      </c>
      <c r="C913" s="1109" t="s">
        <v>1769</v>
      </c>
      <c r="D913" s="1109" t="s">
        <v>1615</v>
      </c>
      <c r="E913" s="1107" t="s">
        <v>1724</v>
      </c>
    </row>
    <row r="914" spans="1:5" x14ac:dyDescent="0.25">
      <c r="A914" s="1031">
        <v>913</v>
      </c>
      <c r="B914" s="1031" t="s">
        <v>1535</v>
      </c>
      <c r="C914" s="1109" t="s">
        <v>1769</v>
      </c>
      <c r="D914" s="1109" t="s">
        <v>1615</v>
      </c>
      <c r="E914" s="1107" t="s">
        <v>1400</v>
      </c>
    </row>
    <row r="915" spans="1:5" x14ac:dyDescent="0.25">
      <c r="A915" s="1031">
        <v>914</v>
      </c>
      <c r="B915" s="1031" t="s">
        <v>1535</v>
      </c>
      <c r="C915" s="1109" t="s">
        <v>1769</v>
      </c>
      <c r="D915" s="1109" t="s">
        <v>1615</v>
      </c>
      <c r="E915" s="1107" t="s">
        <v>1397</v>
      </c>
    </row>
    <row r="916" spans="1:5" x14ac:dyDescent="0.25">
      <c r="A916" s="1031">
        <v>915</v>
      </c>
      <c r="B916" s="1031" t="s">
        <v>1535</v>
      </c>
      <c r="C916" s="1109" t="s">
        <v>1769</v>
      </c>
      <c r="D916" s="1109" t="s">
        <v>1615</v>
      </c>
      <c r="E916" s="1107" t="s">
        <v>1398</v>
      </c>
    </row>
    <row r="917" spans="1:5" x14ac:dyDescent="0.25">
      <c r="A917" s="1031">
        <v>916</v>
      </c>
      <c r="B917" s="1031" t="s">
        <v>1535</v>
      </c>
      <c r="C917" s="1109" t="s">
        <v>1769</v>
      </c>
      <c r="D917" s="1109" t="s">
        <v>1615</v>
      </c>
      <c r="E917" s="1107" t="s">
        <v>1414</v>
      </c>
    </row>
    <row r="918" spans="1:5" x14ac:dyDescent="0.25">
      <c r="A918" s="1031">
        <v>917</v>
      </c>
      <c r="B918" s="1031" t="s">
        <v>1535</v>
      </c>
      <c r="C918" s="1109" t="s">
        <v>1769</v>
      </c>
      <c r="D918" s="1109" t="s">
        <v>1428</v>
      </c>
      <c r="E918" s="1107" t="s">
        <v>1399</v>
      </c>
    </row>
    <row r="919" spans="1:5" x14ac:dyDescent="0.25">
      <c r="A919" s="1031">
        <v>918</v>
      </c>
      <c r="B919" s="1031" t="s">
        <v>1535</v>
      </c>
      <c r="C919" s="1109" t="s">
        <v>1735</v>
      </c>
      <c r="D919" s="1109" t="s">
        <v>1615</v>
      </c>
      <c r="E919" s="1107" t="s">
        <v>1505</v>
      </c>
    </row>
    <row r="920" spans="1:5" x14ac:dyDescent="0.25">
      <c r="A920" s="1031">
        <v>919</v>
      </c>
      <c r="B920" s="1031" t="s">
        <v>1535</v>
      </c>
      <c r="C920" s="1109" t="s">
        <v>1735</v>
      </c>
      <c r="D920" s="1109" t="s">
        <v>1615</v>
      </c>
      <c r="E920" s="1107" t="s">
        <v>1506</v>
      </c>
    </row>
    <row r="921" spans="1:5" x14ac:dyDescent="0.25">
      <c r="A921" s="1031">
        <v>920</v>
      </c>
      <c r="B921" s="1031" t="s">
        <v>1535</v>
      </c>
      <c r="C921" s="1109" t="s">
        <v>1735</v>
      </c>
      <c r="D921" s="1109" t="s">
        <v>1428</v>
      </c>
      <c r="E921" s="1107" t="s">
        <v>1507</v>
      </c>
    </row>
    <row r="922" spans="1:5" ht="30" x14ac:dyDescent="0.25">
      <c r="A922" s="1031">
        <v>921</v>
      </c>
      <c r="B922" s="1031" t="s">
        <v>1535</v>
      </c>
      <c r="C922" s="1109" t="s">
        <v>1735</v>
      </c>
      <c r="D922" s="1109" t="s">
        <v>1563</v>
      </c>
      <c r="E922" s="1107" t="s">
        <v>1402</v>
      </c>
    </row>
    <row r="923" spans="1:5" ht="30" x14ac:dyDescent="0.25">
      <c r="A923" s="1031">
        <v>922</v>
      </c>
      <c r="B923" s="1031" t="s">
        <v>1535</v>
      </c>
      <c r="C923" s="1109" t="s">
        <v>1735</v>
      </c>
      <c r="D923" s="1109" t="s">
        <v>1563</v>
      </c>
      <c r="E923" s="1107" t="s">
        <v>1403</v>
      </c>
    </row>
    <row r="924" spans="1:5" ht="30" x14ac:dyDescent="0.25">
      <c r="A924" s="1031">
        <v>923</v>
      </c>
      <c r="B924" s="1031" t="s">
        <v>1535</v>
      </c>
      <c r="C924" s="1109" t="s">
        <v>1735</v>
      </c>
      <c r="D924" s="1109" t="s">
        <v>1563</v>
      </c>
      <c r="E924" s="1107" t="s">
        <v>1514</v>
      </c>
    </row>
    <row r="925" spans="1:5" x14ac:dyDescent="0.25">
      <c r="A925" s="1031">
        <v>924</v>
      </c>
      <c r="B925" s="1031" t="s">
        <v>1535</v>
      </c>
      <c r="C925" s="1109" t="s">
        <v>1735</v>
      </c>
      <c r="D925" s="1109" t="s">
        <v>1428</v>
      </c>
      <c r="E925" s="1107" t="s">
        <v>1511</v>
      </c>
    </row>
    <row r="926" spans="1:5" x14ac:dyDescent="0.25">
      <c r="A926" s="1031">
        <v>925</v>
      </c>
      <c r="B926" s="1031" t="s">
        <v>1535</v>
      </c>
      <c r="C926" s="1109" t="s">
        <v>1735</v>
      </c>
      <c r="D926" s="1109" t="s">
        <v>1615</v>
      </c>
      <c r="E926" s="1107" t="s">
        <v>1525</v>
      </c>
    </row>
    <row r="927" spans="1:5" x14ac:dyDescent="0.25">
      <c r="A927" s="1031">
        <v>926</v>
      </c>
      <c r="B927" s="1031" t="s">
        <v>1535</v>
      </c>
      <c r="C927" s="1109" t="s">
        <v>1736</v>
      </c>
      <c r="D927" s="1109" t="s">
        <v>1615</v>
      </c>
      <c r="E927" s="1107" t="s">
        <v>1404</v>
      </c>
    </row>
    <row r="928" spans="1:5" x14ac:dyDescent="0.25">
      <c r="A928" s="1031">
        <v>927</v>
      </c>
      <c r="B928" s="1031" t="s">
        <v>1535</v>
      </c>
      <c r="C928" s="1109" t="s">
        <v>1736</v>
      </c>
      <c r="D928" s="1109" t="s">
        <v>1615</v>
      </c>
      <c r="E928" s="1107" t="s">
        <v>1405</v>
      </c>
    </row>
    <row r="929" spans="1:5" x14ac:dyDescent="0.25">
      <c r="A929" s="1031">
        <v>928</v>
      </c>
      <c r="B929" s="1031" t="s">
        <v>1535</v>
      </c>
      <c r="C929" s="1109" t="s">
        <v>1736</v>
      </c>
      <c r="D929" s="1109" t="s">
        <v>1615</v>
      </c>
      <c r="E929" s="1107" t="s">
        <v>1110</v>
      </c>
    </row>
    <row r="930" spans="1:5" x14ac:dyDescent="0.25">
      <c r="A930" s="1031">
        <v>929</v>
      </c>
      <c r="B930" s="1031" t="s">
        <v>1535</v>
      </c>
      <c r="C930" s="1109" t="s">
        <v>1735</v>
      </c>
      <c r="D930" s="1109" t="s">
        <v>1615</v>
      </c>
      <c r="E930" s="1107" t="s">
        <v>1527</v>
      </c>
    </row>
    <row r="931" spans="1:5" x14ac:dyDescent="0.25">
      <c r="A931" s="1031">
        <v>930</v>
      </c>
      <c r="B931" s="1031" t="s">
        <v>1535</v>
      </c>
      <c r="C931" s="1109" t="s">
        <v>1770</v>
      </c>
      <c r="D931" s="1109" t="s">
        <v>1615</v>
      </c>
      <c r="E931" s="1107" t="s">
        <v>1510</v>
      </c>
    </row>
    <row r="932" spans="1:5" x14ac:dyDescent="0.25">
      <c r="A932" s="1031">
        <v>931</v>
      </c>
      <c r="B932" s="1031" t="s">
        <v>1535</v>
      </c>
      <c r="C932" s="1109" t="s">
        <v>1770</v>
      </c>
      <c r="D932" s="1109" t="s">
        <v>1615</v>
      </c>
      <c r="E932" s="1107" t="s">
        <v>1724</v>
      </c>
    </row>
    <row r="933" spans="1:5" x14ac:dyDescent="0.25">
      <c r="A933" s="1031">
        <v>932</v>
      </c>
      <c r="B933" s="1031" t="s">
        <v>1535</v>
      </c>
      <c r="C933" s="1109" t="s">
        <v>1770</v>
      </c>
      <c r="D933" s="1109" t="s">
        <v>1615</v>
      </c>
      <c r="E933" s="1107" t="s">
        <v>1400</v>
      </c>
    </row>
    <row r="934" spans="1:5" x14ac:dyDescent="0.25">
      <c r="A934" s="1031">
        <v>933</v>
      </c>
      <c r="B934" s="1031" t="s">
        <v>1535</v>
      </c>
      <c r="C934" s="1109" t="s">
        <v>1770</v>
      </c>
      <c r="D934" s="1109" t="s">
        <v>1615</v>
      </c>
      <c r="E934" s="1107" t="s">
        <v>1397</v>
      </c>
    </row>
    <row r="935" spans="1:5" x14ac:dyDescent="0.25">
      <c r="A935" s="1031">
        <v>934</v>
      </c>
      <c r="B935" s="1031" t="s">
        <v>1535</v>
      </c>
      <c r="C935" s="1109" t="s">
        <v>1770</v>
      </c>
      <c r="D935" s="1109" t="s">
        <v>1615</v>
      </c>
      <c r="E935" s="1107" t="s">
        <v>1398</v>
      </c>
    </row>
    <row r="936" spans="1:5" x14ac:dyDescent="0.25">
      <c r="A936" s="1031">
        <v>935</v>
      </c>
      <c r="B936" s="1031" t="s">
        <v>1535</v>
      </c>
      <c r="C936" s="1109" t="s">
        <v>1770</v>
      </c>
      <c r="D936" s="1109" t="s">
        <v>1615</v>
      </c>
      <c r="E936" s="1107" t="s">
        <v>1414</v>
      </c>
    </row>
    <row r="937" spans="1:5" x14ac:dyDescent="0.25">
      <c r="A937" s="1031">
        <v>936</v>
      </c>
      <c r="B937" s="1031" t="s">
        <v>1535</v>
      </c>
      <c r="C937" s="1109" t="s">
        <v>1770</v>
      </c>
      <c r="D937" s="1109" t="s">
        <v>1428</v>
      </c>
      <c r="E937" s="1107" t="s">
        <v>1399</v>
      </c>
    </row>
    <row r="938" spans="1:5" x14ac:dyDescent="0.25">
      <c r="A938" s="1031">
        <v>937</v>
      </c>
      <c r="B938" s="1031" t="s">
        <v>1535</v>
      </c>
      <c r="C938" s="1109" t="s">
        <v>1737</v>
      </c>
      <c r="D938" s="1109" t="s">
        <v>1615</v>
      </c>
      <c r="E938" s="1107" t="s">
        <v>1505</v>
      </c>
    </row>
    <row r="939" spans="1:5" x14ac:dyDescent="0.25">
      <c r="A939" s="1031">
        <v>938</v>
      </c>
      <c r="B939" s="1031" t="s">
        <v>1535</v>
      </c>
      <c r="C939" s="1109" t="s">
        <v>1737</v>
      </c>
      <c r="D939" s="1109" t="s">
        <v>1615</v>
      </c>
      <c r="E939" s="1107" t="s">
        <v>1506</v>
      </c>
    </row>
    <row r="940" spans="1:5" x14ac:dyDescent="0.25">
      <c r="A940" s="1031">
        <v>939</v>
      </c>
      <c r="B940" s="1031" t="s">
        <v>1535</v>
      </c>
      <c r="C940" s="1109" t="s">
        <v>1737</v>
      </c>
      <c r="D940" s="1109" t="s">
        <v>1428</v>
      </c>
      <c r="E940" s="1107" t="s">
        <v>1507</v>
      </c>
    </row>
    <row r="941" spans="1:5" ht="30" x14ac:dyDescent="0.25">
      <c r="A941" s="1031">
        <v>940</v>
      </c>
      <c r="B941" s="1031" t="s">
        <v>1535</v>
      </c>
      <c r="C941" s="1109" t="s">
        <v>1737</v>
      </c>
      <c r="D941" s="1109" t="s">
        <v>1563</v>
      </c>
      <c r="E941" s="1107" t="s">
        <v>1402</v>
      </c>
    </row>
    <row r="942" spans="1:5" ht="30" x14ac:dyDescent="0.25">
      <c r="A942" s="1031">
        <v>941</v>
      </c>
      <c r="B942" s="1031" t="s">
        <v>1535</v>
      </c>
      <c r="C942" s="1109" t="s">
        <v>1737</v>
      </c>
      <c r="D942" s="1109" t="s">
        <v>1563</v>
      </c>
      <c r="E942" s="1107" t="s">
        <v>1403</v>
      </c>
    </row>
    <row r="943" spans="1:5" ht="30" x14ac:dyDescent="0.25">
      <c r="A943" s="1031">
        <v>942</v>
      </c>
      <c r="B943" s="1031" t="s">
        <v>1535</v>
      </c>
      <c r="C943" s="1109" t="s">
        <v>1737</v>
      </c>
      <c r="D943" s="1109" t="s">
        <v>1563</v>
      </c>
      <c r="E943" s="1107" t="s">
        <v>1514</v>
      </c>
    </row>
    <row r="944" spans="1:5" x14ac:dyDescent="0.25">
      <c r="A944" s="1031">
        <v>943</v>
      </c>
      <c r="B944" s="1031" t="s">
        <v>1535</v>
      </c>
      <c r="C944" s="1109" t="s">
        <v>1737</v>
      </c>
      <c r="D944" s="1109" t="s">
        <v>1428</v>
      </c>
      <c r="E944" s="1107" t="s">
        <v>1511</v>
      </c>
    </row>
    <row r="945" spans="1:5" x14ac:dyDescent="0.25">
      <c r="A945" s="1031">
        <v>944</v>
      </c>
      <c r="B945" s="1031" t="s">
        <v>1535</v>
      </c>
      <c r="C945" s="1109" t="s">
        <v>1737</v>
      </c>
      <c r="D945" s="1109" t="s">
        <v>1615</v>
      </c>
      <c r="E945" s="1107" t="s">
        <v>1525</v>
      </c>
    </row>
    <row r="946" spans="1:5" x14ac:dyDescent="0.25">
      <c r="A946" s="1031">
        <v>945</v>
      </c>
      <c r="B946" s="1031" t="s">
        <v>1535</v>
      </c>
      <c r="C946" s="1109" t="s">
        <v>1738</v>
      </c>
      <c r="D946" s="1109" t="s">
        <v>1615</v>
      </c>
      <c r="E946" s="1107" t="s">
        <v>1404</v>
      </c>
    </row>
    <row r="947" spans="1:5" x14ac:dyDescent="0.25">
      <c r="A947" s="1031">
        <v>946</v>
      </c>
      <c r="B947" s="1031" t="s">
        <v>1535</v>
      </c>
      <c r="C947" s="1109" t="s">
        <v>1738</v>
      </c>
      <c r="D947" s="1109" t="s">
        <v>1615</v>
      </c>
      <c r="E947" s="1107" t="s">
        <v>1405</v>
      </c>
    </row>
    <row r="948" spans="1:5" x14ac:dyDescent="0.25">
      <c r="A948" s="1031">
        <v>947</v>
      </c>
      <c r="B948" s="1031" t="s">
        <v>1535</v>
      </c>
      <c r="C948" s="1109" t="s">
        <v>1738</v>
      </c>
      <c r="D948" s="1109" t="s">
        <v>1615</v>
      </c>
      <c r="E948" s="1107" t="s">
        <v>1110</v>
      </c>
    </row>
    <row r="949" spans="1:5" x14ac:dyDescent="0.25">
      <c r="A949" s="1031">
        <v>948</v>
      </c>
      <c r="B949" s="1031" t="s">
        <v>1535</v>
      </c>
      <c r="C949" s="1109" t="s">
        <v>1737</v>
      </c>
      <c r="D949" s="1109" t="s">
        <v>1615</v>
      </c>
      <c r="E949" s="1107" t="s">
        <v>1527</v>
      </c>
    </row>
    <row r="950" spans="1:5" x14ac:dyDescent="0.25">
      <c r="A950" s="1031">
        <v>949</v>
      </c>
      <c r="B950" s="1031" t="s">
        <v>1535</v>
      </c>
      <c r="C950" s="1109" t="s">
        <v>1771</v>
      </c>
      <c r="D950" s="1109" t="s">
        <v>1615</v>
      </c>
      <c r="E950" s="1107" t="s">
        <v>1510</v>
      </c>
    </row>
    <row r="951" spans="1:5" x14ac:dyDescent="0.25">
      <c r="A951" s="1031">
        <v>950</v>
      </c>
      <c r="B951" s="1031" t="s">
        <v>1535</v>
      </c>
      <c r="C951" s="1109" t="s">
        <v>1771</v>
      </c>
      <c r="D951" s="1109" t="s">
        <v>1615</v>
      </c>
      <c r="E951" s="1107" t="s">
        <v>1724</v>
      </c>
    </row>
    <row r="952" spans="1:5" x14ac:dyDescent="0.25">
      <c r="A952" s="1031">
        <v>951</v>
      </c>
      <c r="B952" s="1031" t="s">
        <v>1535</v>
      </c>
      <c r="C952" s="1109" t="s">
        <v>1771</v>
      </c>
      <c r="D952" s="1109" t="s">
        <v>1615</v>
      </c>
      <c r="E952" s="1107" t="s">
        <v>1400</v>
      </c>
    </row>
    <row r="953" spans="1:5" x14ac:dyDescent="0.25">
      <c r="A953" s="1031">
        <v>952</v>
      </c>
      <c r="B953" s="1031" t="s">
        <v>1535</v>
      </c>
      <c r="C953" s="1109" t="s">
        <v>1771</v>
      </c>
      <c r="D953" s="1109" t="s">
        <v>1615</v>
      </c>
      <c r="E953" s="1107" t="s">
        <v>1397</v>
      </c>
    </row>
    <row r="954" spans="1:5" x14ac:dyDescent="0.25">
      <c r="A954" s="1031">
        <v>953</v>
      </c>
      <c r="B954" s="1031" t="s">
        <v>1535</v>
      </c>
      <c r="C954" s="1109" t="s">
        <v>1771</v>
      </c>
      <c r="D954" s="1109" t="s">
        <v>1615</v>
      </c>
      <c r="E954" s="1107" t="s">
        <v>1398</v>
      </c>
    </row>
    <row r="955" spans="1:5" x14ac:dyDescent="0.25">
      <c r="A955" s="1031">
        <v>954</v>
      </c>
      <c r="B955" s="1031" t="s">
        <v>1535</v>
      </c>
      <c r="C955" s="1109" t="s">
        <v>1771</v>
      </c>
      <c r="D955" s="1109" t="s">
        <v>1615</v>
      </c>
      <c r="E955" s="1107" t="s">
        <v>1414</v>
      </c>
    </row>
    <row r="956" spans="1:5" x14ac:dyDescent="0.25">
      <c r="A956" s="1031">
        <v>955</v>
      </c>
      <c r="B956" s="1031" t="s">
        <v>1535</v>
      </c>
      <c r="C956" s="1109" t="s">
        <v>1771</v>
      </c>
      <c r="D956" s="1109" t="s">
        <v>1428</v>
      </c>
      <c r="E956" s="1107" t="s">
        <v>1399</v>
      </c>
    </row>
    <row r="957" spans="1:5" x14ac:dyDescent="0.25">
      <c r="A957" s="1031">
        <v>956</v>
      </c>
      <c r="B957" s="1031" t="s">
        <v>1535</v>
      </c>
      <c r="C957" s="1109" t="s">
        <v>1739</v>
      </c>
      <c r="D957" s="1109" t="s">
        <v>1615</v>
      </c>
      <c r="E957" s="1107" t="s">
        <v>1505</v>
      </c>
    </row>
    <row r="958" spans="1:5" x14ac:dyDescent="0.25">
      <c r="A958" s="1031">
        <v>957</v>
      </c>
      <c r="B958" s="1031" t="s">
        <v>1535</v>
      </c>
      <c r="C958" s="1109" t="s">
        <v>1739</v>
      </c>
      <c r="D958" s="1109" t="s">
        <v>1615</v>
      </c>
      <c r="E958" s="1107" t="s">
        <v>1506</v>
      </c>
    </row>
    <row r="959" spans="1:5" x14ac:dyDescent="0.25">
      <c r="A959" s="1031">
        <v>958</v>
      </c>
      <c r="B959" s="1031" t="s">
        <v>1535</v>
      </c>
      <c r="C959" s="1109" t="s">
        <v>1739</v>
      </c>
      <c r="D959" s="1109" t="s">
        <v>1428</v>
      </c>
      <c r="E959" s="1107" t="s">
        <v>1507</v>
      </c>
    </row>
    <row r="960" spans="1:5" ht="30" x14ac:dyDescent="0.25">
      <c r="A960" s="1031">
        <v>959</v>
      </c>
      <c r="B960" s="1031" t="s">
        <v>1535</v>
      </c>
      <c r="C960" s="1109" t="s">
        <v>1739</v>
      </c>
      <c r="D960" s="1109" t="s">
        <v>1563</v>
      </c>
      <c r="E960" s="1107" t="s">
        <v>1402</v>
      </c>
    </row>
    <row r="961" spans="1:5" ht="30" x14ac:dyDescent="0.25">
      <c r="A961" s="1031">
        <v>960</v>
      </c>
      <c r="B961" s="1031" t="s">
        <v>1535</v>
      </c>
      <c r="C961" s="1109" t="s">
        <v>1739</v>
      </c>
      <c r="D961" s="1109" t="s">
        <v>1563</v>
      </c>
      <c r="E961" s="1107" t="s">
        <v>1403</v>
      </c>
    </row>
    <row r="962" spans="1:5" ht="30" x14ac:dyDescent="0.25">
      <c r="A962" s="1031">
        <v>961</v>
      </c>
      <c r="B962" s="1031" t="s">
        <v>1535</v>
      </c>
      <c r="C962" s="1109" t="s">
        <v>1739</v>
      </c>
      <c r="D962" s="1109" t="s">
        <v>1563</v>
      </c>
      <c r="E962" s="1107" t="s">
        <v>1514</v>
      </c>
    </row>
    <row r="963" spans="1:5" x14ac:dyDescent="0.25">
      <c r="A963" s="1031">
        <v>962</v>
      </c>
      <c r="B963" s="1031" t="s">
        <v>1535</v>
      </c>
      <c r="C963" s="1109" t="s">
        <v>1739</v>
      </c>
      <c r="D963" s="1109" t="s">
        <v>1428</v>
      </c>
      <c r="E963" s="1107" t="s">
        <v>1511</v>
      </c>
    </row>
    <row r="964" spans="1:5" x14ac:dyDescent="0.25">
      <c r="A964" s="1031">
        <v>963</v>
      </c>
      <c r="B964" s="1031" t="s">
        <v>1535</v>
      </c>
      <c r="C964" s="1109" t="s">
        <v>1739</v>
      </c>
      <c r="D964" s="1109" t="s">
        <v>1615</v>
      </c>
      <c r="E964" s="1107" t="s">
        <v>1525</v>
      </c>
    </row>
    <row r="965" spans="1:5" x14ac:dyDescent="0.25">
      <c r="A965" s="1031">
        <v>964</v>
      </c>
      <c r="B965" s="1031" t="s">
        <v>1535</v>
      </c>
      <c r="C965" s="1109" t="s">
        <v>1740</v>
      </c>
      <c r="D965" s="1109" t="s">
        <v>1615</v>
      </c>
      <c r="E965" s="1107" t="s">
        <v>1404</v>
      </c>
    </row>
    <row r="966" spans="1:5" x14ac:dyDescent="0.25">
      <c r="A966" s="1031">
        <v>965</v>
      </c>
      <c r="B966" s="1031" t="s">
        <v>1535</v>
      </c>
      <c r="C966" s="1109" t="s">
        <v>1740</v>
      </c>
      <c r="D966" s="1109" t="s">
        <v>1615</v>
      </c>
      <c r="E966" s="1107" t="s">
        <v>1405</v>
      </c>
    </row>
    <row r="967" spans="1:5" x14ac:dyDescent="0.25">
      <c r="A967" s="1031">
        <v>966</v>
      </c>
      <c r="B967" s="1031" t="s">
        <v>1535</v>
      </c>
      <c r="C967" s="1109" t="s">
        <v>1740</v>
      </c>
      <c r="D967" s="1109" t="s">
        <v>1615</v>
      </c>
      <c r="E967" s="1107" t="s">
        <v>1110</v>
      </c>
    </row>
    <row r="968" spans="1:5" x14ac:dyDescent="0.25">
      <c r="A968" s="1031">
        <v>967</v>
      </c>
      <c r="B968" s="1031" t="s">
        <v>1535</v>
      </c>
      <c r="C968" s="1109" t="s">
        <v>1739</v>
      </c>
      <c r="D968" s="1109" t="s">
        <v>1615</v>
      </c>
      <c r="E968" s="1107" t="s">
        <v>1527</v>
      </c>
    </row>
    <row r="969" spans="1:5" x14ac:dyDescent="0.25">
      <c r="A969" s="1031">
        <v>968</v>
      </c>
      <c r="B969" s="1031" t="s">
        <v>1535</v>
      </c>
      <c r="C969" s="1109" t="s">
        <v>1772</v>
      </c>
      <c r="D969" s="1109" t="s">
        <v>1682</v>
      </c>
      <c r="E969" s="1031" t="s">
        <v>1510</v>
      </c>
    </row>
    <row r="970" spans="1:5" x14ac:dyDescent="0.25">
      <c r="A970" s="1031">
        <v>969</v>
      </c>
      <c r="B970" s="1031" t="s">
        <v>1535</v>
      </c>
      <c r="C970" s="1109" t="s">
        <v>1772</v>
      </c>
      <c r="D970" s="1109" t="s">
        <v>1682</v>
      </c>
      <c r="E970" s="1031" t="s">
        <v>1724</v>
      </c>
    </row>
    <row r="971" spans="1:5" x14ac:dyDescent="0.25">
      <c r="A971" s="1031">
        <v>970</v>
      </c>
      <c r="B971" s="1031" t="s">
        <v>1535</v>
      </c>
      <c r="C971" s="1109" t="s">
        <v>1772</v>
      </c>
      <c r="D971" s="1109" t="s">
        <v>1682</v>
      </c>
      <c r="E971" s="1031" t="s">
        <v>1400</v>
      </c>
    </row>
    <row r="972" spans="1:5" x14ac:dyDescent="0.25">
      <c r="A972" s="1031">
        <v>971</v>
      </c>
      <c r="B972" s="1031" t="s">
        <v>1535</v>
      </c>
      <c r="C972" s="1109" t="s">
        <v>1772</v>
      </c>
      <c r="D972" s="1109" t="s">
        <v>1682</v>
      </c>
      <c r="E972" s="1031" t="s">
        <v>1397</v>
      </c>
    </row>
    <row r="973" spans="1:5" x14ac:dyDescent="0.25">
      <c r="A973" s="1031">
        <v>972</v>
      </c>
      <c r="B973" s="1031" t="s">
        <v>1535</v>
      </c>
      <c r="C973" s="1109" t="s">
        <v>1772</v>
      </c>
      <c r="D973" s="1109" t="s">
        <v>1682</v>
      </c>
      <c r="E973" s="1031" t="s">
        <v>1398</v>
      </c>
    </row>
    <row r="974" spans="1:5" x14ac:dyDescent="0.25">
      <c r="A974" s="1031">
        <v>973</v>
      </c>
      <c r="B974" s="1031" t="s">
        <v>1535</v>
      </c>
      <c r="C974" s="1109" t="s">
        <v>1772</v>
      </c>
      <c r="D974" s="1109" t="s">
        <v>1682</v>
      </c>
      <c r="E974" s="1031" t="s">
        <v>1414</v>
      </c>
    </row>
    <row r="975" spans="1:5" x14ac:dyDescent="0.25">
      <c r="A975" s="1031">
        <v>974</v>
      </c>
      <c r="B975" s="1031" t="s">
        <v>1535</v>
      </c>
      <c r="C975" s="1109" t="s">
        <v>1772</v>
      </c>
      <c r="D975" s="1109" t="s">
        <v>1428</v>
      </c>
      <c r="E975" s="1031" t="s">
        <v>1399</v>
      </c>
    </row>
    <row r="976" spans="1:5" x14ac:dyDescent="0.25">
      <c r="A976" s="1031">
        <v>975</v>
      </c>
      <c r="B976" s="1031" t="s">
        <v>1535</v>
      </c>
      <c r="C976" s="1109" t="s">
        <v>1683</v>
      </c>
      <c r="D976" s="1109" t="s">
        <v>1682</v>
      </c>
      <c r="E976" s="1031" t="s">
        <v>1505</v>
      </c>
    </row>
    <row r="977" spans="1:5" x14ac:dyDescent="0.25">
      <c r="A977" s="1031">
        <v>976</v>
      </c>
      <c r="B977" s="1031" t="s">
        <v>1535</v>
      </c>
      <c r="C977" s="1109" t="s">
        <v>1683</v>
      </c>
      <c r="D977" s="1109" t="s">
        <v>1682</v>
      </c>
      <c r="E977" s="1031" t="s">
        <v>1506</v>
      </c>
    </row>
    <row r="978" spans="1:5" x14ac:dyDescent="0.25">
      <c r="A978" s="1031">
        <v>977</v>
      </c>
      <c r="B978" s="1031" t="s">
        <v>1535</v>
      </c>
      <c r="C978" s="1109" t="s">
        <v>1683</v>
      </c>
      <c r="D978" s="1109" t="s">
        <v>1428</v>
      </c>
      <c r="E978" s="1031" t="s">
        <v>1507</v>
      </c>
    </row>
    <row r="979" spans="1:5" ht="30" x14ac:dyDescent="0.25">
      <c r="A979" s="1031">
        <v>978</v>
      </c>
      <c r="B979" s="1031" t="s">
        <v>1535</v>
      </c>
      <c r="C979" s="1109" t="s">
        <v>1683</v>
      </c>
      <c r="D979" s="1109" t="s">
        <v>1563</v>
      </c>
      <c r="E979" s="1031" t="s">
        <v>1402</v>
      </c>
    </row>
    <row r="980" spans="1:5" ht="30" x14ac:dyDescent="0.25">
      <c r="A980" s="1031">
        <v>979</v>
      </c>
      <c r="B980" s="1031" t="s">
        <v>1535</v>
      </c>
      <c r="C980" s="1109" t="s">
        <v>1683</v>
      </c>
      <c r="D980" s="1109" t="s">
        <v>1563</v>
      </c>
      <c r="E980" s="1031" t="s">
        <v>1403</v>
      </c>
    </row>
    <row r="981" spans="1:5" ht="30" x14ac:dyDescent="0.25">
      <c r="A981" s="1031">
        <v>980</v>
      </c>
      <c r="B981" s="1031" t="s">
        <v>1535</v>
      </c>
      <c r="C981" s="1109" t="s">
        <v>1683</v>
      </c>
      <c r="D981" s="1109" t="s">
        <v>1563</v>
      </c>
      <c r="E981" s="1031" t="s">
        <v>1514</v>
      </c>
    </row>
    <row r="982" spans="1:5" x14ac:dyDescent="0.25">
      <c r="A982" s="1031">
        <v>981</v>
      </c>
      <c r="B982" s="1031" t="s">
        <v>1535</v>
      </c>
      <c r="C982" s="1109" t="s">
        <v>1683</v>
      </c>
      <c r="D982" s="1109" t="s">
        <v>1428</v>
      </c>
      <c r="E982" s="1031" t="s">
        <v>1511</v>
      </c>
    </row>
    <row r="983" spans="1:5" x14ac:dyDescent="0.25">
      <c r="A983" s="1031">
        <v>982</v>
      </c>
      <c r="B983" s="1031" t="s">
        <v>1535</v>
      </c>
      <c r="C983" s="1109" t="s">
        <v>1683</v>
      </c>
      <c r="D983" s="1109" t="s">
        <v>1682</v>
      </c>
      <c r="E983" s="1031" t="s">
        <v>1525</v>
      </c>
    </row>
    <row r="984" spans="1:5" x14ac:dyDescent="0.25">
      <c r="A984" s="1031">
        <v>983</v>
      </c>
      <c r="B984" s="1031" t="s">
        <v>1535</v>
      </c>
      <c r="C984" s="1109" t="s">
        <v>1684</v>
      </c>
      <c r="D984" s="1109" t="s">
        <v>1682</v>
      </c>
      <c r="E984" s="1031" t="s">
        <v>1404</v>
      </c>
    </row>
    <row r="985" spans="1:5" x14ac:dyDescent="0.25">
      <c r="A985" s="1031">
        <v>984</v>
      </c>
      <c r="B985" s="1031" t="s">
        <v>1535</v>
      </c>
      <c r="C985" s="1109" t="s">
        <v>1684</v>
      </c>
      <c r="D985" s="1109" t="s">
        <v>1682</v>
      </c>
      <c r="E985" s="1031" t="s">
        <v>1405</v>
      </c>
    </row>
    <row r="986" spans="1:5" x14ac:dyDescent="0.25">
      <c r="A986" s="1031">
        <v>985</v>
      </c>
      <c r="B986" s="1031" t="s">
        <v>1535</v>
      </c>
      <c r="C986" s="1109" t="s">
        <v>1684</v>
      </c>
      <c r="D986" s="1109" t="s">
        <v>1682</v>
      </c>
      <c r="E986" s="1031" t="s">
        <v>1110</v>
      </c>
    </row>
    <row r="987" spans="1:5" x14ac:dyDescent="0.25">
      <c r="A987" s="1031">
        <v>986</v>
      </c>
      <c r="B987" s="1031" t="s">
        <v>1535</v>
      </c>
      <c r="C987" s="1109" t="s">
        <v>1773</v>
      </c>
      <c r="D987" s="1109" t="s">
        <v>1685</v>
      </c>
      <c r="E987" s="1031" t="s">
        <v>1510</v>
      </c>
    </row>
    <row r="988" spans="1:5" x14ac:dyDescent="0.25">
      <c r="A988" s="1031">
        <v>987</v>
      </c>
      <c r="B988" s="1031" t="s">
        <v>1535</v>
      </c>
      <c r="C988" s="1109" t="s">
        <v>1773</v>
      </c>
      <c r="D988" s="1109" t="s">
        <v>1685</v>
      </c>
      <c r="E988" s="1031" t="s">
        <v>1724</v>
      </c>
    </row>
    <row r="989" spans="1:5" x14ac:dyDescent="0.25">
      <c r="A989" s="1031">
        <v>988</v>
      </c>
      <c r="B989" s="1031" t="s">
        <v>1535</v>
      </c>
      <c r="C989" s="1109" t="s">
        <v>1773</v>
      </c>
      <c r="D989" s="1109" t="s">
        <v>1685</v>
      </c>
      <c r="E989" s="1031" t="s">
        <v>1400</v>
      </c>
    </row>
    <row r="990" spans="1:5" x14ac:dyDescent="0.25">
      <c r="A990" s="1031">
        <v>989</v>
      </c>
      <c r="B990" s="1031" t="s">
        <v>1535</v>
      </c>
      <c r="C990" s="1109" t="s">
        <v>1773</v>
      </c>
      <c r="D990" s="1109" t="s">
        <v>1685</v>
      </c>
      <c r="E990" s="1031" t="s">
        <v>1398</v>
      </c>
    </row>
    <row r="991" spans="1:5" x14ac:dyDescent="0.25">
      <c r="A991" s="1031">
        <v>990</v>
      </c>
      <c r="B991" s="1031" t="s">
        <v>1535</v>
      </c>
      <c r="C991" s="1109" t="s">
        <v>1773</v>
      </c>
      <c r="D991" s="1109" t="s">
        <v>1685</v>
      </c>
      <c r="E991" s="1031" t="s">
        <v>1414</v>
      </c>
    </row>
    <row r="992" spans="1:5" x14ac:dyDescent="0.25">
      <c r="A992" s="1031">
        <v>991</v>
      </c>
      <c r="B992" s="1031" t="s">
        <v>1535</v>
      </c>
      <c r="C992" s="1109" t="s">
        <v>1773</v>
      </c>
      <c r="D992" s="1109" t="s">
        <v>1428</v>
      </c>
      <c r="E992" s="1031" t="s">
        <v>1399</v>
      </c>
    </row>
    <row r="993" spans="1:5" ht="30" x14ac:dyDescent="0.25">
      <c r="A993" s="1031">
        <v>992</v>
      </c>
      <c r="B993" s="1031" t="s">
        <v>1535</v>
      </c>
      <c r="C993" s="1109" t="s">
        <v>1686</v>
      </c>
      <c r="D993" s="1109" t="s">
        <v>1563</v>
      </c>
      <c r="E993" s="1031" t="s">
        <v>1402</v>
      </c>
    </row>
    <row r="994" spans="1:5" ht="30" x14ac:dyDescent="0.25">
      <c r="A994" s="1031">
        <v>993</v>
      </c>
      <c r="B994" s="1031" t="s">
        <v>1535</v>
      </c>
      <c r="C994" s="1109" t="s">
        <v>1686</v>
      </c>
      <c r="D994" s="1109" t="s">
        <v>1563</v>
      </c>
      <c r="E994" s="1031" t="s">
        <v>1403</v>
      </c>
    </row>
    <row r="995" spans="1:5" ht="30" x14ac:dyDescent="0.25">
      <c r="A995" s="1031">
        <v>994</v>
      </c>
      <c r="B995" s="1031" t="s">
        <v>1535</v>
      </c>
      <c r="C995" s="1109" t="s">
        <v>1686</v>
      </c>
      <c r="D995" s="1109" t="s">
        <v>1563</v>
      </c>
      <c r="E995" s="1031" t="s">
        <v>1514</v>
      </c>
    </row>
    <row r="996" spans="1:5" x14ac:dyDescent="0.25">
      <c r="A996" s="1031">
        <v>995</v>
      </c>
      <c r="B996" s="1031" t="s">
        <v>1535</v>
      </c>
      <c r="C996" s="1109" t="s">
        <v>1686</v>
      </c>
      <c r="D996" s="1109" t="s">
        <v>1428</v>
      </c>
      <c r="E996" s="1031" t="s">
        <v>1511</v>
      </c>
    </row>
    <row r="997" spans="1:5" x14ac:dyDescent="0.25">
      <c r="A997" s="1031">
        <v>996</v>
      </c>
      <c r="B997" s="1031" t="s">
        <v>1535</v>
      </c>
      <c r="C997" s="1109" t="s">
        <v>1686</v>
      </c>
      <c r="D997" s="1109" t="s">
        <v>1428</v>
      </c>
      <c r="E997" s="1031" t="s">
        <v>1413</v>
      </c>
    </row>
    <row r="998" spans="1:5" x14ac:dyDescent="0.25">
      <c r="A998" s="1031">
        <v>997</v>
      </c>
      <c r="B998" s="1031" t="s">
        <v>1535</v>
      </c>
      <c r="C998" s="1109" t="s">
        <v>1774</v>
      </c>
      <c r="D998" s="1109" t="s">
        <v>1685</v>
      </c>
      <c r="E998" s="1031" t="s">
        <v>1510</v>
      </c>
    </row>
    <row r="999" spans="1:5" x14ac:dyDescent="0.25">
      <c r="A999" s="1031">
        <v>998</v>
      </c>
      <c r="B999" s="1031" t="s">
        <v>1535</v>
      </c>
      <c r="C999" s="1109" t="s">
        <v>1774</v>
      </c>
      <c r="D999" s="1109" t="s">
        <v>1685</v>
      </c>
      <c r="E999" s="1031" t="s">
        <v>1724</v>
      </c>
    </row>
    <row r="1000" spans="1:5" x14ac:dyDescent="0.25">
      <c r="A1000" s="1031">
        <v>999</v>
      </c>
      <c r="B1000" s="1031" t="s">
        <v>1535</v>
      </c>
      <c r="C1000" s="1109" t="s">
        <v>1774</v>
      </c>
      <c r="D1000" s="1109" t="s">
        <v>1685</v>
      </c>
      <c r="E1000" s="1031" t="s">
        <v>1400</v>
      </c>
    </row>
    <row r="1001" spans="1:5" x14ac:dyDescent="0.25">
      <c r="A1001" s="1031">
        <v>1000</v>
      </c>
      <c r="B1001" s="1031" t="s">
        <v>1535</v>
      </c>
      <c r="C1001" s="1109" t="s">
        <v>1774</v>
      </c>
      <c r="D1001" s="1109" t="s">
        <v>1685</v>
      </c>
      <c r="E1001" s="1031" t="s">
        <v>1398</v>
      </c>
    </row>
    <row r="1002" spans="1:5" x14ac:dyDescent="0.25">
      <c r="A1002" s="1031">
        <v>1001</v>
      </c>
      <c r="B1002" s="1031" t="s">
        <v>1535</v>
      </c>
      <c r="C1002" s="1109" t="s">
        <v>1774</v>
      </c>
      <c r="D1002" s="1109" t="s">
        <v>1685</v>
      </c>
      <c r="E1002" s="1031" t="s">
        <v>1414</v>
      </c>
    </row>
    <row r="1003" spans="1:5" x14ac:dyDescent="0.25">
      <c r="A1003" s="1031">
        <v>1002</v>
      </c>
      <c r="B1003" s="1031" t="s">
        <v>1535</v>
      </c>
      <c r="C1003" s="1109" t="s">
        <v>1774</v>
      </c>
      <c r="D1003" s="1109" t="s">
        <v>1428</v>
      </c>
      <c r="E1003" s="1031" t="s">
        <v>1399</v>
      </c>
    </row>
    <row r="1004" spans="1:5" ht="30" x14ac:dyDescent="0.25">
      <c r="A1004" s="1031">
        <v>1003</v>
      </c>
      <c r="B1004" s="1031" t="s">
        <v>1535</v>
      </c>
      <c r="C1004" s="1109" t="s">
        <v>1687</v>
      </c>
      <c r="D1004" s="1109" t="s">
        <v>1563</v>
      </c>
      <c r="E1004" s="1031" t="s">
        <v>1402</v>
      </c>
    </row>
    <row r="1005" spans="1:5" ht="30" x14ac:dyDescent="0.25">
      <c r="A1005" s="1031">
        <v>1004</v>
      </c>
      <c r="B1005" s="1031" t="s">
        <v>1535</v>
      </c>
      <c r="C1005" s="1109" t="s">
        <v>1687</v>
      </c>
      <c r="D1005" s="1109" t="s">
        <v>1563</v>
      </c>
      <c r="E1005" s="1031" t="s">
        <v>1403</v>
      </c>
    </row>
    <row r="1006" spans="1:5" ht="30" x14ac:dyDescent="0.25">
      <c r="A1006" s="1031">
        <v>1005</v>
      </c>
      <c r="B1006" s="1031" t="s">
        <v>1535</v>
      </c>
      <c r="C1006" s="1109" t="s">
        <v>1687</v>
      </c>
      <c r="D1006" s="1109" t="s">
        <v>1563</v>
      </c>
      <c r="E1006" s="1031" t="s">
        <v>1514</v>
      </c>
    </row>
    <row r="1007" spans="1:5" x14ac:dyDescent="0.25">
      <c r="A1007" s="1031">
        <v>1006</v>
      </c>
      <c r="B1007" s="1031" t="s">
        <v>1535</v>
      </c>
      <c r="C1007" s="1109" t="s">
        <v>1687</v>
      </c>
      <c r="D1007" s="1109" t="s">
        <v>1428</v>
      </c>
      <c r="E1007" s="1031" t="s">
        <v>1511</v>
      </c>
    </row>
    <row r="1008" spans="1:5" x14ac:dyDescent="0.25">
      <c r="A1008" s="1031">
        <v>1007</v>
      </c>
      <c r="B1008" s="1031" t="s">
        <v>1535</v>
      </c>
      <c r="C1008" s="1109" t="s">
        <v>1687</v>
      </c>
      <c r="D1008" s="1109" t="s">
        <v>1428</v>
      </c>
      <c r="E1008" s="1031" t="s">
        <v>1413</v>
      </c>
    </row>
    <row r="1009" spans="1:5" x14ac:dyDescent="0.25">
      <c r="A1009" s="1031">
        <v>1008</v>
      </c>
      <c r="B1009" s="1031" t="s">
        <v>1535</v>
      </c>
      <c r="C1009" s="1109" t="s">
        <v>1775</v>
      </c>
      <c r="D1009" s="1109" t="s">
        <v>1685</v>
      </c>
      <c r="E1009" s="1031" t="s">
        <v>1510</v>
      </c>
    </row>
    <row r="1010" spans="1:5" x14ac:dyDescent="0.25">
      <c r="A1010" s="1031">
        <v>1009</v>
      </c>
      <c r="B1010" s="1031" t="s">
        <v>1535</v>
      </c>
      <c r="C1010" s="1109" t="s">
        <v>1775</v>
      </c>
      <c r="D1010" s="1109" t="s">
        <v>1685</v>
      </c>
      <c r="E1010" s="1031" t="s">
        <v>1724</v>
      </c>
    </row>
    <row r="1011" spans="1:5" x14ac:dyDescent="0.25">
      <c r="A1011" s="1031">
        <v>1010</v>
      </c>
      <c r="B1011" s="1031" t="s">
        <v>1535</v>
      </c>
      <c r="C1011" s="1109" t="s">
        <v>1775</v>
      </c>
      <c r="D1011" s="1109" t="s">
        <v>1685</v>
      </c>
      <c r="E1011" s="1031" t="s">
        <v>1400</v>
      </c>
    </row>
    <row r="1012" spans="1:5" x14ac:dyDescent="0.25">
      <c r="A1012" s="1031">
        <v>1011</v>
      </c>
      <c r="B1012" s="1031" t="s">
        <v>1535</v>
      </c>
      <c r="C1012" s="1109" t="s">
        <v>1775</v>
      </c>
      <c r="D1012" s="1109" t="s">
        <v>1685</v>
      </c>
      <c r="E1012" s="1031" t="s">
        <v>1398</v>
      </c>
    </row>
    <row r="1013" spans="1:5" x14ac:dyDescent="0.25">
      <c r="A1013" s="1031">
        <v>1012</v>
      </c>
      <c r="B1013" s="1031" t="s">
        <v>1535</v>
      </c>
      <c r="C1013" s="1109" t="s">
        <v>1775</v>
      </c>
      <c r="D1013" s="1109" t="s">
        <v>1685</v>
      </c>
      <c r="E1013" s="1031" t="s">
        <v>1414</v>
      </c>
    </row>
    <row r="1014" spans="1:5" x14ac:dyDescent="0.25">
      <c r="A1014" s="1031">
        <v>1013</v>
      </c>
      <c r="B1014" s="1031" t="s">
        <v>1535</v>
      </c>
      <c r="C1014" s="1109" t="s">
        <v>1775</v>
      </c>
      <c r="D1014" s="1109" t="s">
        <v>1428</v>
      </c>
      <c r="E1014" s="1031" t="s">
        <v>1399</v>
      </c>
    </row>
    <row r="1015" spans="1:5" ht="30" x14ac:dyDescent="0.25">
      <c r="A1015" s="1031">
        <v>1014</v>
      </c>
      <c r="B1015" s="1031" t="s">
        <v>1535</v>
      </c>
      <c r="C1015" s="1109" t="s">
        <v>1688</v>
      </c>
      <c r="D1015" s="1109" t="s">
        <v>1563</v>
      </c>
      <c r="E1015" s="1031" t="s">
        <v>1402</v>
      </c>
    </row>
    <row r="1016" spans="1:5" ht="30" x14ac:dyDescent="0.25">
      <c r="A1016" s="1031">
        <v>1015</v>
      </c>
      <c r="B1016" s="1031" t="s">
        <v>1535</v>
      </c>
      <c r="C1016" s="1109" t="s">
        <v>1688</v>
      </c>
      <c r="D1016" s="1109" t="s">
        <v>1563</v>
      </c>
      <c r="E1016" s="1031" t="s">
        <v>1403</v>
      </c>
    </row>
    <row r="1017" spans="1:5" ht="30" x14ac:dyDescent="0.25">
      <c r="A1017" s="1031">
        <v>1016</v>
      </c>
      <c r="B1017" s="1031" t="s">
        <v>1535</v>
      </c>
      <c r="C1017" s="1109" t="s">
        <v>1688</v>
      </c>
      <c r="D1017" s="1109" t="s">
        <v>1563</v>
      </c>
      <c r="E1017" s="1031" t="s">
        <v>1514</v>
      </c>
    </row>
    <row r="1018" spans="1:5" x14ac:dyDescent="0.25">
      <c r="A1018" s="1031">
        <v>1017</v>
      </c>
      <c r="B1018" s="1031" t="s">
        <v>1535</v>
      </c>
      <c r="C1018" s="1109" t="s">
        <v>1688</v>
      </c>
      <c r="D1018" s="1109" t="s">
        <v>1428</v>
      </c>
      <c r="E1018" s="1031" t="s">
        <v>1511</v>
      </c>
    </row>
    <row r="1019" spans="1:5" x14ac:dyDescent="0.25">
      <c r="A1019" s="1031">
        <v>1018</v>
      </c>
      <c r="B1019" s="1031" t="s">
        <v>1535</v>
      </c>
      <c r="C1019" s="1109" t="s">
        <v>1688</v>
      </c>
      <c r="D1019" s="1109" t="s">
        <v>1428</v>
      </c>
      <c r="E1019" s="1031" t="s">
        <v>1413</v>
      </c>
    </row>
    <row r="1020" spans="1:5" x14ac:dyDescent="0.25">
      <c r="A1020" s="1031">
        <v>1019</v>
      </c>
      <c r="B1020" s="1031" t="s">
        <v>1535</v>
      </c>
      <c r="C1020" s="1109" t="s">
        <v>1776</v>
      </c>
      <c r="D1020" s="1109" t="s">
        <v>1689</v>
      </c>
      <c r="E1020" s="1031" t="s">
        <v>1510</v>
      </c>
    </row>
    <row r="1021" spans="1:5" x14ac:dyDescent="0.25">
      <c r="A1021" s="1031">
        <v>1020</v>
      </c>
      <c r="B1021" s="1031" t="s">
        <v>1535</v>
      </c>
      <c r="C1021" s="1109" t="s">
        <v>1776</v>
      </c>
      <c r="D1021" s="1109" t="s">
        <v>1689</v>
      </c>
      <c r="E1021" s="1031" t="s">
        <v>1724</v>
      </c>
    </row>
    <row r="1022" spans="1:5" x14ac:dyDescent="0.25">
      <c r="A1022" s="1031">
        <v>1021</v>
      </c>
      <c r="B1022" s="1031" t="s">
        <v>1535</v>
      </c>
      <c r="C1022" s="1109" t="s">
        <v>1776</v>
      </c>
      <c r="D1022" s="1109" t="s">
        <v>1689</v>
      </c>
      <c r="E1022" s="1031" t="s">
        <v>1400</v>
      </c>
    </row>
    <row r="1023" spans="1:5" x14ac:dyDescent="0.25">
      <c r="A1023" s="1031">
        <v>1022</v>
      </c>
      <c r="B1023" s="1031" t="s">
        <v>1535</v>
      </c>
      <c r="C1023" s="1109" t="s">
        <v>1776</v>
      </c>
      <c r="D1023" s="1109" t="s">
        <v>1689</v>
      </c>
      <c r="E1023" s="1031" t="s">
        <v>1398</v>
      </c>
    </row>
    <row r="1024" spans="1:5" x14ac:dyDescent="0.25">
      <c r="A1024" s="1031">
        <v>1023</v>
      </c>
      <c r="B1024" s="1031" t="s">
        <v>1535</v>
      </c>
      <c r="C1024" s="1109" t="s">
        <v>1776</v>
      </c>
      <c r="D1024" s="1109" t="s">
        <v>1689</v>
      </c>
      <c r="E1024" s="1031" t="s">
        <v>1414</v>
      </c>
    </row>
    <row r="1025" spans="1:5" x14ac:dyDescent="0.25">
      <c r="A1025" s="1031">
        <v>1024</v>
      </c>
      <c r="B1025" s="1031" t="s">
        <v>1535</v>
      </c>
      <c r="C1025" s="1109" t="s">
        <v>1776</v>
      </c>
      <c r="D1025" s="1109" t="s">
        <v>1428</v>
      </c>
      <c r="E1025" s="1031" t="s">
        <v>1399</v>
      </c>
    </row>
    <row r="1026" spans="1:5" x14ac:dyDescent="0.25">
      <c r="A1026" s="1031">
        <v>1025</v>
      </c>
      <c r="B1026" s="1031" t="s">
        <v>1535</v>
      </c>
      <c r="C1026" s="1109" t="s">
        <v>1776</v>
      </c>
      <c r="D1026" s="1109" t="s">
        <v>1689</v>
      </c>
      <c r="E1026" s="1031" t="s">
        <v>1505</v>
      </c>
    </row>
    <row r="1027" spans="1:5" x14ac:dyDescent="0.25">
      <c r="A1027" s="1031">
        <v>1026</v>
      </c>
      <c r="B1027" s="1031" t="s">
        <v>1535</v>
      </c>
      <c r="C1027" s="1109" t="s">
        <v>1776</v>
      </c>
      <c r="D1027" s="1109" t="s">
        <v>1689</v>
      </c>
      <c r="E1027" s="1031" t="s">
        <v>1506</v>
      </c>
    </row>
    <row r="1028" spans="1:5" x14ac:dyDescent="0.25">
      <c r="A1028" s="1031">
        <v>1027</v>
      </c>
      <c r="B1028" s="1031" t="s">
        <v>1535</v>
      </c>
      <c r="C1028" s="1109" t="s">
        <v>1776</v>
      </c>
      <c r="D1028" s="1109" t="s">
        <v>1428</v>
      </c>
      <c r="E1028" s="1031" t="s">
        <v>1507</v>
      </c>
    </row>
    <row r="1029" spans="1:5" ht="30" x14ac:dyDescent="0.25">
      <c r="A1029" s="1031">
        <v>1028</v>
      </c>
      <c r="B1029" s="1031" t="s">
        <v>1535</v>
      </c>
      <c r="C1029" s="1109" t="s">
        <v>1776</v>
      </c>
      <c r="D1029" s="1109" t="s">
        <v>1563</v>
      </c>
      <c r="E1029" s="1031" t="s">
        <v>1402</v>
      </c>
    </row>
    <row r="1030" spans="1:5" ht="30" x14ac:dyDescent="0.25">
      <c r="A1030" s="1031">
        <v>1029</v>
      </c>
      <c r="B1030" s="1031" t="s">
        <v>1535</v>
      </c>
      <c r="C1030" s="1109" t="s">
        <v>1776</v>
      </c>
      <c r="D1030" s="1109" t="s">
        <v>1563</v>
      </c>
      <c r="E1030" s="1031" t="s">
        <v>1403</v>
      </c>
    </row>
    <row r="1031" spans="1:5" ht="30" x14ac:dyDescent="0.25">
      <c r="A1031" s="1031">
        <v>1030</v>
      </c>
      <c r="B1031" s="1031" t="s">
        <v>1535</v>
      </c>
      <c r="C1031" s="1109" t="s">
        <v>1776</v>
      </c>
      <c r="D1031" s="1109" t="s">
        <v>1563</v>
      </c>
      <c r="E1031" s="1031" t="s">
        <v>1514</v>
      </c>
    </row>
    <row r="1032" spans="1:5" x14ac:dyDescent="0.25">
      <c r="A1032" s="1031">
        <v>1031</v>
      </c>
      <c r="B1032" s="1031" t="s">
        <v>1535</v>
      </c>
      <c r="C1032" s="1109" t="s">
        <v>1776</v>
      </c>
      <c r="D1032" s="1109" t="s">
        <v>1428</v>
      </c>
      <c r="E1032" s="1031" t="s">
        <v>1511</v>
      </c>
    </row>
    <row r="1033" spans="1:5" x14ac:dyDescent="0.25">
      <c r="A1033" s="1031">
        <v>1032</v>
      </c>
      <c r="B1033" s="1031" t="s">
        <v>1535</v>
      </c>
      <c r="C1033" s="1109" t="s">
        <v>1776</v>
      </c>
      <c r="D1033" s="1109" t="s">
        <v>1689</v>
      </c>
      <c r="E1033" s="1031" t="s">
        <v>1406</v>
      </c>
    </row>
    <row r="1034" spans="1:5" x14ac:dyDescent="0.25">
      <c r="A1034" s="1031">
        <v>1033</v>
      </c>
      <c r="B1034" s="1031" t="s">
        <v>1535</v>
      </c>
      <c r="C1034" s="1109" t="s">
        <v>1777</v>
      </c>
      <c r="D1034" s="1109" t="s">
        <v>1690</v>
      </c>
      <c r="E1034" s="1031" t="s">
        <v>1510</v>
      </c>
    </row>
    <row r="1035" spans="1:5" x14ac:dyDescent="0.25">
      <c r="A1035" s="1031">
        <v>1034</v>
      </c>
      <c r="B1035" s="1031" t="s">
        <v>1535</v>
      </c>
      <c r="C1035" s="1109" t="s">
        <v>1777</v>
      </c>
      <c r="D1035" s="1109" t="s">
        <v>1690</v>
      </c>
      <c r="E1035" s="1031" t="s">
        <v>1724</v>
      </c>
    </row>
    <row r="1036" spans="1:5" x14ac:dyDescent="0.25">
      <c r="A1036" s="1031">
        <v>1035</v>
      </c>
      <c r="B1036" s="1031" t="s">
        <v>1535</v>
      </c>
      <c r="C1036" s="1109" t="s">
        <v>1777</v>
      </c>
      <c r="D1036" s="1109" t="s">
        <v>1690</v>
      </c>
      <c r="E1036" s="1031" t="s">
        <v>1400</v>
      </c>
    </row>
    <row r="1037" spans="1:5" x14ac:dyDescent="0.25">
      <c r="A1037" s="1031">
        <v>1036</v>
      </c>
      <c r="B1037" s="1031" t="s">
        <v>1535</v>
      </c>
      <c r="C1037" s="1109" t="s">
        <v>1777</v>
      </c>
      <c r="D1037" s="1109" t="s">
        <v>1690</v>
      </c>
      <c r="E1037" s="1031" t="s">
        <v>1398</v>
      </c>
    </row>
    <row r="1038" spans="1:5" x14ac:dyDescent="0.25">
      <c r="A1038" s="1031">
        <v>1037</v>
      </c>
      <c r="B1038" s="1031" t="s">
        <v>1535</v>
      </c>
      <c r="C1038" s="1109" t="s">
        <v>1777</v>
      </c>
      <c r="D1038" s="1109" t="s">
        <v>1428</v>
      </c>
      <c r="E1038" s="1031" t="s">
        <v>1399</v>
      </c>
    </row>
    <row r="1039" spans="1:5" ht="30" x14ac:dyDescent="0.25">
      <c r="A1039" s="1031">
        <v>1038</v>
      </c>
      <c r="B1039" s="1031" t="s">
        <v>1535</v>
      </c>
      <c r="C1039" s="1109" t="s">
        <v>1777</v>
      </c>
      <c r="D1039" s="1109" t="s">
        <v>1563</v>
      </c>
      <c r="E1039" s="1031" t="s">
        <v>1402</v>
      </c>
    </row>
    <row r="1040" spans="1:5" ht="30" x14ac:dyDescent="0.25">
      <c r="A1040" s="1031">
        <v>1039</v>
      </c>
      <c r="B1040" s="1031" t="s">
        <v>1535</v>
      </c>
      <c r="C1040" s="1109" t="s">
        <v>1777</v>
      </c>
      <c r="D1040" s="1109" t="s">
        <v>1563</v>
      </c>
      <c r="E1040" s="1031" t="s">
        <v>1403</v>
      </c>
    </row>
    <row r="1041" spans="1:5" ht="30" x14ac:dyDescent="0.25">
      <c r="A1041" s="1031">
        <v>1040</v>
      </c>
      <c r="B1041" s="1031" t="s">
        <v>1535</v>
      </c>
      <c r="C1041" s="1109" t="s">
        <v>1777</v>
      </c>
      <c r="D1041" s="1109" t="s">
        <v>1563</v>
      </c>
      <c r="E1041" s="1031" t="s">
        <v>1514</v>
      </c>
    </row>
    <row r="1042" spans="1:5" x14ac:dyDescent="0.25">
      <c r="A1042" s="1031">
        <v>1041</v>
      </c>
      <c r="B1042" s="1031" t="s">
        <v>1535</v>
      </c>
      <c r="C1042" s="1109" t="s">
        <v>1777</v>
      </c>
      <c r="D1042" s="1109" t="s">
        <v>1428</v>
      </c>
      <c r="E1042" s="1031" t="s">
        <v>1511</v>
      </c>
    </row>
    <row r="1043" spans="1:5" x14ac:dyDescent="0.25">
      <c r="A1043" s="1031">
        <v>1042</v>
      </c>
      <c r="B1043" s="1031" t="s">
        <v>1535</v>
      </c>
      <c r="C1043" s="1109" t="s">
        <v>1777</v>
      </c>
      <c r="D1043" s="1109" t="s">
        <v>1690</v>
      </c>
      <c r="E1043" s="1031" t="s">
        <v>1413</v>
      </c>
    </row>
    <row r="1044" spans="1:5" x14ac:dyDescent="0.25">
      <c r="A1044" s="1031">
        <v>1043</v>
      </c>
      <c r="B1044" s="1031" t="s">
        <v>1535</v>
      </c>
      <c r="C1044" s="1109" t="s">
        <v>1777</v>
      </c>
      <c r="D1044" s="1109" t="s">
        <v>1690</v>
      </c>
      <c r="E1044" s="1031" t="s">
        <v>1691</v>
      </c>
    </row>
    <row r="1045" spans="1:5" x14ac:dyDescent="0.25">
      <c r="A1045" s="1031">
        <v>1044</v>
      </c>
      <c r="B1045" s="1031" t="s">
        <v>1535</v>
      </c>
      <c r="C1045" s="1109" t="s">
        <v>1777</v>
      </c>
      <c r="D1045" s="1109" t="s">
        <v>1690</v>
      </c>
      <c r="E1045" s="1031" t="s">
        <v>1494</v>
      </c>
    </row>
    <row r="1046" spans="1:5" ht="30" x14ac:dyDescent="0.25">
      <c r="A1046" s="1031">
        <v>1045</v>
      </c>
      <c r="B1046" s="1031" t="s">
        <v>1535</v>
      </c>
      <c r="C1046" s="1109" t="s">
        <v>1777</v>
      </c>
      <c r="D1046" s="1109" t="s">
        <v>1428</v>
      </c>
      <c r="E1046" s="1108" t="s">
        <v>1498</v>
      </c>
    </row>
    <row r="1047" spans="1:5" x14ac:dyDescent="0.25">
      <c r="A1047" s="1031">
        <v>1046</v>
      </c>
      <c r="B1047" s="1031" t="s">
        <v>1535</v>
      </c>
      <c r="C1047" s="1109" t="s">
        <v>1777</v>
      </c>
      <c r="D1047" s="1109" t="s">
        <v>1690</v>
      </c>
      <c r="E1047" s="1108" t="s">
        <v>1141</v>
      </c>
    </row>
    <row r="1048" spans="1:5" x14ac:dyDescent="0.25">
      <c r="A1048" s="1031">
        <v>1047</v>
      </c>
      <c r="B1048" s="1031" t="s">
        <v>1535</v>
      </c>
      <c r="C1048" s="1109" t="s">
        <v>1777</v>
      </c>
      <c r="D1048" s="1109" t="s">
        <v>1690</v>
      </c>
      <c r="E1048" s="1108" t="s">
        <v>1419</v>
      </c>
    </row>
    <row r="1049" spans="1:5" x14ac:dyDescent="0.25">
      <c r="A1049" s="1031">
        <v>1048</v>
      </c>
      <c r="B1049" s="1031" t="s">
        <v>1535</v>
      </c>
      <c r="C1049" s="1109" t="s">
        <v>1777</v>
      </c>
      <c r="D1049" s="1109" t="s">
        <v>1428</v>
      </c>
      <c r="E1049" s="1108" t="s">
        <v>1499</v>
      </c>
    </row>
    <row r="1050" spans="1:5" x14ac:dyDescent="0.25">
      <c r="A1050" s="1031">
        <v>1049</v>
      </c>
      <c r="B1050" s="1031" t="s">
        <v>1535</v>
      </c>
      <c r="C1050" s="1109" t="s">
        <v>1777</v>
      </c>
      <c r="D1050" s="1109" t="s">
        <v>1690</v>
      </c>
      <c r="E1050" s="1108" t="s">
        <v>1140</v>
      </c>
    </row>
    <row r="1051" spans="1:5" x14ac:dyDescent="0.25">
      <c r="A1051" s="1031">
        <v>1050</v>
      </c>
      <c r="B1051" s="1031" t="s">
        <v>1535</v>
      </c>
      <c r="C1051" s="1109" t="s">
        <v>1778</v>
      </c>
      <c r="D1051" s="1109" t="s">
        <v>1692</v>
      </c>
      <c r="E1051" s="1031" t="s">
        <v>1510</v>
      </c>
    </row>
    <row r="1052" spans="1:5" x14ac:dyDescent="0.25">
      <c r="A1052" s="1031">
        <v>1051</v>
      </c>
      <c r="B1052" s="1031" t="s">
        <v>1535</v>
      </c>
      <c r="C1052" s="1109" t="s">
        <v>1778</v>
      </c>
      <c r="D1052" s="1109" t="s">
        <v>1692</v>
      </c>
      <c r="E1052" s="1031" t="s">
        <v>1724</v>
      </c>
    </row>
    <row r="1053" spans="1:5" x14ac:dyDescent="0.25">
      <c r="A1053" s="1031">
        <v>1052</v>
      </c>
      <c r="B1053" s="1031" t="s">
        <v>1535</v>
      </c>
      <c r="C1053" s="1109" t="s">
        <v>1778</v>
      </c>
      <c r="D1053" s="1109" t="s">
        <v>1692</v>
      </c>
      <c r="E1053" s="1031" t="s">
        <v>1400</v>
      </c>
    </row>
    <row r="1054" spans="1:5" x14ac:dyDescent="0.25">
      <c r="A1054" s="1031">
        <v>1053</v>
      </c>
      <c r="B1054" s="1031" t="s">
        <v>1535</v>
      </c>
      <c r="C1054" s="1109" t="s">
        <v>1778</v>
      </c>
      <c r="D1054" s="1109" t="s">
        <v>1692</v>
      </c>
      <c r="E1054" s="1031" t="s">
        <v>1398</v>
      </c>
    </row>
    <row r="1055" spans="1:5" x14ac:dyDescent="0.25">
      <c r="A1055" s="1031">
        <v>1054</v>
      </c>
      <c r="B1055" s="1031" t="s">
        <v>1535</v>
      </c>
      <c r="C1055" s="1109" t="s">
        <v>1778</v>
      </c>
      <c r="D1055" s="1109" t="s">
        <v>1428</v>
      </c>
      <c r="E1055" s="1031" t="s">
        <v>1399</v>
      </c>
    </row>
    <row r="1056" spans="1:5" ht="30" x14ac:dyDescent="0.25">
      <c r="A1056" s="1031">
        <v>1055</v>
      </c>
      <c r="B1056" s="1031" t="s">
        <v>1535</v>
      </c>
      <c r="C1056" s="1109" t="s">
        <v>1778</v>
      </c>
      <c r="D1056" s="1109" t="s">
        <v>1563</v>
      </c>
      <c r="E1056" s="1031" t="s">
        <v>1402</v>
      </c>
    </row>
    <row r="1057" spans="1:5" ht="30" x14ac:dyDescent="0.25">
      <c r="A1057" s="1031">
        <v>1056</v>
      </c>
      <c r="B1057" s="1031" t="s">
        <v>1535</v>
      </c>
      <c r="C1057" s="1109" t="s">
        <v>1778</v>
      </c>
      <c r="D1057" s="1109" t="s">
        <v>1563</v>
      </c>
      <c r="E1057" s="1031" t="s">
        <v>1403</v>
      </c>
    </row>
    <row r="1058" spans="1:5" ht="30" x14ac:dyDescent="0.25">
      <c r="A1058" s="1031">
        <v>1057</v>
      </c>
      <c r="B1058" s="1031" t="s">
        <v>1535</v>
      </c>
      <c r="C1058" s="1109" t="s">
        <v>1778</v>
      </c>
      <c r="D1058" s="1109" t="s">
        <v>1563</v>
      </c>
      <c r="E1058" s="1031" t="s">
        <v>1514</v>
      </c>
    </row>
    <row r="1059" spans="1:5" x14ac:dyDescent="0.25">
      <c r="A1059" s="1031">
        <v>1058</v>
      </c>
      <c r="B1059" s="1031" t="s">
        <v>1535</v>
      </c>
      <c r="C1059" s="1109" t="s">
        <v>1778</v>
      </c>
      <c r="D1059" s="1109" t="s">
        <v>1428</v>
      </c>
      <c r="E1059" s="1031" t="s">
        <v>1511</v>
      </c>
    </row>
    <row r="1060" spans="1:5" x14ac:dyDescent="0.25">
      <c r="A1060" s="1031">
        <v>1059</v>
      </c>
      <c r="B1060" s="1031" t="s">
        <v>1535</v>
      </c>
      <c r="C1060" s="1109" t="s">
        <v>1778</v>
      </c>
      <c r="D1060" s="1109" t="s">
        <v>1692</v>
      </c>
      <c r="E1060" s="1031" t="s">
        <v>1413</v>
      </c>
    </row>
    <row r="1061" spans="1:5" x14ac:dyDescent="0.25">
      <c r="A1061" s="1031">
        <v>1060</v>
      </c>
      <c r="B1061" s="1031" t="s">
        <v>1535</v>
      </c>
      <c r="C1061" s="1109" t="s">
        <v>1778</v>
      </c>
      <c r="D1061" s="1109" t="s">
        <v>1692</v>
      </c>
      <c r="E1061" s="1031" t="s">
        <v>1691</v>
      </c>
    </row>
    <row r="1062" spans="1:5" ht="30" x14ac:dyDescent="0.25">
      <c r="A1062" s="1031">
        <v>1061</v>
      </c>
      <c r="B1062" s="1031" t="s">
        <v>1535</v>
      </c>
      <c r="C1062" s="1109" t="s">
        <v>1778</v>
      </c>
      <c r="D1062" s="1109" t="s">
        <v>1428</v>
      </c>
      <c r="E1062" s="1108" t="s">
        <v>1498</v>
      </c>
    </row>
    <row r="1063" spans="1:5" x14ac:dyDescent="0.25">
      <c r="A1063" s="1031">
        <v>1062</v>
      </c>
      <c r="B1063" s="1031" t="s">
        <v>1535</v>
      </c>
      <c r="C1063" s="1109" t="s">
        <v>1778</v>
      </c>
      <c r="D1063" s="1109" t="s">
        <v>1690</v>
      </c>
      <c r="E1063" s="1108" t="s">
        <v>1141</v>
      </c>
    </row>
    <row r="1064" spans="1:5" x14ac:dyDescent="0.25">
      <c r="A1064" s="1031">
        <v>1063</v>
      </c>
      <c r="B1064" s="1031" t="s">
        <v>1535</v>
      </c>
      <c r="C1064" s="1109" t="s">
        <v>1778</v>
      </c>
      <c r="D1064" s="1109" t="s">
        <v>1690</v>
      </c>
      <c r="E1064" s="1108" t="s">
        <v>1419</v>
      </c>
    </row>
    <row r="1065" spans="1:5" x14ac:dyDescent="0.25">
      <c r="A1065" s="1031">
        <v>1064</v>
      </c>
      <c r="B1065" s="1031" t="s">
        <v>1535</v>
      </c>
      <c r="C1065" s="1109" t="s">
        <v>1778</v>
      </c>
      <c r="D1065" s="1109" t="s">
        <v>1428</v>
      </c>
      <c r="E1065" s="1108" t="s">
        <v>1499</v>
      </c>
    </row>
    <row r="1066" spans="1:5" x14ac:dyDescent="0.25">
      <c r="A1066" s="1031">
        <v>1065</v>
      </c>
      <c r="B1066" s="1031" t="s">
        <v>1535</v>
      </c>
      <c r="C1066" s="1109" t="s">
        <v>1778</v>
      </c>
      <c r="D1066" s="1109" t="s">
        <v>1690</v>
      </c>
      <c r="E1066" s="1108" t="s">
        <v>1140</v>
      </c>
    </row>
    <row r="1067" spans="1:5" x14ac:dyDescent="0.25">
      <c r="A1067" s="1031">
        <v>1066</v>
      </c>
      <c r="B1067" s="1031" t="s">
        <v>1535</v>
      </c>
      <c r="C1067" s="1109" t="s">
        <v>1779</v>
      </c>
      <c r="D1067" s="1109" t="s">
        <v>1693</v>
      </c>
      <c r="E1067" s="1031" t="s">
        <v>1510</v>
      </c>
    </row>
    <row r="1068" spans="1:5" x14ac:dyDescent="0.25">
      <c r="A1068" s="1031">
        <v>1067</v>
      </c>
      <c r="B1068" s="1031" t="s">
        <v>1535</v>
      </c>
      <c r="C1068" s="1109" t="s">
        <v>1779</v>
      </c>
      <c r="D1068" s="1109" t="s">
        <v>1693</v>
      </c>
      <c r="E1068" s="1031" t="s">
        <v>1724</v>
      </c>
    </row>
    <row r="1069" spans="1:5" x14ac:dyDescent="0.25">
      <c r="A1069" s="1031">
        <v>1068</v>
      </c>
      <c r="B1069" s="1031" t="s">
        <v>1535</v>
      </c>
      <c r="C1069" s="1109" t="s">
        <v>1779</v>
      </c>
      <c r="D1069" s="1109" t="s">
        <v>1693</v>
      </c>
      <c r="E1069" s="1031" t="s">
        <v>1400</v>
      </c>
    </row>
    <row r="1070" spans="1:5" x14ac:dyDescent="0.25">
      <c r="A1070" s="1031">
        <v>1069</v>
      </c>
      <c r="B1070" s="1031" t="s">
        <v>1535</v>
      </c>
      <c r="C1070" s="1109" t="s">
        <v>1779</v>
      </c>
      <c r="D1070" s="1109" t="s">
        <v>1693</v>
      </c>
      <c r="E1070" s="1031" t="s">
        <v>1398</v>
      </c>
    </row>
    <row r="1071" spans="1:5" x14ac:dyDescent="0.25">
      <c r="A1071" s="1031">
        <v>1070</v>
      </c>
      <c r="B1071" s="1031" t="s">
        <v>1535</v>
      </c>
      <c r="C1071" s="1109" t="s">
        <v>1779</v>
      </c>
      <c r="D1071" s="1109" t="s">
        <v>1428</v>
      </c>
      <c r="E1071" s="1031" t="s">
        <v>1399</v>
      </c>
    </row>
    <row r="1072" spans="1:5" ht="30" x14ac:dyDescent="0.25">
      <c r="A1072" s="1031">
        <v>1071</v>
      </c>
      <c r="B1072" s="1031" t="s">
        <v>1535</v>
      </c>
      <c r="C1072" s="1109" t="s">
        <v>1779</v>
      </c>
      <c r="D1072" s="1109" t="s">
        <v>1563</v>
      </c>
      <c r="E1072" s="1031" t="s">
        <v>1402</v>
      </c>
    </row>
    <row r="1073" spans="1:5" ht="30" x14ac:dyDescent="0.25">
      <c r="A1073" s="1031">
        <v>1072</v>
      </c>
      <c r="B1073" s="1031" t="s">
        <v>1535</v>
      </c>
      <c r="C1073" s="1109" t="s">
        <v>1779</v>
      </c>
      <c r="D1073" s="1109" t="s">
        <v>1563</v>
      </c>
      <c r="E1073" s="1031" t="s">
        <v>1403</v>
      </c>
    </row>
    <row r="1074" spans="1:5" ht="30" x14ac:dyDescent="0.25">
      <c r="A1074" s="1031">
        <v>1073</v>
      </c>
      <c r="B1074" s="1031" t="s">
        <v>1535</v>
      </c>
      <c r="C1074" s="1109" t="s">
        <v>1779</v>
      </c>
      <c r="D1074" s="1109" t="s">
        <v>1563</v>
      </c>
      <c r="E1074" s="1031" t="s">
        <v>1514</v>
      </c>
    </row>
    <row r="1075" spans="1:5" x14ac:dyDescent="0.25">
      <c r="A1075" s="1031">
        <v>1074</v>
      </c>
      <c r="B1075" s="1031" t="s">
        <v>1535</v>
      </c>
      <c r="C1075" s="1109" t="s">
        <v>1779</v>
      </c>
      <c r="D1075" s="1109" t="s">
        <v>1428</v>
      </c>
      <c r="E1075" s="1031" t="s">
        <v>1511</v>
      </c>
    </row>
    <row r="1076" spans="1:5" x14ac:dyDescent="0.25">
      <c r="A1076" s="1031">
        <v>1075</v>
      </c>
      <c r="B1076" s="1031" t="s">
        <v>1535</v>
      </c>
      <c r="C1076" s="1109" t="s">
        <v>1779</v>
      </c>
      <c r="D1076" s="1109" t="s">
        <v>1693</v>
      </c>
      <c r="E1076" s="1031" t="s">
        <v>1413</v>
      </c>
    </row>
    <row r="1077" spans="1:5" x14ac:dyDescent="0.25">
      <c r="A1077" s="1031">
        <v>1076</v>
      </c>
      <c r="B1077" s="1031" t="s">
        <v>1535</v>
      </c>
      <c r="C1077" s="1109" t="s">
        <v>1780</v>
      </c>
      <c r="D1077" s="1109" t="s">
        <v>1693</v>
      </c>
      <c r="E1077" s="1031" t="s">
        <v>1510</v>
      </c>
    </row>
    <row r="1078" spans="1:5" x14ac:dyDescent="0.25">
      <c r="A1078" s="1031">
        <v>1077</v>
      </c>
      <c r="B1078" s="1031" t="s">
        <v>1535</v>
      </c>
      <c r="C1078" s="1109" t="s">
        <v>1780</v>
      </c>
      <c r="D1078" s="1109" t="s">
        <v>1693</v>
      </c>
      <c r="E1078" s="1031" t="s">
        <v>1724</v>
      </c>
    </row>
    <row r="1079" spans="1:5" x14ac:dyDescent="0.25">
      <c r="A1079" s="1031">
        <v>1078</v>
      </c>
      <c r="B1079" s="1031" t="s">
        <v>1535</v>
      </c>
      <c r="C1079" s="1109" t="s">
        <v>1780</v>
      </c>
      <c r="D1079" s="1109" t="s">
        <v>1693</v>
      </c>
      <c r="E1079" s="1031" t="s">
        <v>1400</v>
      </c>
    </row>
    <row r="1080" spans="1:5" x14ac:dyDescent="0.25">
      <c r="A1080" s="1031">
        <v>1079</v>
      </c>
      <c r="B1080" s="1031" t="s">
        <v>1535</v>
      </c>
      <c r="C1080" s="1109" t="s">
        <v>1780</v>
      </c>
      <c r="D1080" s="1109" t="s">
        <v>1693</v>
      </c>
      <c r="E1080" s="1031" t="s">
        <v>1398</v>
      </c>
    </row>
    <row r="1081" spans="1:5" x14ac:dyDescent="0.25">
      <c r="A1081" s="1031">
        <v>1080</v>
      </c>
      <c r="B1081" s="1031" t="s">
        <v>1535</v>
      </c>
      <c r="C1081" s="1109" t="s">
        <v>1780</v>
      </c>
      <c r="D1081" s="1109" t="s">
        <v>1428</v>
      </c>
      <c r="E1081" s="1031" t="s">
        <v>1399</v>
      </c>
    </row>
    <row r="1082" spans="1:5" ht="30" x14ac:dyDescent="0.25">
      <c r="A1082" s="1031">
        <v>1081</v>
      </c>
      <c r="B1082" s="1031" t="s">
        <v>1535</v>
      </c>
      <c r="C1082" s="1109" t="s">
        <v>1780</v>
      </c>
      <c r="D1082" s="1109" t="s">
        <v>1563</v>
      </c>
      <c r="E1082" s="1031" t="s">
        <v>1402</v>
      </c>
    </row>
    <row r="1083" spans="1:5" ht="30" x14ac:dyDescent="0.25">
      <c r="A1083" s="1031">
        <v>1082</v>
      </c>
      <c r="B1083" s="1031" t="s">
        <v>1535</v>
      </c>
      <c r="C1083" s="1109" t="s">
        <v>1780</v>
      </c>
      <c r="D1083" s="1109" t="s">
        <v>1563</v>
      </c>
      <c r="E1083" s="1031" t="s">
        <v>1403</v>
      </c>
    </row>
    <row r="1084" spans="1:5" ht="30" x14ac:dyDescent="0.25">
      <c r="A1084" s="1031">
        <v>1083</v>
      </c>
      <c r="B1084" s="1031" t="s">
        <v>1535</v>
      </c>
      <c r="C1084" s="1109" t="s">
        <v>1780</v>
      </c>
      <c r="D1084" s="1109" t="s">
        <v>1563</v>
      </c>
      <c r="E1084" s="1031" t="s">
        <v>1514</v>
      </c>
    </row>
    <row r="1085" spans="1:5" x14ac:dyDescent="0.25">
      <c r="A1085" s="1031">
        <v>1084</v>
      </c>
      <c r="B1085" s="1031" t="s">
        <v>1535</v>
      </c>
      <c r="C1085" s="1109" t="s">
        <v>1780</v>
      </c>
      <c r="D1085" s="1109" t="s">
        <v>1428</v>
      </c>
      <c r="E1085" s="1031" t="s">
        <v>1511</v>
      </c>
    </row>
    <row r="1086" spans="1:5" x14ac:dyDescent="0.25">
      <c r="A1086" s="1031">
        <v>1085</v>
      </c>
      <c r="B1086" s="1031" t="s">
        <v>1535</v>
      </c>
      <c r="C1086" s="1109" t="s">
        <v>1780</v>
      </c>
      <c r="D1086" s="1109" t="s">
        <v>1693</v>
      </c>
      <c r="E1086" s="1031" t="s">
        <v>1413</v>
      </c>
    </row>
    <row r="1087" spans="1:5" x14ac:dyDescent="0.25">
      <c r="A1087" s="1031">
        <v>1086</v>
      </c>
      <c r="B1087" s="1031" t="s">
        <v>1535</v>
      </c>
      <c r="C1087" s="1109" t="s">
        <v>1781</v>
      </c>
      <c r="D1087" s="1109" t="s">
        <v>1694</v>
      </c>
      <c r="E1087" s="1031" t="s">
        <v>1510</v>
      </c>
    </row>
    <row r="1088" spans="1:5" x14ac:dyDescent="0.25">
      <c r="A1088" s="1031">
        <v>1087</v>
      </c>
      <c r="B1088" s="1031" t="s">
        <v>1535</v>
      </c>
      <c r="C1088" s="1109" t="s">
        <v>1781</v>
      </c>
      <c r="D1088" s="1109" t="s">
        <v>1694</v>
      </c>
      <c r="E1088" s="1031" t="s">
        <v>1724</v>
      </c>
    </row>
    <row r="1089" spans="1:5" x14ac:dyDescent="0.25">
      <c r="A1089" s="1031">
        <v>1088</v>
      </c>
      <c r="B1089" s="1031" t="s">
        <v>1535</v>
      </c>
      <c r="C1089" s="1109" t="s">
        <v>1781</v>
      </c>
      <c r="D1089" s="1109" t="s">
        <v>1694</v>
      </c>
      <c r="E1089" s="1031" t="s">
        <v>1400</v>
      </c>
    </row>
    <row r="1090" spans="1:5" x14ac:dyDescent="0.25">
      <c r="A1090" s="1031">
        <v>1089</v>
      </c>
      <c r="B1090" s="1031" t="s">
        <v>1535</v>
      </c>
      <c r="C1090" s="1109" t="s">
        <v>1781</v>
      </c>
      <c r="D1090" s="1109" t="s">
        <v>1693</v>
      </c>
      <c r="E1090" s="1031" t="s">
        <v>1397</v>
      </c>
    </row>
    <row r="1091" spans="1:5" x14ac:dyDescent="0.25">
      <c r="A1091" s="1031">
        <v>1090</v>
      </c>
      <c r="B1091" s="1031" t="s">
        <v>1535</v>
      </c>
      <c r="C1091" s="1109" t="s">
        <v>1781</v>
      </c>
      <c r="D1091" s="1109" t="s">
        <v>1694</v>
      </c>
      <c r="E1091" s="1031" t="s">
        <v>1398</v>
      </c>
    </row>
    <row r="1092" spans="1:5" x14ac:dyDescent="0.25">
      <c r="A1092" s="1031">
        <v>1091</v>
      </c>
      <c r="B1092" s="1031" t="s">
        <v>1535</v>
      </c>
      <c r="C1092" s="1109" t="s">
        <v>1781</v>
      </c>
      <c r="D1092" s="1109" t="s">
        <v>1428</v>
      </c>
      <c r="E1092" s="1031" t="s">
        <v>1399</v>
      </c>
    </row>
    <row r="1093" spans="1:5" x14ac:dyDescent="0.25">
      <c r="A1093" s="1031">
        <v>1092</v>
      </c>
      <c r="B1093" s="1031" t="s">
        <v>1535</v>
      </c>
      <c r="C1093" s="1109" t="s">
        <v>1781</v>
      </c>
      <c r="D1093" s="1109" t="s">
        <v>1694</v>
      </c>
      <c r="E1093" s="1031" t="s">
        <v>1506</v>
      </c>
    </row>
    <row r="1094" spans="1:5" x14ac:dyDescent="0.25">
      <c r="A1094" s="1031">
        <v>1093</v>
      </c>
      <c r="B1094" s="1031" t="s">
        <v>1535</v>
      </c>
      <c r="C1094" s="1109" t="s">
        <v>1781</v>
      </c>
      <c r="D1094" s="1109" t="s">
        <v>1428</v>
      </c>
      <c r="E1094" s="1031" t="s">
        <v>1507</v>
      </c>
    </row>
    <row r="1095" spans="1:5" ht="30" x14ac:dyDescent="0.25">
      <c r="A1095" s="1031">
        <v>1094</v>
      </c>
      <c r="B1095" s="1031" t="s">
        <v>1535</v>
      </c>
      <c r="C1095" s="1109" t="s">
        <v>1781</v>
      </c>
      <c r="D1095" s="1109" t="s">
        <v>1563</v>
      </c>
      <c r="E1095" s="1031" t="s">
        <v>1402</v>
      </c>
    </row>
    <row r="1096" spans="1:5" ht="30" x14ac:dyDescent="0.25">
      <c r="A1096" s="1031">
        <v>1095</v>
      </c>
      <c r="B1096" s="1031" t="s">
        <v>1535</v>
      </c>
      <c r="C1096" s="1109" t="s">
        <v>1781</v>
      </c>
      <c r="D1096" s="1109" t="s">
        <v>1563</v>
      </c>
      <c r="E1096" s="1031" t="s">
        <v>1403</v>
      </c>
    </row>
    <row r="1097" spans="1:5" ht="30" x14ac:dyDescent="0.25">
      <c r="A1097" s="1031">
        <v>1096</v>
      </c>
      <c r="B1097" s="1031" t="s">
        <v>1535</v>
      </c>
      <c r="C1097" s="1109" t="s">
        <v>1781</v>
      </c>
      <c r="D1097" s="1109" t="s">
        <v>1563</v>
      </c>
      <c r="E1097" s="1031" t="s">
        <v>1514</v>
      </c>
    </row>
    <row r="1098" spans="1:5" x14ac:dyDescent="0.25">
      <c r="A1098" s="1031">
        <v>1097</v>
      </c>
      <c r="B1098" s="1031" t="s">
        <v>1535</v>
      </c>
      <c r="C1098" s="1109" t="s">
        <v>1781</v>
      </c>
      <c r="D1098" s="1109" t="s">
        <v>1428</v>
      </c>
      <c r="E1098" s="1031" t="s">
        <v>1511</v>
      </c>
    </row>
    <row r="1099" spans="1:5" x14ac:dyDescent="0.25">
      <c r="A1099" s="1031">
        <v>1098</v>
      </c>
      <c r="B1099" s="1031" t="s">
        <v>1535</v>
      </c>
      <c r="C1099" s="1109" t="s">
        <v>1781</v>
      </c>
      <c r="D1099" s="1109" t="s">
        <v>1694</v>
      </c>
      <c r="E1099" s="1031" t="s">
        <v>1406</v>
      </c>
    </row>
    <row r="1100" spans="1:5" x14ac:dyDescent="0.25">
      <c r="A1100" s="1031">
        <v>1099</v>
      </c>
      <c r="B1100" s="1031" t="s">
        <v>1535</v>
      </c>
      <c r="C1100" s="1109" t="s">
        <v>1781</v>
      </c>
      <c r="D1100" s="1109" t="s">
        <v>1694</v>
      </c>
      <c r="E1100" s="1031" t="s">
        <v>1413</v>
      </c>
    </row>
    <row r="1101" spans="1:5" x14ac:dyDescent="0.25">
      <c r="A1101" s="1031">
        <v>1100</v>
      </c>
      <c r="B1101" s="1031" t="s">
        <v>1535</v>
      </c>
      <c r="C1101" s="1109" t="s">
        <v>1782</v>
      </c>
      <c r="D1101" s="1109" t="s">
        <v>1694</v>
      </c>
      <c r="E1101" s="1031" t="s">
        <v>1500</v>
      </c>
    </row>
    <row r="1102" spans="1:5" x14ac:dyDescent="0.25">
      <c r="A1102" s="1031">
        <v>1101</v>
      </c>
      <c r="B1102" s="1031" t="s">
        <v>1535</v>
      </c>
      <c r="C1102" s="1109" t="s">
        <v>1782</v>
      </c>
      <c r="D1102" s="1109" t="s">
        <v>1694</v>
      </c>
      <c r="E1102" s="1031" t="s">
        <v>728</v>
      </c>
    </row>
    <row r="1103" spans="1:5" x14ac:dyDescent="0.25">
      <c r="A1103" s="1031">
        <v>1102</v>
      </c>
      <c r="B1103" s="1031" t="s">
        <v>1535</v>
      </c>
      <c r="C1103" s="1109" t="s">
        <v>1782</v>
      </c>
      <c r="D1103" s="1109" t="s">
        <v>1694</v>
      </c>
      <c r="E1103" s="1031" t="s">
        <v>1501</v>
      </c>
    </row>
    <row r="1104" spans="1:5" x14ac:dyDescent="0.25">
      <c r="A1104" s="1031">
        <v>1103</v>
      </c>
      <c r="B1104" s="1031" t="s">
        <v>1535</v>
      </c>
      <c r="C1104" s="1109" t="s">
        <v>1783</v>
      </c>
      <c r="D1104" s="1109" t="s">
        <v>1694</v>
      </c>
      <c r="E1104" s="1031" t="s">
        <v>1500</v>
      </c>
    </row>
    <row r="1105" spans="1:5" x14ac:dyDescent="0.25">
      <c r="A1105" s="1031">
        <v>1104</v>
      </c>
      <c r="B1105" s="1031" t="s">
        <v>1535</v>
      </c>
      <c r="C1105" s="1109" t="s">
        <v>1783</v>
      </c>
      <c r="D1105" s="1109" t="s">
        <v>1694</v>
      </c>
      <c r="E1105" s="1031" t="s">
        <v>728</v>
      </c>
    </row>
    <row r="1106" spans="1:5" x14ac:dyDescent="0.25">
      <c r="A1106" s="1031">
        <v>1105</v>
      </c>
      <c r="B1106" s="1031" t="s">
        <v>1535</v>
      </c>
      <c r="C1106" s="1109" t="s">
        <v>1783</v>
      </c>
      <c r="D1106" s="1109" t="s">
        <v>1694</v>
      </c>
      <c r="E1106" s="1031" t="s">
        <v>1501</v>
      </c>
    </row>
    <row r="1107" spans="1:5" x14ac:dyDescent="0.25">
      <c r="A1107" s="1031">
        <v>1106</v>
      </c>
      <c r="B1107" s="1031" t="s">
        <v>1535</v>
      </c>
      <c r="C1107" s="1109" t="s">
        <v>1784</v>
      </c>
      <c r="D1107" s="1109" t="s">
        <v>1694</v>
      </c>
      <c r="E1107" s="1031" t="s">
        <v>1500</v>
      </c>
    </row>
    <row r="1108" spans="1:5" x14ac:dyDescent="0.25">
      <c r="A1108" s="1031">
        <v>1107</v>
      </c>
      <c r="B1108" s="1031" t="s">
        <v>1535</v>
      </c>
      <c r="C1108" s="1109" t="s">
        <v>1784</v>
      </c>
      <c r="D1108" s="1109" t="s">
        <v>1694</v>
      </c>
      <c r="E1108" s="1031" t="s">
        <v>728</v>
      </c>
    </row>
    <row r="1109" spans="1:5" x14ac:dyDescent="0.25">
      <c r="A1109" s="1031">
        <v>1108</v>
      </c>
      <c r="B1109" s="1031" t="s">
        <v>1535</v>
      </c>
      <c r="C1109" s="1109" t="s">
        <v>1784</v>
      </c>
      <c r="D1109" s="1109" t="s">
        <v>1694</v>
      </c>
      <c r="E1109" s="1031" t="s">
        <v>1501</v>
      </c>
    </row>
    <row r="1110" spans="1:5" x14ac:dyDescent="0.25">
      <c r="A1110" s="1031">
        <v>1109</v>
      </c>
      <c r="B1110" s="1031" t="s">
        <v>1535</v>
      </c>
      <c r="C1110" s="1109" t="s">
        <v>1785</v>
      </c>
      <c r="D1110" s="1109" t="s">
        <v>1694</v>
      </c>
      <c r="E1110" s="1031" t="s">
        <v>1500</v>
      </c>
    </row>
    <row r="1111" spans="1:5" x14ac:dyDescent="0.25">
      <c r="A1111" s="1031">
        <v>1110</v>
      </c>
      <c r="B1111" s="1031" t="s">
        <v>1535</v>
      </c>
      <c r="C1111" s="1109" t="s">
        <v>1785</v>
      </c>
      <c r="D1111" s="1109" t="s">
        <v>1694</v>
      </c>
      <c r="E1111" s="1031" t="s">
        <v>728</v>
      </c>
    </row>
    <row r="1112" spans="1:5" x14ac:dyDescent="0.25">
      <c r="A1112" s="1031">
        <v>1111</v>
      </c>
      <c r="B1112" s="1031" t="s">
        <v>1535</v>
      </c>
      <c r="C1112" s="1109" t="s">
        <v>1785</v>
      </c>
      <c r="D1112" s="1109" t="s">
        <v>1694</v>
      </c>
      <c r="E1112" s="1031" t="s">
        <v>1501</v>
      </c>
    </row>
    <row r="1113" spans="1:5" x14ac:dyDescent="0.25">
      <c r="A1113" s="1031">
        <v>1112</v>
      </c>
      <c r="B1113" s="1031" t="s">
        <v>1535</v>
      </c>
      <c r="C1113" s="1109" t="s">
        <v>1786</v>
      </c>
      <c r="D1113" s="1109" t="s">
        <v>1694</v>
      </c>
      <c r="E1113" s="1031" t="s">
        <v>1500</v>
      </c>
    </row>
    <row r="1114" spans="1:5" x14ac:dyDescent="0.25">
      <c r="A1114" s="1031">
        <v>1113</v>
      </c>
      <c r="B1114" s="1031" t="s">
        <v>1535</v>
      </c>
      <c r="C1114" s="1109" t="s">
        <v>1786</v>
      </c>
      <c r="D1114" s="1109" t="s">
        <v>1694</v>
      </c>
      <c r="E1114" s="1031" t="s">
        <v>728</v>
      </c>
    </row>
    <row r="1115" spans="1:5" x14ac:dyDescent="0.25">
      <c r="A1115" s="1031">
        <v>1114</v>
      </c>
      <c r="B1115" s="1031" t="s">
        <v>1535</v>
      </c>
      <c r="C1115" s="1109" t="s">
        <v>1786</v>
      </c>
      <c r="D1115" s="1109" t="s">
        <v>1694</v>
      </c>
      <c r="E1115" s="1031" t="s">
        <v>1501</v>
      </c>
    </row>
    <row r="1116" spans="1:5" x14ac:dyDescent="0.25">
      <c r="A1116" s="1031">
        <v>1115</v>
      </c>
      <c r="B1116" s="1031" t="s">
        <v>1535</v>
      </c>
      <c r="C1116" s="1109" t="s">
        <v>1787</v>
      </c>
      <c r="D1116" s="1109" t="s">
        <v>1694</v>
      </c>
      <c r="E1116" s="1031" t="s">
        <v>1510</v>
      </c>
    </row>
    <row r="1117" spans="1:5" x14ac:dyDescent="0.25">
      <c r="A1117" s="1031">
        <v>1116</v>
      </c>
      <c r="B1117" s="1031" t="s">
        <v>1535</v>
      </c>
      <c r="C1117" s="1109" t="s">
        <v>1787</v>
      </c>
      <c r="D1117" s="1109" t="s">
        <v>1694</v>
      </c>
      <c r="E1117" s="1031" t="s">
        <v>1724</v>
      </c>
    </row>
    <row r="1118" spans="1:5" x14ac:dyDescent="0.25">
      <c r="A1118" s="1031">
        <v>1117</v>
      </c>
      <c r="B1118" s="1031" t="s">
        <v>1535</v>
      </c>
      <c r="C1118" s="1109" t="s">
        <v>1787</v>
      </c>
      <c r="D1118" s="1109" t="s">
        <v>1694</v>
      </c>
      <c r="E1118" s="1031" t="s">
        <v>1400</v>
      </c>
    </row>
    <row r="1119" spans="1:5" x14ac:dyDescent="0.25">
      <c r="A1119" s="1031">
        <v>1118</v>
      </c>
      <c r="B1119" s="1031" t="s">
        <v>1535</v>
      </c>
      <c r="C1119" s="1109" t="s">
        <v>1787</v>
      </c>
      <c r="D1119" s="1109" t="s">
        <v>1693</v>
      </c>
      <c r="E1119" s="1031" t="s">
        <v>1397</v>
      </c>
    </row>
    <row r="1120" spans="1:5" x14ac:dyDescent="0.25">
      <c r="A1120" s="1031">
        <v>1119</v>
      </c>
      <c r="B1120" s="1031" t="s">
        <v>1535</v>
      </c>
      <c r="C1120" s="1109" t="s">
        <v>1787</v>
      </c>
      <c r="D1120" s="1109" t="s">
        <v>1694</v>
      </c>
      <c r="E1120" s="1031" t="s">
        <v>1398</v>
      </c>
    </row>
    <row r="1121" spans="1:5" x14ac:dyDescent="0.25">
      <c r="A1121" s="1031">
        <v>1120</v>
      </c>
      <c r="B1121" s="1031" t="s">
        <v>1535</v>
      </c>
      <c r="C1121" s="1109" t="s">
        <v>1787</v>
      </c>
      <c r="D1121" s="1109" t="s">
        <v>1428</v>
      </c>
      <c r="E1121" s="1031" t="s">
        <v>1399</v>
      </c>
    </row>
    <row r="1122" spans="1:5" x14ac:dyDescent="0.25">
      <c r="A1122" s="1031">
        <v>1121</v>
      </c>
      <c r="B1122" s="1031" t="s">
        <v>1535</v>
      </c>
      <c r="C1122" s="1109" t="s">
        <v>1787</v>
      </c>
      <c r="D1122" s="1109" t="s">
        <v>1694</v>
      </c>
      <c r="E1122" s="1031" t="s">
        <v>1506</v>
      </c>
    </row>
    <row r="1123" spans="1:5" x14ac:dyDescent="0.25">
      <c r="A1123" s="1031">
        <v>1122</v>
      </c>
      <c r="B1123" s="1031" t="s">
        <v>1535</v>
      </c>
      <c r="C1123" s="1109" t="s">
        <v>1787</v>
      </c>
      <c r="D1123" s="1109" t="s">
        <v>1428</v>
      </c>
      <c r="E1123" s="1031" t="s">
        <v>1507</v>
      </c>
    </row>
    <row r="1124" spans="1:5" ht="30" x14ac:dyDescent="0.25">
      <c r="A1124" s="1031">
        <v>1123</v>
      </c>
      <c r="B1124" s="1031" t="s">
        <v>1535</v>
      </c>
      <c r="C1124" s="1109" t="s">
        <v>1787</v>
      </c>
      <c r="D1124" s="1109" t="s">
        <v>1563</v>
      </c>
      <c r="E1124" s="1031" t="s">
        <v>1402</v>
      </c>
    </row>
    <row r="1125" spans="1:5" ht="30" x14ac:dyDescent="0.25">
      <c r="A1125" s="1031">
        <v>1124</v>
      </c>
      <c r="B1125" s="1031" t="s">
        <v>1535</v>
      </c>
      <c r="C1125" s="1109" t="s">
        <v>1787</v>
      </c>
      <c r="D1125" s="1109" t="s">
        <v>1563</v>
      </c>
      <c r="E1125" s="1031" t="s">
        <v>1403</v>
      </c>
    </row>
    <row r="1126" spans="1:5" ht="30" x14ac:dyDescent="0.25">
      <c r="A1126" s="1031">
        <v>1125</v>
      </c>
      <c r="B1126" s="1031" t="s">
        <v>1535</v>
      </c>
      <c r="C1126" s="1109" t="s">
        <v>1787</v>
      </c>
      <c r="D1126" s="1109" t="s">
        <v>1563</v>
      </c>
      <c r="E1126" s="1031" t="s">
        <v>1514</v>
      </c>
    </row>
    <row r="1127" spans="1:5" x14ac:dyDescent="0.25">
      <c r="A1127" s="1031">
        <v>1126</v>
      </c>
      <c r="B1127" s="1031" t="s">
        <v>1535</v>
      </c>
      <c r="C1127" s="1109" t="s">
        <v>1787</v>
      </c>
      <c r="D1127" s="1109" t="s">
        <v>1428</v>
      </c>
      <c r="E1127" s="1031" t="s">
        <v>1511</v>
      </c>
    </row>
    <row r="1128" spans="1:5" x14ac:dyDescent="0.25">
      <c r="A1128" s="1031">
        <v>1127</v>
      </c>
      <c r="B1128" s="1031" t="s">
        <v>1535</v>
      </c>
      <c r="C1128" s="1109" t="s">
        <v>1787</v>
      </c>
      <c r="D1128" s="1109" t="s">
        <v>1694</v>
      </c>
      <c r="E1128" s="1031" t="s">
        <v>1406</v>
      </c>
    </row>
    <row r="1129" spans="1:5" x14ac:dyDescent="0.25">
      <c r="A1129" s="1031">
        <v>1128</v>
      </c>
      <c r="B1129" s="1031" t="s">
        <v>1535</v>
      </c>
      <c r="C1129" s="1109" t="s">
        <v>1787</v>
      </c>
      <c r="D1129" s="1109" t="s">
        <v>1694</v>
      </c>
      <c r="E1129" s="1031" t="s">
        <v>1413</v>
      </c>
    </row>
    <row r="1130" spans="1:5" x14ac:dyDescent="0.25">
      <c r="A1130" s="1031">
        <v>1129</v>
      </c>
      <c r="B1130" s="1031" t="s">
        <v>1535</v>
      </c>
      <c r="C1130" s="1109" t="s">
        <v>1788</v>
      </c>
      <c r="D1130" s="1109" t="s">
        <v>1694</v>
      </c>
      <c r="E1130" s="1031" t="s">
        <v>1500</v>
      </c>
    </row>
    <row r="1131" spans="1:5" x14ac:dyDescent="0.25">
      <c r="A1131" s="1031">
        <v>1130</v>
      </c>
      <c r="B1131" s="1031" t="s">
        <v>1535</v>
      </c>
      <c r="C1131" s="1109" t="s">
        <v>1788</v>
      </c>
      <c r="D1131" s="1109" t="s">
        <v>1694</v>
      </c>
      <c r="E1131" s="1031" t="s">
        <v>728</v>
      </c>
    </row>
    <row r="1132" spans="1:5" x14ac:dyDescent="0.25">
      <c r="A1132" s="1031">
        <v>1131</v>
      </c>
      <c r="B1132" s="1031" t="s">
        <v>1535</v>
      </c>
      <c r="C1132" s="1109" t="s">
        <v>1788</v>
      </c>
      <c r="D1132" s="1109" t="s">
        <v>1694</v>
      </c>
      <c r="E1132" s="1031" t="s">
        <v>1501</v>
      </c>
    </row>
    <row r="1133" spans="1:5" x14ac:dyDescent="0.25">
      <c r="A1133" s="1031">
        <v>1132</v>
      </c>
      <c r="B1133" s="1031" t="s">
        <v>1535</v>
      </c>
      <c r="C1133" s="1109" t="s">
        <v>1789</v>
      </c>
      <c r="D1133" s="1109" t="s">
        <v>1694</v>
      </c>
      <c r="E1133" s="1031" t="s">
        <v>1500</v>
      </c>
    </row>
    <row r="1134" spans="1:5" x14ac:dyDescent="0.25">
      <c r="A1134" s="1031">
        <v>1133</v>
      </c>
      <c r="B1134" s="1031" t="s">
        <v>1535</v>
      </c>
      <c r="C1134" s="1109" t="s">
        <v>1789</v>
      </c>
      <c r="D1134" s="1109" t="s">
        <v>1694</v>
      </c>
      <c r="E1134" s="1031" t="s">
        <v>728</v>
      </c>
    </row>
    <row r="1135" spans="1:5" x14ac:dyDescent="0.25">
      <c r="A1135" s="1031">
        <v>1134</v>
      </c>
      <c r="B1135" s="1031" t="s">
        <v>1535</v>
      </c>
      <c r="C1135" s="1109" t="s">
        <v>1789</v>
      </c>
      <c r="D1135" s="1109" t="s">
        <v>1694</v>
      </c>
      <c r="E1135" s="1031" t="s">
        <v>1501</v>
      </c>
    </row>
    <row r="1136" spans="1:5" x14ac:dyDescent="0.25">
      <c r="A1136" s="1031">
        <v>1135</v>
      </c>
      <c r="B1136" s="1031" t="s">
        <v>1535</v>
      </c>
      <c r="C1136" s="1109" t="s">
        <v>1790</v>
      </c>
      <c r="D1136" s="1109" t="s">
        <v>1694</v>
      </c>
      <c r="E1136" s="1031" t="s">
        <v>1500</v>
      </c>
    </row>
    <row r="1137" spans="1:5" x14ac:dyDescent="0.25">
      <c r="A1137" s="1031">
        <v>1136</v>
      </c>
      <c r="B1137" s="1031" t="s">
        <v>1535</v>
      </c>
      <c r="C1137" s="1109" t="s">
        <v>1790</v>
      </c>
      <c r="D1137" s="1109" t="s">
        <v>1694</v>
      </c>
      <c r="E1137" s="1031" t="s">
        <v>728</v>
      </c>
    </row>
    <row r="1138" spans="1:5" x14ac:dyDescent="0.25">
      <c r="A1138" s="1031">
        <v>1137</v>
      </c>
      <c r="B1138" s="1031" t="s">
        <v>1535</v>
      </c>
      <c r="C1138" s="1109" t="s">
        <v>1790</v>
      </c>
      <c r="D1138" s="1109" t="s">
        <v>1694</v>
      </c>
      <c r="E1138" s="1031" t="s">
        <v>1501</v>
      </c>
    </row>
    <row r="1139" spans="1:5" x14ac:dyDescent="0.25">
      <c r="A1139" s="1031">
        <v>1138</v>
      </c>
      <c r="B1139" s="1031" t="s">
        <v>1535</v>
      </c>
      <c r="C1139" s="1109" t="s">
        <v>1791</v>
      </c>
      <c r="D1139" s="1109" t="s">
        <v>1694</v>
      </c>
      <c r="E1139" s="1031" t="s">
        <v>1500</v>
      </c>
    </row>
    <row r="1140" spans="1:5" x14ac:dyDescent="0.25">
      <c r="A1140" s="1031">
        <v>1139</v>
      </c>
      <c r="B1140" s="1031" t="s">
        <v>1535</v>
      </c>
      <c r="C1140" s="1109" t="s">
        <v>1791</v>
      </c>
      <c r="D1140" s="1109" t="s">
        <v>1694</v>
      </c>
      <c r="E1140" s="1031" t="s">
        <v>728</v>
      </c>
    </row>
    <row r="1141" spans="1:5" x14ac:dyDescent="0.25">
      <c r="A1141" s="1031">
        <v>1140</v>
      </c>
      <c r="B1141" s="1031" t="s">
        <v>1535</v>
      </c>
      <c r="C1141" s="1109" t="s">
        <v>1791</v>
      </c>
      <c r="D1141" s="1109" t="s">
        <v>1694</v>
      </c>
      <c r="E1141" s="1031" t="s">
        <v>1501</v>
      </c>
    </row>
    <row r="1142" spans="1:5" x14ac:dyDescent="0.25">
      <c r="A1142" s="1031">
        <v>1141</v>
      </c>
      <c r="B1142" s="1031" t="s">
        <v>1535</v>
      </c>
      <c r="C1142" s="1109" t="s">
        <v>1792</v>
      </c>
      <c r="D1142" s="1109" t="s">
        <v>1694</v>
      </c>
      <c r="E1142" s="1031" t="s">
        <v>1500</v>
      </c>
    </row>
    <row r="1143" spans="1:5" x14ac:dyDescent="0.25">
      <c r="A1143" s="1031">
        <v>1142</v>
      </c>
      <c r="B1143" s="1031" t="s">
        <v>1535</v>
      </c>
      <c r="C1143" s="1109" t="s">
        <v>1792</v>
      </c>
      <c r="D1143" s="1109" t="s">
        <v>1694</v>
      </c>
      <c r="E1143" s="1031" t="s">
        <v>728</v>
      </c>
    </row>
    <row r="1144" spans="1:5" x14ac:dyDescent="0.25">
      <c r="A1144" s="1031">
        <v>1143</v>
      </c>
      <c r="B1144" s="1031" t="s">
        <v>1535</v>
      </c>
      <c r="C1144" s="1109" t="s">
        <v>1792</v>
      </c>
      <c r="D1144" s="1109" t="s">
        <v>1694</v>
      </c>
      <c r="E1144" s="1031" t="s">
        <v>1501</v>
      </c>
    </row>
    <row r="1145" spans="1:5" x14ac:dyDescent="0.25">
      <c r="A1145" s="1031">
        <v>1144</v>
      </c>
      <c r="B1145" s="1031" t="s">
        <v>1535</v>
      </c>
      <c r="C1145" s="1109" t="s">
        <v>1793</v>
      </c>
      <c r="D1145" s="1109" t="s">
        <v>1695</v>
      </c>
      <c r="E1145" s="1031" t="s">
        <v>1510</v>
      </c>
    </row>
    <row r="1146" spans="1:5" x14ac:dyDescent="0.25">
      <c r="A1146" s="1031">
        <v>1145</v>
      </c>
      <c r="B1146" s="1031" t="s">
        <v>1535</v>
      </c>
      <c r="C1146" s="1109" t="s">
        <v>1793</v>
      </c>
      <c r="D1146" s="1109" t="s">
        <v>1695</v>
      </c>
      <c r="E1146" s="1031" t="s">
        <v>1724</v>
      </c>
    </row>
    <row r="1147" spans="1:5" x14ac:dyDescent="0.25">
      <c r="A1147" s="1031">
        <v>1146</v>
      </c>
      <c r="B1147" s="1031" t="s">
        <v>1535</v>
      </c>
      <c r="C1147" s="1109" t="s">
        <v>1793</v>
      </c>
      <c r="D1147" s="1109" t="s">
        <v>1695</v>
      </c>
      <c r="E1147" s="1031" t="s">
        <v>1400</v>
      </c>
    </row>
    <row r="1148" spans="1:5" x14ac:dyDescent="0.25">
      <c r="A1148" s="1031">
        <v>1147</v>
      </c>
      <c r="B1148" s="1031" t="s">
        <v>1535</v>
      </c>
      <c r="C1148" s="1109" t="s">
        <v>1793</v>
      </c>
      <c r="D1148" s="1109" t="s">
        <v>1695</v>
      </c>
      <c r="E1148" s="1031" t="s">
        <v>1398</v>
      </c>
    </row>
    <row r="1149" spans="1:5" x14ac:dyDescent="0.25">
      <c r="A1149" s="1031">
        <v>1148</v>
      </c>
      <c r="B1149" s="1031" t="s">
        <v>1535</v>
      </c>
      <c r="C1149" s="1109" t="s">
        <v>1793</v>
      </c>
      <c r="D1149" s="1109" t="s">
        <v>1428</v>
      </c>
      <c r="E1149" s="1031" t="s">
        <v>1399</v>
      </c>
    </row>
    <row r="1150" spans="1:5" ht="30" x14ac:dyDescent="0.25">
      <c r="A1150" s="1031">
        <v>1149</v>
      </c>
      <c r="B1150" s="1031" t="s">
        <v>1535</v>
      </c>
      <c r="C1150" s="1109" t="s">
        <v>1793</v>
      </c>
      <c r="D1150" s="1109" t="s">
        <v>1563</v>
      </c>
      <c r="E1150" s="1031" t="s">
        <v>1402</v>
      </c>
    </row>
    <row r="1151" spans="1:5" ht="30" x14ac:dyDescent="0.25">
      <c r="A1151" s="1031">
        <v>1150</v>
      </c>
      <c r="B1151" s="1031" t="s">
        <v>1535</v>
      </c>
      <c r="C1151" s="1109" t="s">
        <v>1793</v>
      </c>
      <c r="D1151" s="1109" t="s">
        <v>1563</v>
      </c>
      <c r="E1151" s="1031" t="s">
        <v>1403</v>
      </c>
    </row>
    <row r="1152" spans="1:5" ht="30" x14ac:dyDescent="0.25">
      <c r="A1152" s="1031">
        <v>1151</v>
      </c>
      <c r="B1152" s="1031" t="s">
        <v>1535</v>
      </c>
      <c r="C1152" s="1109" t="s">
        <v>1793</v>
      </c>
      <c r="D1152" s="1109" t="s">
        <v>1563</v>
      </c>
      <c r="E1152" s="1031" t="s">
        <v>1514</v>
      </c>
    </row>
    <row r="1153" spans="1:5" x14ac:dyDescent="0.25">
      <c r="A1153" s="1031">
        <v>1152</v>
      </c>
      <c r="B1153" s="1031" t="s">
        <v>1535</v>
      </c>
      <c r="C1153" s="1109" t="s">
        <v>1793</v>
      </c>
      <c r="D1153" s="1109" t="s">
        <v>1428</v>
      </c>
      <c r="E1153" s="1031" t="s">
        <v>1511</v>
      </c>
    </row>
    <row r="1154" spans="1:5" x14ac:dyDescent="0.25">
      <c r="A1154" s="1031">
        <v>1153</v>
      </c>
      <c r="B1154" s="1031" t="s">
        <v>1535</v>
      </c>
      <c r="C1154" s="1109" t="s">
        <v>1793</v>
      </c>
      <c r="D1154" s="1109" t="s">
        <v>1695</v>
      </c>
      <c r="E1154" s="1031" t="s">
        <v>1413</v>
      </c>
    </row>
    <row r="1155" spans="1:5" x14ac:dyDescent="0.25">
      <c r="A1155" s="1031">
        <v>1154</v>
      </c>
      <c r="B1155" s="1031" t="s">
        <v>1535</v>
      </c>
      <c r="C1155" s="1109" t="s">
        <v>1794</v>
      </c>
      <c r="D1155" s="1109" t="s">
        <v>1695</v>
      </c>
      <c r="E1155" s="1031" t="s">
        <v>1500</v>
      </c>
    </row>
    <row r="1156" spans="1:5" x14ac:dyDescent="0.25">
      <c r="A1156" s="1031">
        <v>1155</v>
      </c>
      <c r="B1156" s="1031" t="s">
        <v>1535</v>
      </c>
      <c r="C1156" s="1109" t="s">
        <v>1794</v>
      </c>
      <c r="D1156" s="1109" t="s">
        <v>1695</v>
      </c>
      <c r="E1156" s="1031" t="s">
        <v>728</v>
      </c>
    </row>
    <row r="1157" spans="1:5" x14ac:dyDescent="0.25">
      <c r="A1157" s="1031">
        <v>1156</v>
      </c>
      <c r="B1157" s="1031" t="s">
        <v>1535</v>
      </c>
      <c r="C1157" s="1109" t="s">
        <v>1794</v>
      </c>
      <c r="D1157" s="1109" t="s">
        <v>1695</v>
      </c>
      <c r="E1157" s="1031" t="s">
        <v>1696</v>
      </c>
    </row>
    <row r="1158" spans="1:5" x14ac:dyDescent="0.25">
      <c r="A1158" s="1031">
        <v>1157</v>
      </c>
      <c r="B1158" s="1031" t="s">
        <v>1535</v>
      </c>
      <c r="C1158" s="1109" t="s">
        <v>1795</v>
      </c>
      <c r="D1158" s="1109" t="s">
        <v>1695</v>
      </c>
      <c r="E1158" s="1031" t="s">
        <v>1500</v>
      </c>
    </row>
    <row r="1159" spans="1:5" x14ac:dyDescent="0.25">
      <c r="A1159" s="1031">
        <v>1158</v>
      </c>
      <c r="B1159" s="1031" t="s">
        <v>1535</v>
      </c>
      <c r="C1159" s="1109" t="s">
        <v>1795</v>
      </c>
      <c r="D1159" s="1109" t="s">
        <v>1695</v>
      </c>
      <c r="E1159" s="1031" t="s">
        <v>728</v>
      </c>
    </row>
    <row r="1160" spans="1:5" x14ac:dyDescent="0.25">
      <c r="A1160" s="1031">
        <v>1159</v>
      </c>
      <c r="B1160" s="1031" t="s">
        <v>1535</v>
      </c>
      <c r="C1160" s="1109" t="s">
        <v>1795</v>
      </c>
      <c r="D1160" s="1109" t="s">
        <v>1695</v>
      </c>
      <c r="E1160" s="1031" t="s">
        <v>1696</v>
      </c>
    </row>
    <row r="1161" spans="1:5" x14ac:dyDescent="0.25">
      <c r="A1161" s="1031">
        <v>1160</v>
      </c>
      <c r="B1161" s="1031" t="s">
        <v>1535</v>
      </c>
      <c r="C1161" s="1109" t="s">
        <v>1796</v>
      </c>
      <c r="D1161" s="1109" t="s">
        <v>1695</v>
      </c>
      <c r="E1161" s="1031" t="s">
        <v>1500</v>
      </c>
    </row>
    <row r="1162" spans="1:5" x14ac:dyDescent="0.25">
      <c r="A1162" s="1031">
        <v>1161</v>
      </c>
      <c r="B1162" s="1031" t="s">
        <v>1535</v>
      </c>
      <c r="C1162" s="1109" t="s">
        <v>1796</v>
      </c>
      <c r="D1162" s="1109" t="s">
        <v>1695</v>
      </c>
      <c r="E1162" s="1031" t="s">
        <v>728</v>
      </c>
    </row>
    <row r="1163" spans="1:5" x14ac:dyDescent="0.25">
      <c r="A1163" s="1031">
        <v>1162</v>
      </c>
      <c r="B1163" s="1031" t="s">
        <v>1535</v>
      </c>
      <c r="C1163" s="1109" t="s">
        <v>1796</v>
      </c>
      <c r="D1163" s="1109" t="s">
        <v>1695</v>
      </c>
      <c r="E1163" s="1031" t="s">
        <v>1696</v>
      </c>
    </row>
    <row r="1164" spans="1:5" x14ac:dyDescent="0.25">
      <c r="A1164" s="1031">
        <v>1163</v>
      </c>
      <c r="B1164" s="1031" t="s">
        <v>1535</v>
      </c>
      <c r="C1164" s="1109" t="s">
        <v>1797</v>
      </c>
      <c r="D1164" s="1109" t="s">
        <v>1695</v>
      </c>
      <c r="E1164" s="1031" t="s">
        <v>1500</v>
      </c>
    </row>
    <row r="1165" spans="1:5" x14ac:dyDescent="0.25">
      <c r="A1165" s="1031">
        <v>1164</v>
      </c>
      <c r="B1165" s="1031" t="s">
        <v>1535</v>
      </c>
      <c r="C1165" s="1109" t="s">
        <v>1797</v>
      </c>
      <c r="D1165" s="1109" t="s">
        <v>1695</v>
      </c>
      <c r="E1165" s="1031" t="s">
        <v>728</v>
      </c>
    </row>
    <row r="1166" spans="1:5" x14ac:dyDescent="0.25">
      <c r="A1166" s="1031">
        <v>1165</v>
      </c>
      <c r="B1166" s="1031" t="s">
        <v>1535</v>
      </c>
      <c r="C1166" s="1109" t="s">
        <v>1797</v>
      </c>
      <c r="D1166" s="1109" t="s">
        <v>1695</v>
      </c>
      <c r="E1166" s="1031" t="s">
        <v>1696</v>
      </c>
    </row>
    <row r="1167" spans="1:5" x14ac:dyDescent="0.25">
      <c r="A1167" s="1031">
        <v>1166</v>
      </c>
      <c r="B1167" s="1031" t="s">
        <v>1535</v>
      </c>
      <c r="C1167" s="1109" t="s">
        <v>1798</v>
      </c>
      <c r="D1167" s="1109" t="s">
        <v>1695</v>
      </c>
      <c r="E1167" s="1031" t="s">
        <v>1500</v>
      </c>
    </row>
    <row r="1168" spans="1:5" x14ac:dyDescent="0.25">
      <c r="A1168" s="1031">
        <v>1167</v>
      </c>
      <c r="B1168" s="1031" t="s">
        <v>1535</v>
      </c>
      <c r="C1168" s="1109" t="s">
        <v>1798</v>
      </c>
      <c r="D1168" s="1109" t="s">
        <v>1695</v>
      </c>
      <c r="E1168" s="1031" t="s">
        <v>728</v>
      </c>
    </row>
    <row r="1169" spans="1:5" x14ac:dyDescent="0.25">
      <c r="A1169" s="1031">
        <v>1168</v>
      </c>
      <c r="B1169" s="1031" t="s">
        <v>1535</v>
      </c>
      <c r="C1169" s="1109" t="s">
        <v>1798</v>
      </c>
      <c r="D1169" s="1109" t="s">
        <v>1695</v>
      </c>
      <c r="E1169" s="1031" t="s">
        <v>1696</v>
      </c>
    </row>
    <row r="1170" spans="1:5" x14ac:dyDescent="0.25">
      <c r="A1170" s="1031">
        <v>1169</v>
      </c>
      <c r="B1170" s="1031" t="s">
        <v>1535</v>
      </c>
      <c r="C1170" s="1109" t="s">
        <v>1799</v>
      </c>
      <c r="D1170" s="1109" t="s">
        <v>1695</v>
      </c>
      <c r="E1170" s="1031" t="s">
        <v>1510</v>
      </c>
    </row>
    <row r="1171" spans="1:5" x14ac:dyDescent="0.25">
      <c r="A1171" s="1031">
        <v>1170</v>
      </c>
      <c r="B1171" s="1031" t="s">
        <v>1535</v>
      </c>
      <c r="C1171" s="1109" t="s">
        <v>1799</v>
      </c>
      <c r="D1171" s="1109" t="s">
        <v>1695</v>
      </c>
      <c r="E1171" s="1031" t="s">
        <v>1724</v>
      </c>
    </row>
    <row r="1172" spans="1:5" x14ac:dyDescent="0.25">
      <c r="A1172" s="1031">
        <v>1171</v>
      </c>
      <c r="B1172" s="1031" t="s">
        <v>1535</v>
      </c>
      <c r="C1172" s="1109" t="s">
        <v>1799</v>
      </c>
      <c r="D1172" s="1109" t="s">
        <v>1695</v>
      </c>
      <c r="E1172" s="1031" t="s">
        <v>1400</v>
      </c>
    </row>
    <row r="1173" spans="1:5" x14ac:dyDescent="0.25">
      <c r="A1173" s="1031">
        <v>1172</v>
      </c>
      <c r="B1173" s="1031" t="s">
        <v>1535</v>
      </c>
      <c r="C1173" s="1109" t="s">
        <v>1799</v>
      </c>
      <c r="D1173" s="1109" t="s">
        <v>1695</v>
      </c>
      <c r="E1173" s="1031" t="s">
        <v>1398</v>
      </c>
    </row>
    <row r="1174" spans="1:5" x14ac:dyDescent="0.25">
      <c r="A1174" s="1031">
        <v>1173</v>
      </c>
      <c r="B1174" s="1031" t="s">
        <v>1535</v>
      </c>
      <c r="C1174" s="1109" t="s">
        <v>1799</v>
      </c>
      <c r="D1174" s="1109" t="s">
        <v>1428</v>
      </c>
      <c r="E1174" s="1031" t="s">
        <v>1399</v>
      </c>
    </row>
    <row r="1175" spans="1:5" ht="30" x14ac:dyDescent="0.25">
      <c r="A1175" s="1031">
        <v>1174</v>
      </c>
      <c r="B1175" s="1031" t="s">
        <v>1535</v>
      </c>
      <c r="C1175" s="1109" t="s">
        <v>1799</v>
      </c>
      <c r="D1175" s="1109" t="s">
        <v>1563</v>
      </c>
      <c r="E1175" s="1031" t="s">
        <v>1402</v>
      </c>
    </row>
    <row r="1176" spans="1:5" ht="30" x14ac:dyDescent="0.25">
      <c r="A1176" s="1031">
        <v>1175</v>
      </c>
      <c r="B1176" s="1031" t="s">
        <v>1535</v>
      </c>
      <c r="C1176" s="1109" t="s">
        <v>1799</v>
      </c>
      <c r="D1176" s="1109" t="s">
        <v>1563</v>
      </c>
      <c r="E1176" s="1031" t="s">
        <v>1403</v>
      </c>
    </row>
    <row r="1177" spans="1:5" ht="30" x14ac:dyDescent="0.25">
      <c r="A1177" s="1031">
        <v>1176</v>
      </c>
      <c r="B1177" s="1031" t="s">
        <v>1535</v>
      </c>
      <c r="C1177" s="1109" t="s">
        <v>1799</v>
      </c>
      <c r="D1177" s="1109" t="s">
        <v>1563</v>
      </c>
      <c r="E1177" s="1031" t="s">
        <v>1514</v>
      </c>
    </row>
    <row r="1178" spans="1:5" x14ac:dyDescent="0.25">
      <c r="A1178" s="1031">
        <v>1177</v>
      </c>
      <c r="B1178" s="1031" t="s">
        <v>1535</v>
      </c>
      <c r="C1178" s="1109" t="s">
        <v>1799</v>
      </c>
      <c r="D1178" s="1109" t="s">
        <v>1428</v>
      </c>
      <c r="E1178" s="1031" t="s">
        <v>1511</v>
      </c>
    </row>
    <row r="1179" spans="1:5" x14ac:dyDescent="0.25">
      <c r="A1179" s="1031">
        <v>1178</v>
      </c>
      <c r="B1179" s="1031" t="s">
        <v>1535</v>
      </c>
      <c r="C1179" s="1109" t="s">
        <v>1799</v>
      </c>
      <c r="D1179" s="1109" t="s">
        <v>1695</v>
      </c>
      <c r="E1179" s="1031" t="s">
        <v>1413</v>
      </c>
    </row>
    <row r="1180" spans="1:5" x14ac:dyDescent="0.25">
      <c r="A1180" s="1031">
        <v>1179</v>
      </c>
      <c r="B1180" s="1031" t="s">
        <v>1535</v>
      </c>
      <c r="C1180" s="1109" t="s">
        <v>1800</v>
      </c>
      <c r="D1180" s="1109" t="s">
        <v>1695</v>
      </c>
      <c r="E1180" s="1031" t="s">
        <v>1500</v>
      </c>
    </row>
    <row r="1181" spans="1:5" x14ac:dyDescent="0.25">
      <c r="A1181" s="1031">
        <v>1180</v>
      </c>
      <c r="B1181" s="1031" t="s">
        <v>1535</v>
      </c>
      <c r="C1181" s="1109" t="s">
        <v>1800</v>
      </c>
      <c r="D1181" s="1109" t="s">
        <v>1695</v>
      </c>
      <c r="E1181" s="1031" t="s">
        <v>728</v>
      </c>
    </row>
    <row r="1182" spans="1:5" x14ac:dyDescent="0.25">
      <c r="A1182" s="1031">
        <v>1181</v>
      </c>
      <c r="B1182" s="1031" t="s">
        <v>1535</v>
      </c>
      <c r="C1182" s="1109" t="s">
        <v>1800</v>
      </c>
      <c r="D1182" s="1109" t="s">
        <v>1695</v>
      </c>
      <c r="E1182" s="1031" t="s">
        <v>1696</v>
      </c>
    </row>
    <row r="1183" spans="1:5" x14ac:dyDescent="0.25">
      <c r="A1183" s="1031">
        <v>1182</v>
      </c>
      <c r="B1183" s="1031" t="s">
        <v>1535</v>
      </c>
      <c r="C1183" s="1109" t="s">
        <v>1801</v>
      </c>
      <c r="D1183" s="1109" t="s">
        <v>1695</v>
      </c>
      <c r="E1183" s="1031" t="s">
        <v>1500</v>
      </c>
    </row>
    <row r="1184" spans="1:5" x14ac:dyDescent="0.25">
      <c r="A1184" s="1031">
        <v>1183</v>
      </c>
      <c r="B1184" s="1031" t="s">
        <v>1535</v>
      </c>
      <c r="C1184" s="1109" t="s">
        <v>1801</v>
      </c>
      <c r="D1184" s="1109" t="s">
        <v>1695</v>
      </c>
      <c r="E1184" s="1031" t="s">
        <v>728</v>
      </c>
    </row>
    <row r="1185" spans="1:5" x14ac:dyDescent="0.25">
      <c r="A1185" s="1031">
        <v>1184</v>
      </c>
      <c r="B1185" s="1031" t="s">
        <v>1535</v>
      </c>
      <c r="C1185" s="1109" t="s">
        <v>1801</v>
      </c>
      <c r="D1185" s="1109" t="s">
        <v>1695</v>
      </c>
      <c r="E1185" s="1031" t="s">
        <v>1696</v>
      </c>
    </row>
    <row r="1186" spans="1:5" x14ac:dyDescent="0.25">
      <c r="A1186" s="1031">
        <v>1185</v>
      </c>
      <c r="B1186" s="1031" t="s">
        <v>1535</v>
      </c>
      <c r="C1186" s="1109" t="s">
        <v>1802</v>
      </c>
      <c r="D1186" s="1109" t="s">
        <v>1695</v>
      </c>
      <c r="E1186" s="1031" t="s">
        <v>1500</v>
      </c>
    </row>
    <row r="1187" spans="1:5" x14ac:dyDescent="0.25">
      <c r="A1187" s="1031">
        <v>1186</v>
      </c>
      <c r="B1187" s="1031" t="s">
        <v>1535</v>
      </c>
      <c r="C1187" s="1109" t="s">
        <v>1802</v>
      </c>
      <c r="D1187" s="1109" t="s">
        <v>1695</v>
      </c>
      <c r="E1187" s="1031" t="s">
        <v>728</v>
      </c>
    </row>
    <row r="1188" spans="1:5" x14ac:dyDescent="0.25">
      <c r="A1188" s="1031">
        <v>1187</v>
      </c>
      <c r="B1188" s="1031" t="s">
        <v>1535</v>
      </c>
      <c r="C1188" s="1109" t="s">
        <v>1802</v>
      </c>
      <c r="D1188" s="1109" t="s">
        <v>1695</v>
      </c>
      <c r="E1188" s="1031" t="s">
        <v>1696</v>
      </c>
    </row>
    <row r="1189" spans="1:5" x14ac:dyDescent="0.25">
      <c r="A1189" s="1031">
        <v>1188</v>
      </c>
      <c r="B1189" s="1031" t="s">
        <v>1535</v>
      </c>
      <c r="C1189" s="1109" t="s">
        <v>1803</v>
      </c>
      <c r="D1189" s="1109" t="s">
        <v>1695</v>
      </c>
      <c r="E1189" s="1031" t="s">
        <v>1500</v>
      </c>
    </row>
    <row r="1190" spans="1:5" x14ac:dyDescent="0.25">
      <c r="A1190" s="1031">
        <v>1189</v>
      </c>
      <c r="B1190" s="1031" t="s">
        <v>1535</v>
      </c>
      <c r="C1190" s="1109" t="s">
        <v>1803</v>
      </c>
      <c r="D1190" s="1109" t="s">
        <v>1695</v>
      </c>
      <c r="E1190" s="1031" t="s">
        <v>728</v>
      </c>
    </row>
    <row r="1191" spans="1:5" x14ac:dyDescent="0.25">
      <c r="A1191" s="1031">
        <v>1190</v>
      </c>
      <c r="B1191" s="1031" t="s">
        <v>1535</v>
      </c>
      <c r="C1191" s="1109" t="s">
        <v>1803</v>
      </c>
      <c r="D1191" s="1109" t="s">
        <v>1695</v>
      </c>
      <c r="E1191" s="1031" t="s">
        <v>1696</v>
      </c>
    </row>
    <row r="1192" spans="1:5" x14ac:dyDescent="0.25">
      <c r="A1192" s="1031">
        <v>1191</v>
      </c>
      <c r="B1192" s="1031" t="s">
        <v>1535</v>
      </c>
      <c r="C1192" s="1109" t="s">
        <v>1804</v>
      </c>
      <c r="D1192" s="1109" t="s">
        <v>1695</v>
      </c>
      <c r="E1192" s="1031" t="s">
        <v>1500</v>
      </c>
    </row>
    <row r="1193" spans="1:5" x14ac:dyDescent="0.25">
      <c r="A1193" s="1031">
        <v>1192</v>
      </c>
      <c r="B1193" s="1031" t="s">
        <v>1535</v>
      </c>
      <c r="C1193" s="1109" t="s">
        <v>1804</v>
      </c>
      <c r="D1193" s="1109" t="s">
        <v>1695</v>
      </c>
      <c r="E1193" s="1031" t="s">
        <v>728</v>
      </c>
    </row>
    <row r="1194" spans="1:5" x14ac:dyDescent="0.25">
      <c r="A1194" s="1031">
        <v>1193</v>
      </c>
      <c r="B1194" s="1031" t="s">
        <v>1535</v>
      </c>
      <c r="C1194" s="1109" t="s">
        <v>1804</v>
      </c>
      <c r="D1194" s="1109" t="s">
        <v>1695</v>
      </c>
      <c r="E1194" s="1031" t="s">
        <v>1696</v>
      </c>
    </row>
    <row r="1195" spans="1:5" ht="30" x14ac:dyDescent="0.25">
      <c r="A1195" s="1031">
        <v>1194</v>
      </c>
      <c r="B1195" s="1031" t="s">
        <v>1535</v>
      </c>
      <c r="C1195" s="1109" t="s">
        <v>1805</v>
      </c>
      <c r="D1195" s="1109" t="s">
        <v>1697</v>
      </c>
      <c r="E1195" s="1031" t="s">
        <v>1510</v>
      </c>
    </row>
    <row r="1196" spans="1:5" ht="30" x14ac:dyDescent="0.25">
      <c r="A1196" s="1031">
        <v>1195</v>
      </c>
      <c r="B1196" s="1031" t="s">
        <v>1535</v>
      </c>
      <c r="C1196" s="1109" t="s">
        <v>1805</v>
      </c>
      <c r="D1196" s="1109" t="s">
        <v>1697</v>
      </c>
      <c r="E1196" s="1031" t="s">
        <v>1724</v>
      </c>
    </row>
    <row r="1197" spans="1:5" ht="30" x14ac:dyDescent="0.25">
      <c r="A1197" s="1031">
        <v>1196</v>
      </c>
      <c r="B1197" s="1031" t="s">
        <v>1535</v>
      </c>
      <c r="C1197" s="1109" t="s">
        <v>1805</v>
      </c>
      <c r="D1197" s="1109" t="s">
        <v>1697</v>
      </c>
      <c r="E1197" s="1031" t="s">
        <v>1400</v>
      </c>
    </row>
    <row r="1198" spans="1:5" ht="30" x14ac:dyDescent="0.25">
      <c r="A1198" s="1031">
        <v>1197</v>
      </c>
      <c r="B1198" s="1031" t="s">
        <v>1535</v>
      </c>
      <c r="C1198" s="1109" t="s">
        <v>1805</v>
      </c>
      <c r="D1198" s="1109" t="s">
        <v>1697</v>
      </c>
      <c r="E1198" s="1031" t="s">
        <v>1398</v>
      </c>
    </row>
    <row r="1199" spans="1:5" ht="30" x14ac:dyDescent="0.25">
      <c r="A1199" s="1031">
        <v>1198</v>
      </c>
      <c r="B1199" s="1031" t="s">
        <v>1535</v>
      </c>
      <c r="C1199" s="1109" t="s">
        <v>1805</v>
      </c>
      <c r="D1199" s="1109" t="s">
        <v>1563</v>
      </c>
      <c r="E1199" s="1031" t="s">
        <v>1402</v>
      </c>
    </row>
    <row r="1200" spans="1:5" ht="30" x14ac:dyDescent="0.25">
      <c r="A1200" s="1031">
        <v>1199</v>
      </c>
      <c r="B1200" s="1031" t="s">
        <v>1535</v>
      </c>
      <c r="C1200" s="1109" t="s">
        <v>1805</v>
      </c>
      <c r="D1200" s="1109" t="s">
        <v>1563</v>
      </c>
      <c r="E1200" s="1031" t="s">
        <v>1403</v>
      </c>
    </row>
    <row r="1201" spans="1:5" ht="30" x14ac:dyDescent="0.25">
      <c r="A1201" s="1031">
        <v>1200</v>
      </c>
      <c r="B1201" s="1031" t="s">
        <v>1535</v>
      </c>
      <c r="C1201" s="1109" t="s">
        <v>1805</v>
      </c>
      <c r="D1201" s="1109" t="s">
        <v>1563</v>
      </c>
      <c r="E1201" s="1031" t="s">
        <v>1514</v>
      </c>
    </row>
    <row r="1202" spans="1:5" ht="30" x14ac:dyDescent="0.25">
      <c r="A1202" s="1031">
        <v>1201</v>
      </c>
      <c r="B1202" s="1031" t="s">
        <v>1535</v>
      </c>
      <c r="C1202" s="1109" t="s">
        <v>1805</v>
      </c>
      <c r="D1202" s="1109" t="s">
        <v>1697</v>
      </c>
      <c r="E1202" s="1031" t="s">
        <v>1406</v>
      </c>
    </row>
    <row r="1203" spans="1:5" x14ac:dyDescent="0.25">
      <c r="A1203" s="1031">
        <v>1202</v>
      </c>
      <c r="B1203" s="1107" t="s">
        <v>1936</v>
      </c>
      <c r="C1203" s="1107" t="s">
        <v>1936</v>
      </c>
      <c r="D1203" s="1108" t="s">
        <v>1832</v>
      </c>
      <c r="E1203" s="1107" t="s">
        <v>1832</v>
      </c>
    </row>
    <row r="1204" spans="1:5" x14ac:dyDescent="0.25">
      <c r="A1204" s="1031">
        <v>1203</v>
      </c>
      <c r="B1204" s="1107" t="s">
        <v>1936</v>
      </c>
      <c r="C1204" s="1107" t="s">
        <v>1936</v>
      </c>
      <c r="D1204" s="1107" t="s">
        <v>1940</v>
      </c>
      <c r="E1204" s="1107" t="s">
        <v>1940</v>
      </c>
    </row>
    <row r="1205" spans="1:5" x14ac:dyDescent="0.25">
      <c r="A1205" s="1031">
        <v>1204</v>
      </c>
      <c r="B1205" s="1031" t="s">
        <v>1535</v>
      </c>
      <c r="C1205" s="1109" t="s">
        <v>1776</v>
      </c>
      <c r="D1205" s="1108" t="s">
        <v>1428</v>
      </c>
      <c r="E1205" s="1107" t="s">
        <v>1397</v>
      </c>
    </row>
    <row r="1206" spans="1:5" x14ac:dyDescent="0.25">
      <c r="A1206" s="1031">
        <v>1205</v>
      </c>
      <c r="B1206" s="1031" t="s">
        <v>1535</v>
      </c>
      <c r="C1206" s="1109" t="s">
        <v>1777</v>
      </c>
      <c r="D1206" s="1108" t="s">
        <v>1428</v>
      </c>
      <c r="E1206" s="1107" t="s">
        <v>1497</v>
      </c>
    </row>
    <row r="1207" spans="1:5" x14ac:dyDescent="0.25">
      <c r="A1207" s="1031">
        <v>1206</v>
      </c>
      <c r="B1207" s="1031" t="s">
        <v>1535</v>
      </c>
      <c r="C1207" s="1109" t="s">
        <v>1778</v>
      </c>
      <c r="D1207" s="1108" t="s">
        <v>1428</v>
      </c>
      <c r="E1207" s="1107" t="s">
        <v>1497</v>
      </c>
    </row>
    <row r="1208" spans="1:5" x14ac:dyDescent="0.25">
      <c r="A1208" s="1031">
        <v>1207</v>
      </c>
      <c r="B1208" s="1442" t="s">
        <v>1368</v>
      </c>
      <c r="C1208" s="1443" t="s">
        <v>2080</v>
      </c>
      <c r="D1208" s="1443" t="s">
        <v>1428</v>
      </c>
      <c r="E1208" s="1443"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5" customWidth="1"/>
    <col min="19" max="19" width="22.28515625" customWidth="1"/>
    <col min="21" max="21" width="21.42578125" customWidth="1"/>
    <col min="23" max="23" width="22.5703125" customWidth="1"/>
  </cols>
  <sheetData>
    <row r="1" spans="1:27" ht="18.75" x14ac:dyDescent="0.3">
      <c r="A1" s="1864" t="s">
        <v>1358</v>
      </c>
      <c r="B1" s="1864"/>
      <c r="C1" s="1864"/>
      <c r="D1" s="1864"/>
      <c r="E1" s="1864"/>
      <c r="F1" s="1864" t="s">
        <v>1359</v>
      </c>
      <c r="G1" s="1864"/>
      <c r="H1" s="1864"/>
      <c r="I1" s="1864" t="s">
        <v>1360</v>
      </c>
      <c r="J1" s="1864"/>
      <c r="K1" s="1864"/>
      <c r="L1" s="1864" t="s">
        <v>1361</v>
      </c>
      <c r="M1" s="1865"/>
      <c r="N1" s="1864"/>
      <c r="O1" s="134">
        <v>0</v>
      </c>
      <c r="P1" s="1420">
        <v>6</v>
      </c>
      <c r="Q1" s="1420" t="str">
        <f>IFERROR(SUBSTITUTE(ADDRESS(1,P1,4),"1",""),"")</f>
        <v>F</v>
      </c>
      <c r="R1" s="1409"/>
      <c r="S1" s="1408"/>
      <c r="T1" s="1408"/>
      <c r="U1" s="1408"/>
      <c r="V1" s="1408"/>
      <c r="W1" s="1408"/>
      <c r="X1" s="1408"/>
      <c r="Y1" s="1408"/>
      <c r="Z1" s="1408"/>
      <c r="AA1" s="1408"/>
    </row>
    <row r="2" spans="1:27" x14ac:dyDescent="0.25">
      <c r="A2" s="855" t="s">
        <v>1362</v>
      </c>
      <c r="B2" s="855" t="s">
        <v>1363</v>
      </c>
      <c r="C2" s="855" t="s">
        <v>1364</v>
      </c>
      <c r="D2" s="855" t="s">
        <v>131</v>
      </c>
      <c r="E2" s="855" t="s">
        <v>1365</v>
      </c>
      <c r="F2" s="855" t="s">
        <v>1362</v>
      </c>
      <c r="G2" s="855" t="s">
        <v>1366</v>
      </c>
      <c r="H2" s="855" t="s">
        <v>1365</v>
      </c>
      <c r="I2" s="855" t="s">
        <v>1362</v>
      </c>
      <c r="J2" s="856" t="s">
        <v>1366</v>
      </c>
      <c r="K2" s="856" t="s">
        <v>1365</v>
      </c>
      <c r="L2" s="856" t="s">
        <v>1362</v>
      </c>
      <c r="M2" s="1421" t="s">
        <v>1489</v>
      </c>
      <c r="N2" s="856" t="s">
        <v>1365</v>
      </c>
      <c r="O2" s="134"/>
      <c r="P2" s="1420">
        <v>0</v>
      </c>
      <c r="Q2" s="1420" t="str">
        <f>IFERROR(SUBSTITUTE(ADDRESS(1,P2,4),"1",""),"")</f>
        <v/>
      </c>
      <c r="R2" s="1409"/>
      <c r="S2" s="1408"/>
      <c r="T2" s="1408"/>
      <c r="U2" s="1408"/>
      <c r="V2" s="1408"/>
      <c r="W2" s="1408"/>
      <c r="X2" s="1408"/>
      <c r="Y2" s="1408"/>
      <c r="Z2" s="1408"/>
      <c r="AA2" s="1408"/>
    </row>
    <row r="3" spans="1:27" x14ac:dyDescent="0.25">
      <c r="A3" s="857" t="s">
        <v>374</v>
      </c>
      <c r="B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7" t="s">
        <v>1367</v>
      </c>
      <c r="E3" s="859" t="s">
        <v>1368</v>
      </c>
      <c r="F3" s="859" t="s">
        <v>1369</v>
      </c>
      <c r="G3" s="859" t="s">
        <v>1370</v>
      </c>
      <c r="H3" s="859" t="s">
        <v>1371</v>
      </c>
      <c r="I3" s="857" t="str">
        <f>IF(J3&lt;&gt;"",A3,"")</f>
        <v/>
      </c>
      <c r="J3" s="1409"/>
      <c r="K3" s="1409" t="str">
        <f>IF(J3&lt;&gt;"",E3,"")</f>
        <v/>
      </c>
      <c r="L3" s="1409"/>
      <c r="M3" s="1409"/>
      <c r="N3" s="1409"/>
      <c r="O3" s="134"/>
      <c r="P3" s="1420">
        <v>0</v>
      </c>
      <c r="Q3" s="1420" t="str">
        <f>IFERROR(SUBSTITUTE(ADDRESS(1,P3,4),"1",""),"")</f>
        <v/>
      </c>
      <c r="R3" s="1408"/>
      <c r="S3" s="1408"/>
      <c r="T3" s="1408"/>
      <c r="U3" s="1408"/>
      <c r="V3" s="1408"/>
      <c r="W3" s="1408"/>
      <c r="X3" s="1408"/>
      <c r="Y3" s="1408"/>
      <c r="Z3" s="1408"/>
      <c r="AA3" s="1408"/>
    </row>
    <row r="4" spans="1:27" x14ac:dyDescent="0.25">
      <c r="A4" s="857" t="s">
        <v>1210</v>
      </c>
      <c r="B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7" t="s">
        <v>1367</v>
      </c>
      <c r="E4" s="857" t="s">
        <v>1368</v>
      </c>
      <c r="F4" s="859" t="s">
        <v>1210</v>
      </c>
      <c r="G4" s="859" t="s">
        <v>1372</v>
      </c>
      <c r="H4" s="859" t="s">
        <v>1371</v>
      </c>
      <c r="I4" s="857" t="str">
        <f t="shared" ref="I4:I67" si="0">IF(J4&lt;&gt;"",A4,"")</f>
        <v/>
      </c>
      <c r="J4" s="1409" t="str">
        <f t="shared" ref="J4" si="1">IF(M4&lt;&gt;"",Q$1&amp;M4,"")</f>
        <v/>
      </c>
      <c r="K4" s="1409" t="str">
        <f t="shared" ref="K4:K67" si="2">IF(J4&lt;&gt;"",E4,"")</f>
        <v/>
      </c>
      <c r="L4" s="1409"/>
      <c r="M4" s="1409"/>
      <c r="N4" s="1409"/>
      <c r="O4" s="1408"/>
      <c r="P4" s="1420" cm="1">
        <f t="array" ref="P4">IFERROR(MATCH(2,1/(Audit!4:4="X")),IF(IFERROR(MATCH(2,1/(Audit!2:2="Copied Agreement")),0)&lt;&gt;6,IFERROR(MATCH(2,1/(Audit!2:2="Copied Agreement")),0),0))</f>
        <v>0</v>
      </c>
      <c r="Q4" s="1420" t="str">
        <f>IFERROR(SUBSTITUTE(ADDRESS(1,P4,4),"1",""),"")</f>
        <v/>
      </c>
      <c r="R4" s="1408"/>
      <c r="S4" s="1408"/>
      <c r="T4" s="1408"/>
      <c r="U4" s="1408"/>
      <c r="V4" s="1408"/>
      <c r="W4" s="1408"/>
      <c r="X4" s="1408"/>
      <c r="Y4" s="1408"/>
      <c r="Z4" s="1408"/>
      <c r="AA4" s="1408"/>
    </row>
    <row r="5" spans="1:27" x14ac:dyDescent="0.25">
      <c r="A5" s="858" t="s">
        <v>1188</v>
      </c>
      <c r="B5" s="859" t="str">
        <f ca="1">_xlfn.IFNA(_xlfn.CONCAT(SUBSTITUTE(ADDRESS(1,MATCH(A5,INDIRECT("'"&amp;E5&amp;"'"&amp;"!A22:Z22"),0),4),1,""),23),"")</f>
        <v>E23</v>
      </c>
      <c r="C5" s="859" t="str">
        <f ca="1">_xlfn.IFNA(SUBSTITUTE(ADDRESS(1,MATCH(A5,INDIRECT("'"&amp;E5&amp;"'"&amp;"!A22:Z22"),0),4),1,""),"")</f>
        <v>E</v>
      </c>
      <c r="D5" s="857" t="s">
        <v>1374</v>
      </c>
      <c r="E5" s="857" t="s">
        <v>1375</v>
      </c>
      <c r="F5" s="858" t="s">
        <v>1188</v>
      </c>
      <c r="G5" s="859" t="s">
        <v>1373</v>
      </c>
      <c r="H5" s="859" t="s">
        <v>1376</v>
      </c>
      <c r="I5" s="857" t="str">
        <f t="shared" si="0"/>
        <v/>
      </c>
      <c r="J5" s="1409"/>
      <c r="K5" s="1409" t="str">
        <f t="shared" si="2"/>
        <v/>
      </c>
      <c r="L5" s="1409"/>
      <c r="M5" s="1409"/>
      <c r="N5" s="1409"/>
      <c r="O5" s="1408"/>
      <c r="P5" s="1408"/>
      <c r="Q5" s="1408"/>
      <c r="R5" s="1408"/>
      <c r="S5" s="1408"/>
      <c r="T5" s="1408"/>
      <c r="U5" s="1408"/>
      <c r="V5" s="1408"/>
      <c r="W5" s="1408"/>
      <c r="X5" s="1408"/>
      <c r="Y5" s="1408"/>
      <c r="Z5" s="1408"/>
      <c r="AA5" s="1408"/>
    </row>
    <row r="6" spans="1:27" x14ac:dyDescent="0.25">
      <c r="A6" s="858" t="s">
        <v>766</v>
      </c>
      <c r="B6" s="859" t="str">
        <f ca="1">_xlfn.IFNA(_xlfn.CONCAT(SUBSTITUTE(ADDRESS(1,MATCH(A6,INDIRECT("'"&amp;E6&amp;"'"&amp;"!A22:Z22"),0),4),1,""),23),"")</f>
        <v>K23</v>
      </c>
      <c r="C6" s="859" t="str">
        <f ca="1">_xlfn.IFNA(SUBSTITUTE(ADDRESS(1,MATCH(A6,INDIRECT("'"&amp;E6&amp;"'"&amp;"!A22:Z22"),0),4),1,""),"")</f>
        <v>K</v>
      </c>
      <c r="D6" s="857" t="s">
        <v>1374</v>
      </c>
      <c r="E6" s="857" t="s">
        <v>1375</v>
      </c>
      <c r="F6" s="858" t="s">
        <v>766</v>
      </c>
      <c r="G6" s="859" t="s">
        <v>1378</v>
      </c>
      <c r="H6" s="859" t="s">
        <v>1376</v>
      </c>
      <c r="I6" s="857" t="str">
        <f t="shared" si="0"/>
        <v/>
      </c>
      <c r="J6" s="1409"/>
      <c r="K6" s="1409" t="str">
        <f t="shared" si="2"/>
        <v/>
      </c>
      <c r="L6" s="1409"/>
      <c r="M6" s="1409"/>
      <c r="N6" s="1409"/>
      <c r="O6" s="1408"/>
      <c r="P6" s="1408"/>
      <c r="Q6" s="1408"/>
      <c r="R6" s="1408"/>
      <c r="S6" s="1408"/>
      <c r="T6" s="1408"/>
      <c r="U6" s="1408"/>
      <c r="V6" s="1408"/>
      <c r="W6" s="1408"/>
      <c r="X6" s="1408"/>
      <c r="Y6" s="1408"/>
      <c r="Z6" s="1408"/>
      <c r="AA6" s="1408"/>
    </row>
    <row r="7" spans="1:27" x14ac:dyDescent="0.25">
      <c r="A7" s="858" t="s">
        <v>1189</v>
      </c>
      <c r="B7" s="859" t="str">
        <f ca="1">_xlfn.IFNA(_xlfn.CONCAT(SUBSTITUTE(ADDRESS(1,MATCH(A7,INDIRECT("'"&amp;E7&amp;"'"&amp;"!A22:Z22"),0),4),1,""),23),"")</f>
        <v>L23</v>
      </c>
      <c r="C7" s="859" t="str">
        <f ca="1">_xlfn.IFNA(SUBSTITUTE(ADDRESS(1,MATCH(A7,INDIRECT("'"&amp;E7&amp;"'"&amp;"!A22:Z22"),0),4),1,""),"")</f>
        <v>L</v>
      </c>
      <c r="D7" s="857" t="s">
        <v>1374</v>
      </c>
      <c r="E7" s="857" t="s">
        <v>1375</v>
      </c>
      <c r="F7" s="858" t="s">
        <v>1189</v>
      </c>
      <c r="G7" s="859" t="s">
        <v>1379</v>
      </c>
      <c r="H7" s="859" t="s">
        <v>1376</v>
      </c>
      <c r="I7" s="857" t="str">
        <f t="shared" si="0"/>
        <v/>
      </c>
      <c r="J7" s="1409"/>
      <c r="K7" s="1409" t="str">
        <f t="shared" si="2"/>
        <v/>
      </c>
      <c r="L7" s="1409"/>
      <c r="M7" s="1409"/>
      <c r="N7" s="1409"/>
      <c r="O7" s="1408"/>
      <c r="P7" s="1408"/>
      <c r="Q7" s="1408"/>
      <c r="R7" s="1408"/>
      <c r="S7" s="1408"/>
      <c r="T7" s="1408"/>
      <c r="U7" s="1408"/>
      <c r="V7" s="1408"/>
      <c r="W7" s="1408"/>
      <c r="X7" s="1408"/>
      <c r="Y7" s="1408"/>
      <c r="Z7" s="1408"/>
      <c r="AA7" s="1408"/>
    </row>
    <row r="8" spans="1:27" x14ac:dyDescent="0.25">
      <c r="A8" s="858" t="s">
        <v>1190</v>
      </c>
      <c r="B8" s="859" t="str">
        <f ca="1">_xlfn.IFNA(_xlfn.CONCAT(SUBSTITUTE(ADDRESS(1,MATCH(A8,INDIRECT("'"&amp;E8&amp;"'"&amp;"!A22:Z22"),0),4),1,""),23),"")</f>
        <v>M23</v>
      </c>
      <c r="C8" s="859" t="str">
        <f ca="1">_xlfn.IFNA(SUBSTITUTE(ADDRESS(1,MATCH(A8,INDIRECT("'"&amp;E8&amp;"'"&amp;"!A22:Z22"),0),4),1,""),"")</f>
        <v>M</v>
      </c>
      <c r="D8" s="857" t="s">
        <v>1374</v>
      </c>
      <c r="E8" s="857" t="s">
        <v>1375</v>
      </c>
      <c r="F8" s="858" t="s">
        <v>1190</v>
      </c>
      <c r="G8" s="859" t="s">
        <v>1380</v>
      </c>
      <c r="H8" s="859" t="s">
        <v>1376</v>
      </c>
      <c r="I8" s="857" t="str">
        <f t="shared" si="0"/>
        <v/>
      </c>
      <c r="J8" s="1409"/>
      <c r="K8" s="1409" t="str">
        <f t="shared" si="2"/>
        <v/>
      </c>
      <c r="L8" s="1409"/>
      <c r="M8" s="1409"/>
      <c r="N8" s="1409"/>
      <c r="O8" s="1408"/>
      <c r="P8" s="1408"/>
      <c r="Q8" s="1408"/>
      <c r="R8" s="1408"/>
      <c r="S8" s="1408"/>
      <c r="T8" s="1408"/>
      <c r="U8" s="1408"/>
      <c r="V8" s="1408"/>
      <c r="W8" s="1408"/>
      <c r="X8" s="1408"/>
      <c r="Y8" s="1408"/>
      <c r="Z8" s="1408"/>
      <c r="AA8" s="1408"/>
    </row>
    <row r="9" spans="1:27" x14ac:dyDescent="0.25">
      <c r="A9" s="858" t="s">
        <v>1277</v>
      </c>
      <c r="B9" s="857" t="str">
        <f ca="1">_xlfn.CONCAT(IFERROR(SUBSTITUTE(ADDRESS(1,MATCH(A9,INDIRECT("'"&amp;E9&amp;"'"&amp;"!A4:Z4"),0),4),1,""),""),4)</f>
        <v>B4</v>
      </c>
      <c r="C9" s="857" t="str">
        <f ca="1">_xlfn.CONCAT(IFERROR(SUBSTITUTE(ADDRESS(1,MATCH(A9,INDIRECT("'"&amp;E9&amp;"'"&amp;"!A4:Z4"),0),4),1,""),""),5)</f>
        <v>B5</v>
      </c>
      <c r="D9" s="857" t="s">
        <v>1367</v>
      </c>
      <c r="E9" s="857" t="s">
        <v>1291</v>
      </c>
      <c r="F9" s="858" t="s">
        <v>1277</v>
      </c>
      <c r="G9" s="859" t="s">
        <v>1381</v>
      </c>
      <c r="H9" s="859" t="s">
        <v>1376</v>
      </c>
      <c r="I9" s="857" t="str">
        <f t="shared" si="0"/>
        <v/>
      </c>
      <c r="J9" s="1409"/>
      <c r="K9" s="1409" t="str">
        <f t="shared" si="2"/>
        <v/>
      </c>
      <c r="L9" s="1409"/>
      <c r="M9" s="1409"/>
      <c r="N9" s="1409"/>
      <c r="O9" s="1408"/>
      <c r="P9" s="1408"/>
      <c r="Q9" s="1408"/>
      <c r="R9" s="1408"/>
      <c r="S9" s="1408"/>
      <c r="T9" s="1408"/>
      <c r="U9" s="1408"/>
      <c r="V9" s="1408"/>
      <c r="W9" s="1408"/>
      <c r="X9" s="1408"/>
      <c r="Y9" s="1408"/>
      <c r="Z9" s="1408"/>
      <c r="AA9" s="1408"/>
    </row>
    <row r="10" spans="1:27" x14ac:dyDescent="0.25">
      <c r="A10" s="858" t="s">
        <v>1309</v>
      </c>
      <c r="B10" s="859" t="str">
        <f ca="1">_xlfn.IFNA(_xlfn.CONCAT(SUBSTITUTE(ADDRESS(1,MATCH(A10,INDIRECT("'"&amp;E10&amp;"'"&amp;"!A22:Z22"),0),4),1,""),23),"")</f>
        <v>O23</v>
      </c>
      <c r="C10" s="859" t="str">
        <f ca="1">_xlfn.IFNA(SUBSTITUTE(ADDRESS(1,MATCH(A10,INDIRECT("'"&amp;E10&amp;"'"&amp;"!A22:Z22"),0),4),1,""),"")</f>
        <v>O</v>
      </c>
      <c r="D10" s="857" t="s">
        <v>1374</v>
      </c>
      <c r="E10" s="857" t="s">
        <v>1375</v>
      </c>
      <c r="F10" s="858" t="s">
        <v>1309</v>
      </c>
      <c r="G10" s="859" t="s">
        <v>1383</v>
      </c>
      <c r="H10" s="859" t="s">
        <v>1376</v>
      </c>
      <c r="I10" s="857" t="str">
        <f t="shared" si="0"/>
        <v/>
      </c>
      <c r="J10" s="1409"/>
      <c r="K10" s="1409" t="str">
        <f t="shared" si="2"/>
        <v/>
      </c>
      <c r="L10" s="1409"/>
      <c r="M10" s="1409"/>
      <c r="N10" s="1409"/>
      <c r="O10" s="1408"/>
      <c r="P10" s="1408"/>
      <c r="Q10" s="1408"/>
      <c r="R10" s="1408"/>
      <c r="S10" s="1408"/>
      <c r="T10" s="1408"/>
      <c r="U10" s="1408"/>
      <c r="V10" s="1408"/>
      <c r="W10" s="1408"/>
      <c r="X10" s="1408"/>
      <c r="Y10" s="1408"/>
      <c r="Z10" s="1408"/>
      <c r="AA10" s="1408"/>
    </row>
    <row r="11" spans="1:27" x14ac:dyDescent="0.25">
      <c r="A11" s="858" t="s">
        <v>1191</v>
      </c>
      <c r="B11" s="859" t="str">
        <f ca="1">_xlfn.IFNA(_xlfn.CONCAT(SUBSTITUTE(ADDRESS(1,MATCH(A11,INDIRECT("'"&amp;E11&amp;"'"&amp;"!A22:Z22"),0),4),1,""),23),"")</f>
        <v>N23</v>
      </c>
      <c r="C11" s="859" t="str">
        <f ca="1">_xlfn.IFNA(SUBSTITUTE(ADDRESS(1,MATCH(A11,INDIRECT("'"&amp;E11&amp;"'"&amp;"!A22:Z22"),0),4),1,""),"")</f>
        <v>N</v>
      </c>
      <c r="D11" s="857" t="s">
        <v>1374</v>
      </c>
      <c r="E11" s="857" t="s">
        <v>1375</v>
      </c>
      <c r="F11" s="858" t="s">
        <v>1384</v>
      </c>
      <c r="G11" s="859" t="s">
        <v>1377</v>
      </c>
      <c r="H11" s="859" t="s">
        <v>1376</v>
      </c>
      <c r="I11" s="857" t="str">
        <f t="shared" si="0"/>
        <v/>
      </c>
      <c r="J11" s="1409"/>
      <c r="K11" s="1409" t="str">
        <f t="shared" si="2"/>
        <v/>
      </c>
      <c r="L11" s="1409"/>
      <c r="M11" s="1409"/>
      <c r="N11" s="1409"/>
      <c r="O11" s="1408"/>
      <c r="P11" s="1408"/>
      <c r="Q11" s="1408"/>
      <c r="R11" s="1408"/>
      <c r="S11" s="1408"/>
      <c r="T11" s="1408"/>
      <c r="U11" s="1408"/>
      <c r="V11" s="1408"/>
      <c r="W11" s="1408"/>
      <c r="X11" s="1408"/>
      <c r="Y11" s="1408"/>
      <c r="Z11" s="1408"/>
      <c r="AA11" s="1408"/>
    </row>
    <row r="12" spans="1:27" ht="30" x14ac:dyDescent="0.25">
      <c r="A12" s="859" t="s">
        <v>1224</v>
      </c>
      <c r="B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59" t="s">
        <v>1367</v>
      </c>
      <c r="E12" s="859" t="s">
        <v>1368</v>
      </c>
      <c r="F12" s="859" t="s">
        <v>1224</v>
      </c>
      <c r="G12" s="859" t="s">
        <v>1370</v>
      </c>
      <c r="H12" s="859" t="s">
        <v>1385</v>
      </c>
      <c r="I12" s="857" t="str">
        <f t="shared" si="0"/>
        <v>Minimum Percentage of Purchases to be Directed to USF</v>
      </c>
      <c r="J12" s="1409" t="str">
        <f t="shared" ref="J12:J62" si="3">IF(M12&lt;&gt;"",Q$1&amp;M12,"")</f>
        <v>F9</v>
      </c>
      <c r="K12" s="1409" t="str">
        <f t="shared" si="2"/>
        <v>Agreement Worksheet</v>
      </c>
      <c r="L12" s="859" t="s">
        <v>1224</v>
      </c>
      <c r="M12" s="1409">
        <v>9</v>
      </c>
      <c r="N12" s="1409"/>
      <c r="O12" s="1408"/>
      <c r="P12" s="1408"/>
      <c r="Q12" s="1408"/>
      <c r="R12" s="1408"/>
      <c r="S12" s="1408"/>
      <c r="T12" s="1408"/>
      <c r="U12" s="1408"/>
      <c r="V12" s="1408"/>
      <c r="W12" s="1408"/>
      <c r="X12" s="1408"/>
      <c r="Y12" s="1408"/>
      <c r="Z12" s="1408"/>
      <c r="AA12" s="1408"/>
    </row>
    <row r="13" spans="1:27" x14ac:dyDescent="0.25">
      <c r="A13" s="859" t="s">
        <v>1172</v>
      </c>
      <c r="B13" s="1174" t="str">
        <f>IFERROR(_xlfn.CONCAT("D",MATCH(A13,'Tracking &amp; Profitability'!C$1:C$60,0)),"")</f>
        <v>D8</v>
      </c>
      <c r="C13" s="1174" t="str">
        <f>IFERROR(_xlfn.CONCAT("E",MATCH(A13,'Tracking &amp; Profitability'!C$1:C$60,0)),"")</f>
        <v>E8</v>
      </c>
      <c r="D13" s="859" t="s">
        <v>1367</v>
      </c>
      <c r="E13" s="859" t="s">
        <v>129</v>
      </c>
      <c r="F13" s="859" t="s">
        <v>1386</v>
      </c>
      <c r="G13" s="859" t="s">
        <v>1372</v>
      </c>
      <c r="H13" s="859" t="s">
        <v>1385</v>
      </c>
      <c r="I13" s="857" t="str">
        <f t="shared" si="0"/>
        <v/>
      </c>
      <c r="J13" s="1409" t="str">
        <f t="shared" si="3"/>
        <v/>
      </c>
      <c r="K13" s="1409" t="str">
        <f t="shared" si="2"/>
        <v/>
      </c>
      <c r="L13" s="1409"/>
      <c r="M13" s="1409"/>
      <c r="N13" s="1409"/>
      <c r="O13" s="1408"/>
      <c r="P13" s="1408"/>
      <c r="Q13" s="1408"/>
      <c r="R13" s="1408"/>
      <c r="S13" s="1408"/>
      <c r="T13" s="1408"/>
      <c r="U13" s="1408"/>
      <c r="V13" s="1408"/>
      <c r="W13" s="1408"/>
      <c r="X13" s="1408"/>
      <c r="Y13" s="1408"/>
      <c r="Z13" s="1408"/>
      <c r="AA13" s="1408"/>
    </row>
    <row r="14" spans="1:27" x14ac:dyDescent="0.25">
      <c r="A14" s="1107" t="s">
        <v>1212</v>
      </c>
      <c r="B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59" t="s">
        <v>1367</v>
      </c>
      <c r="E14" s="859" t="s">
        <v>1368</v>
      </c>
      <c r="F14" s="859" t="s">
        <v>1214</v>
      </c>
      <c r="G14" s="859" t="s">
        <v>1387</v>
      </c>
      <c r="H14" s="859" t="s">
        <v>1385</v>
      </c>
      <c r="I14" s="857" t="str">
        <f t="shared" si="0"/>
        <v/>
      </c>
      <c r="J14" s="1409" t="str">
        <f t="shared" si="3"/>
        <v/>
      </c>
      <c r="K14" s="1409" t="str">
        <f t="shared" si="2"/>
        <v/>
      </c>
      <c r="L14" s="1409"/>
      <c r="M14" s="1409"/>
      <c r="N14" s="1409"/>
      <c r="O14" s="1408"/>
      <c r="P14" s="1408"/>
      <c r="Q14" s="1408"/>
      <c r="R14" s="1408"/>
      <c r="S14" s="1408"/>
      <c r="T14" s="1408"/>
      <c r="U14" s="1408"/>
      <c r="V14" s="1408"/>
      <c r="W14" s="1408"/>
      <c r="X14" s="1408"/>
      <c r="Y14" s="1408"/>
      <c r="Z14" s="1408"/>
      <c r="AA14" s="1408"/>
    </row>
    <row r="15" spans="1:27" x14ac:dyDescent="0.25">
      <c r="A15" s="1107" t="s">
        <v>1211</v>
      </c>
      <c r="B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59" t="s">
        <v>1367</v>
      </c>
      <c r="E15" s="859" t="s">
        <v>1368</v>
      </c>
      <c r="F15" s="859" t="s">
        <v>1215</v>
      </c>
      <c r="G15" s="859" t="s">
        <v>657</v>
      </c>
      <c r="H15" s="859" t="s">
        <v>1385</v>
      </c>
      <c r="I15" s="857" t="str">
        <f t="shared" si="0"/>
        <v/>
      </c>
      <c r="J15" s="1409" t="str">
        <f t="shared" si="3"/>
        <v/>
      </c>
      <c r="K15" s="1409" t="str">
        <f t="shared" si="2"/>
        <v/>
      </c>
      <c r="L15" s="1409"/>
      <c r="M15" s="1409"/>
      <c r="N15" s="1409"/>
      <c r="O15" s="1408"/>
      <c r="P15" s="1408"/>
      <c r="Q15" s="1408"/>
      <c r="R15" s="1408"/>
      <c r="S15" s="1408"/>
      <c r="T15" s="1408"/>
      <c r="U15" s="1408"/>
      <c r="V15" s="1408"/>
      <c r="W15" s="1408"/>
      <c r="X15" s="1408"/>
      <c r="Y15" s="1408"/>
      <c r="Z15" s="1408"/>
      <c r="AA15" s="1408"/>
    </row>
    <row r="16" spans="1:27" x14ac:dyDescent="0.25">
      <c r="A16" s="859" t="s">
        <v>1216</v>
      </c>
      <c r="B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59" t="s">
        <v>1367</v>
      </c>
      <c r="E16" s="859" t="s">
        <v>1368</v>
      </c>
      <c r="F16" s="859" t="s">
        <v>1216</v>
      </c>
      <c r="G16" s="859" t="s">
        <v>1373</v>
      </c>
      <c r="H16" s="859" t="s">
        <v>1385</v>
      </c>
      <c r="I16" s="857" t="str">
        <f t="shared" si="0"/>
        <v/>
      </c>
      <c r="J16" s="1409"/>
      <c r="K16" s="1409" t="str">
        <f t="shared" si="2"/>
        <v/>
      </c>
      <c r="L16" s="1409"/>
      <c r="M16" s="1409"/>
      <c r="N16" s="1409"/>
      <c r="O16" s="1408"/>
      <c r="P16" s="1408"/>
      <c r="Q16" s="1408"/>
      <c r="R16" s="1408"/>
      <c r="S16" s="1408"/>
      <c r="T16" s="1408"/>
      <c r="U16" s="1408"/>
      <c r="V16" s="1408"/>
      <c r="W16" s="1408"/>
      <c r="X16" s="1408"/>
      <c r="Y16" s="1408"/>
      <c r="Z16" s="1408"/>
      <c r="AA16" s="1408"/>
    </row>
    <row r="17" spans="1:27" x14ac:dyDescent="0.25">
      <c r="A17" s="859" t="s">
        <v>1171</v>
      </c>
      <c r="B17" s="1174" t="str">
        <f>IFERROR(_xlfn.CONCAT("D",MATCH(A17,'Tracking &amp; Profitability'!C$1:C$60,0)),"")</f>
        <v>D7</v>
      </c>
      <c r="C17" s="1174" t="str">
        <f>IFERROR(_xlfn.CONCAT("E",MATCH(A17,'Tracking &amp; Profitability'!C$1:C$60,0)),"")</f>
        <v>E7</v>
      </c>
      <c r="D17" s="859" t="s">
        <v>1367</v>
      </c>
      <c r="E17" s="859" t="s">
        <v>129</v>
      </c>
      <c r="F17" s="859" t="s">
        <v>1196</v>
      </c>
      <c r="G17" s="859" t="s">
        <v>1378</v>
      </c>
      <c r="H17" s="859" t="s">
        <v>1385</v>
      </c>
      <c r="I17" s="857" t="str">
        <f t="shared" si="0"/>
        <v/>
      </c>
      <c r="J17" s="1409" t="str">
        <f t="shared" si="3"/>
        <v/>
      </c>
      <c r="K17" s="1409" t="str">
        <f t="shared" si="2"/>
        <v/>
      </c>
      <c r="L17" s="1409"/>
      <c r="M17" s="1409"/>
      <c r="N17" s="1409"/>
      <c r="O17" s="1408"/>
      <c r="P17" s="1408"/>
      <c r="Q17" s="1408"/>
      <c r="R17" s="1408"/>
      <c r="S17" s="1408"/>
      <c r="T17" s="1408"/>
      <c r="U17" s="1408"/>
      <c r="V17" s="1408"/>
      <c r="W17" s="1408"/>
      <c r="X17" s="1408"/>
      <c r="Y17" s="1408"/>
      <c r="Z17" s="1408"/>
      <c r="AA17" s="1408"/>
    </row>
    <row r="18" spans="1:27" ht="30" x14ac:dyDescent="0.25">
      <c r="A18" s="859" t="s">
        <v>1225</v>
      </c>
      <c r="B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59" t="s">
        <v>1367</v>
      </c>
      <c r="E18" s="859" t="s">
        <v>1368</v>
      </c>
      <c r="F18" s="859" t="s">
        <v>1225</v>
      </c>
      <c r="G18" s="859" t="s">
        <v>1379</v>
      </c>
      <c r="H18" s="859" t="s">
        <v>1385</v>
      </c>
      <c r="I18" s="857" t="str">
        <f t="shared" si="0"/>
        <v>Maximum Distance From USF DC to Shipping Locations (miles)</v>
      </c>
      <c r="J18" s="1409" t="str">
        <f t="shared" si="3"/>
        <v>F10</v>
      </c>
      <c r="K18" s="1409" t="str">
        <f t="shared" si="2"/>
        <v>Agreement Worksheet</v>
      </c>
      <c r="L18" s="859" t="s">
        <v>1225</v>
      </c>
      <c r="M18" s="1409">
        <v>10</v>
      </c>
      <c r="N18" s="1409"/>
      <c r="O18" s="1408"/>
      <c r="P18" s="1408"/>
      <c r="Q18" s="1408"/>
      <c r="R18" s="1408"/>
      <c r="S18" s="1408"/>
      <c r="T18" s="1408"/>
      <c r="U18" s="1408"/>
      <c r="V18" s="1408"/>
      <c r="W18" s="1408"/>
      <c r="X18" s="1408"/>
      <c r="Y18" s="1408"/>
      <c r="Z18" s="1408"/>
      <c r="AA18" s="1408"/>
    </row>
    <row r="19" spans="1:27" x14ac:dyDescent="0.25">
      <c r="A19" s="859" t="s">
        <v>1227</v>
      </c>
      <c r="B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59" t="s">
        <v>1367</v>
      </c>
      <c r="E19" s="859" t="s">
        <v>1368</v>
      </c>
      <c r="F19" s="859" t="s">
        <v>1227</v>
      </c>
      <c r="G19" s="859" t="s">
        <v>1380</v>
      </c>
      <c r="H19" s="859" t="s">
        <v>1385</v>
      </c>
      <c r="I19" s="857" t="str">
        <f t="shared" si="0"/>
        <v/>
      </c>
      <c r="J19" s="1409" t="str">
        <f t="shared" si="3"/>
        <v/>
      </c>
      <c r="K19" s="1409" t="str">
        <f t="shared" si="2"/>
        <v/>
      </c>
      <c r="L19" s="1409"/>
      <c r="M19" s="1409"/>
      <c r="N19" s="1409"/>
      <c r="O19" s="1408"/>
      <c r="P19" s="1408"/>
      <c r="Q19" s="1408"/>
      <c r="R19" s="1408"/>
      <c r="S19" s="1408"/>
      <c r="T19" s="1408"/>
      <c r="U19" s="1408"/>
      <c r="V19" s="1408"/>
      <c r="W19" s="1408"/>
      <c r="X19" s="1408"/>
      <c r="Y19" s="1408"/>
      <c r="Z19" s="1408"/>
      <c r="AA19" s="1408"/>
    </row>
    <row r="20" spans="1:27" x14ac:dyDescent="0.25">
      <c r="A20" s="859" t="s">
        <v>1228</v>
      </c>
      <c r="B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59" t="s">
        <v>1367</v>
      </c>
      <c r="E20" s="859" t="s">
        <v>1368</v>
      </c>
      <c r="F20" s="859" t="s">
        <v>1228</v>
      </c>
      <c r="G20" s="859" t="s">
        <v>1381</v>
      </c>
      <c r="H20" s="859" t="s">
        <v>1385</v>
      </c>
      <c r="I20" s="857" t="str">
        <f t="shared" si="0"/>
        <v/>
      </c>
      <c r="J20" s="1409" t="str">
        <f t="shared" si="3"/>
        <v/>
      </c>
      <c r="K20" s="1409" t="str">
        <f t="shared" si="2"/>
        <v/>
      </c>
      <c r="L20" s="1409"/>
      <c r="M20" s="1409"/>
      <c r="N20" s="1409"/>
      <c r="O20" s="1408"/>
      <c r="P20" s="1408"/>
      <c r="Q20" s="1408"/>
      <c r="R20" s="1408"/>
      <c r="S20" s="1408"/>
      <c r="T20" s="1408"/>
      <c r="U20" s="1408"/>
      <c r="V20" s="1408"/>
      <c r="W20" s="1408"/>
      <c r="X20" s="1408"/>
      <c r="Y20" s="1408"/>
      <c r="Z20" s="1408"/>
      <c r="AA20" s="1408"/>
    </row>
    <row r="21" spans="1:27" x14ac:dyDescent="0.25">
      <c r="A21" s="859" t="s">
        <v>1237</v>
      </c>
      <c r="B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59" t="s">
        <v>1367</v>
      </c>
      <c r="E21" s="859" t="s">
        <v>1368</v>
      </c>
      <c r="F21" s="859" t="s">
        <v>1237</v>
      </c>
      <c r="G21" s="859" t="s">
        <v>1383</v>
      </c>
      <c r="H21" s="859" t="s">
        <v>1385</v>
      </c>
      <c r="I21" s="857" t="str">
        <f t="shared" si="0"/>
        <v>Split Case Surcharge Amount</v>
      </c>
      <c r="J21" s="1409" t="str">
        <f t="shared" si="3"/>
        <v>F13</v>
      </c>
      <c r="K21" s="1409" t="str">
        <f t="shared" si="2"/>
        <v>Agreement Worksheet</v>
      </c>
      <c r="L21" s="859" t="s">
        <v>1237</v>
      </c>
      <c r="M21" s="1409">
        <v>13</v>
      </c>
      <c r="N21" s="1409"/>
      <c r="O21" s="1408"/>
      <c r="P21" s="1408"/>
      <c r="Q21" s="1408"/>
      <c r="R21" s="1408"/>
      <c r="S21" s="1408"/>
      <c r="T21" s="1408"/>
      <c r="U21" s="1408"/>
      <c r="V21" s="1408"/>
      <c r="W21" s="1408"/>
      <c r="X21" s="1408"/>
      <c r="Y21" s="1408"/>
      <c r="Z21" s="1408"/>
      <c r="AA21" s="1408"/>
    </row>
    <row r="22" spans="1:27" x14ac:dyDescent="0.25">
      <c r="A22" s="859" t="s">
        <v>1238</v>
      </c>
      <c r="B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59" t="s">
        <v>1367</v>
      </c>
      <c r="E22" s="859" t="s">
        <v>1368</v>
      </c>
      <c r="F22" s="859" t="s">
        <v>1238</v>
      </c>
      <c r="G22" s="859" t="s">
        <v>1377</v>
      </c>
      <c r="H22" s="859" t="s">
        <v>1385</v>
      </c>
      <c r="I22" s="857" t="str">
        <f t="shared" si="0"/>
        <v>Split Case Per</v>
      </c>
      <c r="J22" s="1409" t="str">
        <f t="shared" si="3"/>
        <v>F14</v>
      </c>
      <c r="K22" s="1409" t="str">
        <f t="shared" si="2"/>
        <v>Agreement Worksheet</v>
      </c>
      <c r="L22" s="859" t="s">
        <v>1238</v>
      </c>
      <c r="M22" s="1409">
        <v>14</v>
      </c>
      <c r="N22" s="1409"/>
      <c r="O22" s="1408"/>
      <c r="P22" s="1408"/>
      <c r="Q22" s="1408"/>
      <c r="R22" s="1408"/>
      <c r="S22" s="1408"/>
      <c r="T22" s="1408"/>
      <c r="U22" s="1408"/>
      <c r="V22" s="1408"/>
      <c r="W22" s="1408"/>
      <c r="X22" s="1408"/>
      <c r="Y22" s="1408"/>
      <c r="Z22" s="1408"/>
      <c r="AA22" s="1408"/>
    </row>
    <row r="23" spans="1:27" x14ac:dyDescent="0.25">
      <c r="A23" s="859" t="s">
        <v>1388</v>
      </c>
      <c r="B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59" t="s">
        <v>1367</v>
      </c>
      <c r="E23" s="859" t="s">
        <v>1368</v>
      </c>
      <c r="F23" s="859" t="s">
        <v>1388</v>
      </c>
      <c r="G23" s="859" t="s">
        <v>134</v>
      </c>
      <c r="H23" s="859" t="s">
        <v>1385</v>
      </c>
      <c r="I23" s="857" t="str">
        <f t="shared" si="0"/>
        <v>Minimum per Case Markup</v>
      </c>
      <c r="J23" s="1409" t="str">
        <f t="shared" si="3"/>
        <v>F15</v>
      </c>
      <c r="K23" s="1409" t="str">
        <f t="shared" si="2"/>
        <v>Agreement Worksheet</v>
      </c>
      <c r="L23" s="859" t="s">
        <v>1388</v>
      </c>
      <c r="M23" s="1409">
        <v>15</v>
      </c>
      <c r="N23" s="1409"/>
      <c r="O23" s="1408"/>
      <c r="P23" s="1408"/>
      <c r="Q23" s="1408"/>
      <c r="R23" s="1408"/>
      <c r="S23" s="1408"/>
      <c r="T23" s="1408"/>
      <c r="U23" s="1408"/>
      <c r="V23" s="1408"/>
      <c r="W23" s="1408"/>
      <c r="X23" s="1408"/>
      <c r="Y23" s="1408"/>
      <c r="Z23" s="1408"/>
      <c r="AA23" s="1408"/>
    </row>
    <row r="24" spans="1:27" ht="30" x14ac:dyDescent="0.25">
      <c r="A24" s="859" t="s">
        <v>1241</v>
      </c>
      <c r="B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59" t="s">
        <v>1367</v>
      </c>
      <c r="E24" s="859" t="s">
        <v>1368</v>
      </c>
      <c r="F24" s="859" t="s">
        <v>1389</v>
      </c>
      <c r="G24" s="859" t="s">
        <v>658</v>
      </c>
      <c r="H24" s="859" t="s">
        <v>1385</v>
      </c>
      <c r="I24" s="857" t="str">
        <f t="shared" si="0"/>
        <v>Special Order Product Surcharge Amount</v>
      </c>
      <c r="J24" s="1409" t="str">
        <f t="shared" si="3"/>
        <v>F16</v>
      </c>
      <c r="K24" s="1409" t="str">
        <f t="shared" si="2"/>
        <v>Agreement Worksheet</v>
      </c>
      <c r="L24" s="859" t="s">
        <v>1241</v>
      </c>
      <c r="M24" s="1409">
        <v>16</v>
      </c>
      <c r="N24" s="1409"/>
      <c r="O24" s="1408"/>
      <c r="P24" s="1408"/>
      <c r="Q24" s="1408"/>
      <c r="R24" s="1408"/>
      <c r="S24" s="1408"/>
      <c r="T24" s="1408"/>
      <c r="U24" s="1408"/>
      <c r="V24" s="1408"/>
      <c r="W24" s="1408"/>
      <c r="X24" s="1408"/>
      <c r="Y24" s="1408"/>
      <c r="Z24" s="1408"/>
      <c r="AA24" s="1408"/>
    </row>
    <row r="25" spans="1:27" ht="30" x14ac:dyDescent="0.25">
      <c r="A25" s="859" t="s">
        <v>1242</v>
      </c>
      <c r="B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59" t="s">
        <v>1367</v>
      </c>
      <c r="E25" s="859" t="s">
        <v>1368</v>
      </c>
      <c r="F25" s="859" t="s">
        <v>1242</v>
      </c>
      <c r="G25" s="859" t="s">
        <v>240</v>
      </c>
      <c r="H25" s="859" t="s">
        <v>1385</v>
      </c>
      <c r="I25" s="857" t="str">
        <f t="shared" si="0"/>
        <v>Special Order Products Surcharge Amount Type Code</v>
      </c>
      <c r="J25" s="1409" t="str">
        <f t="shared" si="3"/>
        <v>F17</v>
      </c>
      <c r="K25" s="1409" t="str">
        <f t="shared" si="2"/>
        <v>Agreement Worksheet</v>
      </c>
      <c r="L25" s="859" t="s">
        <v>1242</v>
      </c>
      <c r="M25" s="1409">
        <v>17</v>
      </c>
      <c r="N25" s="1409"/>
      <c r="O25" s="1408"/>
      <c r="P25" s="1408"/>
      <c r="Q25" s="1408"/>
      <c r="R25" s="1408"/>
      <c r="S25" s="1408"/>
      <c r="T25" s="1408"/>
      <c r="U25" s="1408"/>
      <c r="V25" s="1408"/>
      <c r="W25" s="1408"/>
      <c r="X25" s="1408"/>
      <c r="Y25" s="1408"/>
      <c r="Z25" s="1408"/>
      <c r="AA25" s="1408"/>
    </row>
    <row r="26" spans="1:27" x14ac:dyDescent="0.25">
      <c r="A26" s="859" t="s">
        <v>1229</v>
      </c>
      <c r="B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59" t="s">
        <v>1367</v>
      </c>
      <c r="E26" s="859" t="s">
        <v>1368</v>
      </c>
      <c r="F26" s="859" t="s">
        <v>1229</v>
      </c>
      <c r="G26" s="859" t="s">
        <v>1382</v>
      </c>
      <c r="H26" s="859" t="s">
        <v>1385</v>
      </c>
      <c r="I26" s="857" t="str">
        <f t="shared" si="0"/>
        <v>Primary Form of Payment</v>
      </c>
      <c r="J26" s="1409" t="str">
        <f t="shared" si="3"/>
        <v>F11</v>
      </c>
      <c r="K26" s="1409" t="str">
        <f t="shared" si="2"/>
        <v>Agreement Worksheet</v>
      </c>
      <c r="L26" s="859" t="s">
        <v>1229</v>
      </c>
      <c r="M26" s="1409">
        <v>11</v>
      </c>
      <c r="N26" s="1409"/>
      <c r="O26" s="1408"/>
      <c r="P26" s="1408"/>
      <c r="Q26" s="1408"/>
      <c r="R26" s="1408"/>
      <c r="S26" s="1408"/>
      <c r="T26" s="1408"/>
      <c r="U26" s="1408"/>
      <c r="V26" s="1408"/>
      <c r="W26" s="1408"/>
      <c r="X26" s="1408"/>
      <c r="Y26" s="1408"/>
      <c r="Z26" s="1408"/>
      <c r="AA26" s="1408"/>
    </row>
    <row r="27" spans="1:27" x14ac:dyDescent="0.25">
      <c r="A27" s="859" t="s">
        <v>1243</v>
      </c>
      <c r="B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59" t="s">
        <v>1367</v>
      </c>
      <c r="E27" s="859" t="s">
        <v>1368</v>
      </c>
      <c r="F27" s="859" t="s">
        <v>1243</v>
      </c>
      <c r="G27" s="859" t="s">
        <v>1390</v>
      </c>
      <c r="H27" s="859" t="s">
        <v>1385</v>
      </c>
      <c r="I27" s="857" t="str">
        <f t="shared" si="0"/>
        <v/>
      </c>
      <c r="J27" s="1409" t="str">
        <f t="shared" si="3"/>
        <v/>
      </c>
      <c r="K27" s="1409" t="str">
        <f t="shared" si="2"/>
        <v/>
      </c>
      <c r="L27" s="1409"/>
      <c r="M27" s="1409"/>
      <c r="N27" s="1409"/>
      <c r="O27" s="1408"/>
      <c r="P27" s="1408"/>
      <c r="Q27" s="1408"/>
      <c r="R27" s="1408"/>
      <c r="S27" s="1408"/>
      <c r="T27" s="1408"/>
      <c r="U27" s="1408"/>
      <c r="V27" s="1408"/>
      <c r="W27" s="1408"/>
      <c r="X27" s="1408"/>
      <c r="Y27" s="1408"/>
      <c r="Z27" s="1408"/>
      <c r="AA27" s="1408"/>
    </row>
    <row r="28" spans="1:27" x14ac:dyDescent="0.25">
      <c r="A28" s="859" t="s">
        <v>1278</v>
      </c>
      <c r="B28" s="857" t="str">
        <f ca="1">_xlfn.CONCAT(IFERROR(SUBSTITUTE(ADDRESS(1,MATCH(A28,INDIRECT("'"&amp;E28&amp;"'"&amp;"!A4:Z4"),0),4),1,""),""),4)</f>
        <v>C4</v>
      </c>
      <c r="C28" s="857" t="str">
        <f ca="1">_xlfn.CONCAT(IFERROR(SUBSTITUTE(ADDRESS(1,MATCH(A28,INDIRECT("'"&amp;E28&amp;"'"&amp;"!A4:Z4"),0),4),1,""),""),5)</f>
        <v>C5</v>
      </c>
      <c r="D28" s="859" t="s">
        <v>1367</v>
      </c>
      <c r="E28" s="859" t="s">
        <v>1291</v>
      </c>
      <c r="F28" s="859" t="s">
        <v>1278</v>
      </c>
      <c r="G28" s="859" t="s">
        <v>1370</v>
      </c>
      <c r="H28" s="859" t="s">
        <v>1276</v>
      </c>
      <c r="I28" s="857" t="str">
        <f t="shared" si="0"/>
        <v xml:space="preserve">Cost Basis </v>
      </c>
      <c r="J28" s="1409" t="str">
        <f t="shared" si="3"/>
        <v>F244</v>
      </c>
      <c r="K28" s="1409" t="str">
        <f t="shared" si="2"/>
        <v>Pricing Schedule</v>
      </c>
      <c r="L28" s="897" t="s">
        <v>1459</v>
      </c>
      <c r="M28" s="1409">
        <v>244</v>
      </c>
      <c r="N28" s="1409"/>
      <c r="O28" s="1408"/>
      <c r="P28" s="1408"/>
      <c r="Q28" s="1408"/>
      <c r="R28" s="1408"/>
      <c r="S28" s="1408"/>
      <c r="T28" s="1408"/>
      <c r="U28" s="1408"/>
      <c r="V28" s="1408"/>
      <c r="W28" s="1408"/>
      <c r="X28" s="1408"/>
      <c r="Y28" s="1408"/>
      <c r="Z28" s="1408"/>
      <c r="AA28" s="1408"/>
    </row>
    <row r="29" spans="1:27" x14ac:dyDescent="0.25">
      <c r="A29" s="859" t="s">
        <v>1394</v>
      </c>
      <c r="B29" s="857" t="str">
        <f t="shared" ref="B29:B30" ca="1" si="4">_xlfn.CONCAT(IFERROR(SUBSTITUTE(ADDRESS(1,MATCH(A29,INDIRECT("'"&amp;E29&amp;"'"&amp;"!A4:Z4"),0),4),1,""),""),4)</f>
        <v>D4</v>
      </c>
      <c r="C29" s="857" t="str">
        <f ca="1">_xlfn.CONCAT(IFERROR(SUBSTITUTE(ADDRESS(1,MATCH(A29,INDIRECT("'"&amp;E29&amp;"'"&amp;"!A4:Z4"),0),4),1,""),""),5)</f>
        <v>D5</v>
      </c>
      <c r="D29" s="859" t="s">
        <v>1367</v>
      </c>
      <c r="E29" s="859" t="s">
        <v>1291</v>
      </c>
      <c r="F29" s="859" t="s">
        <v>1394</v>
      </c>
      <c r="G29" s="859" t="s">
        <v>1372</v>
      </c>
      <c r="H29" s="859" t="s">
        <v>1276</v>
      </c>
      <c r="I29" s="857" t="str">
        <f t="shared" si="0"/>
        <v>Margin Basis Code</v>
      </c>
      <c r="J29" s="1409" t="str">
        <f t="shared" si="3"/>
        <v>F245</v>
      </c>
      <c r="K29" s="1409" t="str">
        <f t="shared" si="2"/>
        <v>Pricing Schedule</v>
      </c>
      <c r="L29" s="897" t="s">
        <v>1394</v>
      </c>
      <c r="M29" s="1409">
        <v>245</v>
      </c>
      <c r="N29" s="1409"/>
      <c r="O29" s="1408"/>
      <c r="P29" s="1408"/>
      <c r="Q29" s="1408"/>
      <c r="R29" s="1408"/>
      <c r="S29" s="1408"/>
      <c r="T29" s="1408"/>
      <c r="U29" s="1408"/>
      <c r="V29" s="1408"/>
      <c r="W29" s="1408"/>
      <c r="X29" s="1408"/>
      <c r="Y29" s="1408"/>
      <c r="Z29" s="1408"/>
      <c r="AA29" s="1408"/>
    </row>
    <row r="30" spans="1:27" x14ac:dyDescent="0.25">
      <c r="A30" s="859" t="s">
        <v>1279</v>
      </c>
      <c r="B30" s="857" t="str">
        <f t="shared" ca="1" si="4"/>
        <v>E4</v>
      </c>
      <c r="C30" s="857" t="str">
        <f ca="1">_xlfn.CONCAT(IFERROR(SUBSTITUTE(ADDRESS(1,MATCH(A30,INDIRECT("'"&amp;E30&amp;"'"&amp;"!A4:Z4"),0),4),1,""),""),5)</f>
        <v>E5</v>
      </c>
      <c r="D30" s="859" t="s">
        <v>1367</v>
      </c>
      <c r="E30" s="859" t="s">
        <v>1291</v>
      </c>
      <c r="F30" s="859" t="s">
        <v>1279</v>
      </c>
      <c r="G30" s="859" t="s">
        <v>1387</v>
      </c>
      <c r="H30" s="859" t="s">
        <v>1276</v>
      </c>
      <c r="I30" s="857" t="str">
        <f t="shared" si="0"/>
        <v>Margin Calculation Code</v>
      </c>
      <c r="J30" s="1409" t="str">
        <f t="shared" si="3"/>
        <v>F246</v>
      </c>
      <c r="K30" s="1409" t="str">
        <f t="shared" si="2"/>
        <v>Pricing Schedule</v>
      </c>
      <c r="L30" s="897" t="s">
        <v>1279</v>
      </c>
      <c r="M30" s="1409">
        <v>246</v>
      </c>
      <c r="N30" s="1409"/>
      <c r="O30" s="1408"/>
      <c r="P30" s="1408"/>
      <c r="Q30" s="1408"/>
      <c r="R30" s="1408"/>
      <c r="S30" s="1408"/>
      <c r="T30" s="1408"/>
      <c r="U30" s="1408"/>
      <c r="V30" s="1408"/>
      <c r="W30" s="1408"/>
      <c r="X30" s="1408"/>
      <c r="Y30" s="1408"/>
      <c r="Z30" s="1408"/>
      <c r="AA30" s="1408"/>
    </row>
    <row r="31" spans="1:27" x14ac:dyDescent="0.25">
      <c r="A31" s="859" t="s">
        <v>1488</v>
      </c>
      <c r="B31" s="857" t="str">
        <f>IFERROR(_xlfn.CONCAT("C",MATCH(A31,Welcome!C$1:C$60,0)),"")</f>
        <v>C20</v>
      </c>
      <c r="C31" s="857" t="str">
        <f>IFERROR(_xlfn.CONCAT("D",MATCH(A31,Welcome!C$1:C$61,0)),"")</f>
        <v>D20</v>
      </c>
      <c r="D31" s="859" t="s">
        <v>1367</v>
      </c>
      <c r="E31" s="859" t="s">
        <v>1391</v>
      </c>
      <c r="F31" s="859" t="s">
        <v>1392</v>
      </c>
      <c r="G31" s="859" t="s">
        <v>1393</v>
      </c>
      <c r="H31" s="859" t="s">
        <v>1385</v>
      </c>
      <c r="I31" s="857" t="str">
        <f t="shared" si="0"/>
        <v>Proprietary Slots Additional Markup:</v>
      </c>
      <c r="J31" s="1409" t="str">
        <f t="shared" si="3"/>
        <v>F28</v>
      </c>
      <c r="K31" s="1409" t="str">
        <f t="shared" si="2"/>
        <v>Welcome</v>
      </c>
      <c r="L31" s="1409" t="s">
        <v>1443</v>
      </c>
      <c r="M31" s="1409">
        <v>28</v>
      </c>
      <c r="N31" s="1409"/>
      <c r="O31" s="1408"/>
      <c r="P31" s="1408"/>
      <c r="Q31" s="1408"/>
      <c r="R31" s="1408"/>
      <c r="S31" s="1408"/>
      <c r="T31" s="1408"/>
      <c r="U31" s="1408"/>
      <c r="V31" s="1408"/>
      <c r="W31" s="1408"/>
      <c r="X31" s="1408"/>
      <c r="Y31" s="1408"/>
      <c r="Z31" s="1408"/>
      <c r="AA31" s="1408"/>
    </row>
    <row r="32" spans="1:27" x14ac:dyDescent="0.25">
      <c r="A32" s="859" t="s">
        <v>243</v>
      </c>
      <c r="B32" s="857" t="str">
        <f ca="1">_xlfn.CONCAT(IFERROR(SUBSTITUTE(ADDRESS(1,MATCH('Mapping Sheet'!A32,INDIRECT("'"&amp;E32&amp;"'"&amp;"!A25:Z25"),0),4),1,""),""),25)</f>
        <v>C25</v>
      </c>
      <c r="C32" s="859" t="str">
        <f ca="1">_xlfn.CONCAT(IFERROR(SUBSTITUTE(ADDRESS(1,MATCH('Mapping Sheet'!A32,INDIRECT("'"&amp;E32&amp;"'"&amp;"!A25:Z25"),0),4),1,""),""),26)</f>
        <v>C26</v>
      </c>
      <c r="D32" s="859" t="s">
        <v>1367</v>
      </c>
      <c r="E32" s="859" t="s">
        <v>1391</v>
      </c>
      <c r="F32" s="859"/>
      <c r="G32" s="859"/>
      <c r="H32" s="859"/>
      <c r="I32" s="857" t="str">
        <f t="shared" si="0"/>
        <v/>
      </c>
      <c r="J32" s="1409" t="str">
        <f t="shared" si="3"/>
        <v/>
      </c>
      <c r="K32" s="1409" t="str">
        <f t="shared" si="2"/>
        <v/>
      </c>
      <c r="L32" s="1409"/>
      <c r="M32" s="1409"/>
      <c r="N32" s="1409"/>
      <c r="O32" s="1408"/>
      <c r="P32" s="1408"/>
      <c r="Q32" s="1408"/>
      <c r="R32" s="1408"/>
      <c r="S32" s="1408"/>
      <c r="T32" s="1408"/>
      <c r="U32" s="1408"/>
      <c r="V32" s="1408"/>
      <c r="W32" s="1408"/>
      <c r="X32" s="1408"/>
      <c r="Y32" s="1408"/>
      <c r="Z32" s="1408"/>
      <c r="AA32" s="1408"/>
    </row>
    <row r="33" spans="1:27" x14ac:dyDescent="0.25">
      <c r="A33" s="859" t="s">
        <v>264</v>
      </c>
      <c r="B33" s="857" t="str">
        <f ca="1">_xlfn.CONCAT(IFERROR(SUBSTITUTE(ADDRESS(1,MATCH('Mapping Sheet'!A33,INDIRECT("'"&amp;E33&amp;"'"&amp;"!A25:Z25"),0),4),1,""),""),25)</f>
        <v>G25</v>
      </c>
      <c r="C33" s="859" t="str">
        <f ca="1">_xlfn.CONCAT(IFERROR(SUBSTITUTE(ADDRESS(1,MATCH('Mapping Sheet'!A33,INDIRECT("'"&amp;E33&amp;"'"&amp;"!A25:Z25"),0),4),1,""),""),26)</f>
        <v>G26</v>
      </c>
      <c r="D33" s="859" t="s">
        <v>1367</v>
      </c>
      <c r="E33" s="859" t="s">
        <v>1391</v>
      </c>
      <c r="F33" s="859" t="s">
        <v>264</v>
      </c>
      <c r="G33" s="859" t="s">
        <v>1372</v>
      </c>
      <c r="H33" s="859" t="s">
        <v>1911</v>
      </c>
      <c r="I33" s="857" t="str">
        <f t="shared" si="0"/>
        <v/>
      </c>
      <c r="J33" s="1409" t="str">
        <f t="shared" si="3"/>
        <v/>
      </c>
      <c r="K33" s="1409" t="str">
        <f t="shared" si="2"/>
        <v/>
      </c>
      <c r="L33" s="1409"/>
      <c r="M33" s="1409"/>
      <c r="N33" s="1409"/>
      <c r="O33" s="1408"/>
      <c r="P33" s="1408"/>
      <c r="Q33" s="1408"/>
      <c r="R33" s="1408"/>
      <c r="S33" s="1408"/>
      <c r="T33" s="1408"/>
      <c r="U33" s="1408"/>
      <c r="V33" s="1408"/>
      <c r="W33" s="1408"/>
      <c r="X33" s="1408"/>
      <c r="Y33" s="1408"/>
      <c r="Z33" s="1408"/>
      <c r="AA33" s="1408"/>
    </row>
    <row r="34" spans="1:27" x14ac:dyDescent="0.25">
      <c r="A34" s="859" t="s">
        <v>652</v>
      </c>
      <c r="B34" s="857" t="str">
        <f ca="1">_xlfn.CONCAT(IFERROR(SUBSTITUTE(ADDRESS(1,MATCH('Mapping Sheet'!A34,INDIRECT("'"&amp;E34&amp;"'"&amp;"!A25:Z25"),0),4),1,""),""),25)</f>
        <v>D25</v>
      </c>
      <c r="C34" s="859" t="str">
        <f ca="1">_xlfn.CONCAT(IFERROR(SUBSTITUTE(ADDRESS(1,MATCH('Mapping Sheet'!A34,INDIRECT("'"&amp;E34&amp;"'"&amp;"!A25:Z25"),0),4),1,""),""),26)</f>
        <v>D26</v>
      </c>
      <c r="D34" s="859" t="s">
        <v>1367</v>
      </c>
      <c r="E34" s="859" t="s">
        <v>1391</v>
      </c>
      <c r="F34" s="859" t="s">
        <v>652</v>
      </c>
      <c r="G34" s="859" t="s">
        <v>1387</v>
      </c>
      <c r="H34" s="859" t="s">
        <v>1911</v>
      </c>
      <c r="I34" s="857" t="str">
        <f t="shared" si="0"/>
        <v>Dry</v>
      </c>
      <c r="J34" s="1409" t="str">
        <f t="shared" si="3"/>
        <v>F29</v>
      </c>
      <c r="K34" s="1409" t="str">
        <f t="shared" si="2"/>
        <v>Welcome</v>
      </c>
      <c r="L34" s="1409" t="s">
        <v>652</v>
      </c>
      <c r="M34" s="1409">
        <v>29</v>
      </c>
      <c r="N34" s="1409"/>
      <c r="O34" s="1408"/>
      <c r="P34" s="1408"/>
      <c r="Q34" s="1408"/>
      <c r="R34" s="1408"/>
      <c r="S34" s="1408"/>
      <c r="T34" s="1408"/>
      <c r="U34" s="1408"/>
      <c r="V34" s="1408"/>
      <c r="W34" s="1408"/>
      <c r="X34" s="1408"/>
      <c r="Y34" s="1408"/>
      <c r="Z34" s="1408"/>
      <c r="AA34" s="1408"/>
    </row>
    <row r="35" spans="1:27" x14ac:dyDescent="0.25">
      <c r="A35" s="859" t="s">
        <v>1166</v>
      </c>
      <c r="B35" s="857" t="str">
        <f ca="1">_xlfn.CONCAT(IFERROR(SUBSTITUTE(ADDRESS(1,MATCH('Mapping Sheet'!A35,INDIRECT("'"&amp;E35&amp;"'"&amp;"!A25:Z25"),0),4),1,""),""),25)</f>
        <v>E25</v>
      </c>
      <c r="C35" s="859" t="str">
        <f ca="1">_xlfn.CONCAT(IFERROR(SUBSTITUTE(ADDRESS(1,MATCH('Mapping Sheet'!A35,INDIRECT("'"&amp;E35&amp;"'"&amp;"!A25:Z25"),0),4),1,""),""),26)</f>
        <v>E26</v>
      </c>
      <c r="D35" s="859" t="s">
        <v>1367</v>
      </c>
      <c r="E35" s="859" t="s">
        <v>1391</v>
      </c>
      <c r="F35" s="859" t="s">
        <v>1166</v>
      </c>
      <c r="G35" s="859" t="s">
        <v>657</v>
      </c>
      <c r="H35" s="859" t="s">
        <v>1911</v>
      </c>
      <c r="I35" s="857" t="str">
        <f t="shared" si="0"/>
        <v>Frozen</v>
      </c>
      <c r="J35" s="1409" t="str">
        <f t="shared" si="3"/>
        <v>F30</v>
      </c>
      <c r="K35" s="1409" t="str">
        <f t="shared" si="2"/>
        <v>Welcome</v>
      </c>
      <c r="L35" s="1409" t="s">
        <v>1166</v>
      </c>
      <c r="M35" s="1409">
        <v>30</v>
      </c>
      <c r="N35" s="1409"/>
      <c r="O35" s="1408"/>
      <c r="P35" s="1408"/>
      <c r="Q35" s="1408"/>
      <c r="R35" s="1408"/>
      <c r="S35" s="1408"/>
      <c r="T35" s="1408"/>
      <c r="U35" s="1408"/>
      <c r="V35" s="1408"/>
      <c r="W35" s="1408"/>
      <c r="X35" s="1408"/>
      <c r="Y35" s="1408"/>
      <c r="Z35" s="1408"/>
      <c r="AA35" s="1408"/>
    </row>
    <row r="36" spans="1:27" x14ac:dyDescent="0.25">
      <c r="A36" s="859" t="s">
        <v>1167</v>
      </c>
      <c r="B36" s="857" t="str">
        <f ca="1">_xlfn.CONCAT(IFERROR(SUBSTITUTE(ADDRESS(1,MATCH('Mapping Sheet'!A36,INDIRECT("'"&amp;E36&amp;"'"&amp;"!A25:Z25"),0),4),1,""),""),25)</f>
        <v>F25</v>
      </c>
      <c r="C36" s="859" t="str">
        <f ca="1">_xlfn.CONCAT(IFERROR(SUBSTITUTE(ADDRESS(1,MATCH('Mapping Sheet'!A36,INDIRECT("'"&amp;E36&amp;"'"&amp;"!A25:Z25"),0),4),1,""),""),26)</f>
        <v>F26</v>
      </c>
      <c r="D36" s="859" t="s">
        <v>1367</v>
      </c>
      <c r="E36" s="859" t="s">
        <v>1391</v>
      </c>
      <c r="F36" s="859" t="s">
        <v>1167</v>
      </c>
      <c r="G36" s="859" t="s">
        <v>1373</v>
      </c>
      <c r="H36" s="859" t="s">
        <v>1911</v>
      </c>
      <c r="I36" s="857" t="str">
        <f t="shared" si="0"/>
        <v>Refrigerated</v>
      </c>
      <c r="J36" s="1409" t="str">
        <f t="shared" si="3"/>
        <v>F31</v>
      </c>
      <c r="K36" s="1409" t="str">
        <f t="shared" si="2"/>
        <v>Welcome</v>
      </c>
      <c r="L36" s="1409" t="s">
        <v>1167</v>
      </c>
      <c r="M36" s="1409">
        <v>31</v>
      </c>
      <c r="N36" s="1409"/>
      <c r="O36" s="1408"/>
      <c r="P36" s="1408"/>
      <c r="Q36" s="1408"/>
      <c r="R36" s="1408"/>
      <c r="S36" s="1408"/>
      <c r="T36" s="1408"/>
      <c r="U36" s="1408"/>
      <c r="V36" s="1408"/>
      <c r="W36" s="1408"/>
      <c r="X36" s="1408"/>
      <c r="Y36" s="1408"/>
      <c r="Z36" s="1408"/>
      <c r="AA36" s="1408"/>
    </row>
    <row r="37" spans="1:27" x14ac:dyDescent="0.25">
      <c r="A37" s="859" t="s">
        <v>1168</v>
      </c>
      <c r="B37" s="857" t="str">
        <f ca="1">_xlfn.CONCAT(IFERROR(SUBSTITUTE(ADDRESS(1,MATCH('Mapping Sheet'!A37,INDIRECT("'"&amp;E37&amp;"'"&amp;"!A25:Z25"),0),4),1,""),""),25)</f>
        <v>H25</v>
      </c>
      <c r="C37" s="859" t="str">
        <f ca="1">_xlfn.CONCAT(IFERROR(SUBSTITUTE(ADDRESS(1,MATCH('Mapping Sheet'!A37,INDIRECT("'"&amp;E37&amp;"'"&amp;"!A25:Z25"),0),4),1,""),""),26)</f>
        <v>H26</v>
      </c>
      <c r="D37" s="859" t="s">
        <v>1367</v>
      </c>
      <c r="E37" s="859" t="s">
        <v>1391</v>
      </c>
      <c r="F37" s="859" t="s">
        <v>1168</v>
      </c>
      <c r="G37" s="859" t="s">
        <v>1378</v>
      </c>
      <c r="H37" s="859" t="s">
        <v>1911</v>
      </c>
      <c r="I37" s="857" t="str">
        <f t="shared" si="0"/>
        <v>Proprietary Inventory Turn</v>
      </c>
      <c r="J37" s="1409" t="str">
        <f t="shared" si="3"/>
        <v>F32</v>
      </c>
      <c r="K37" s="1409" t="str">
        <f t="shared" si="2"/>
        <v>Welcome</v>
      </c>
      <c r="L37" s="1409" t="s">
        <v>1168</v>
      </c>
      <c r="M37" s="1409">
        <v>32</v>
      </c>
      <c r="N37" s="1409"/>
      <c r="O37" s="1408"/>
      <c r="P37" s="1408"/>
      <c r="Q37" s="1408"/>
      <c r="R37" s="1408"/>
      <c r="S37" s="1408"/>
      <c r="T37" s="1408"/>
      <c r="U37" s="1408"/>
      <c r="V37" s="1408"/>
      <c r="W37" s="1408"/>
      <c r="X37" s="1408"/>
      <c r="Y37" s="1408"/>
      <c r="Z37" s="1408"/>
      <c r="AA37" s="1408"/>
    </row>
    <row r="38" spans="1:27" x14ac:dyDescent="0.25">
      <c r="A38" s="859" t="s">
        <v>1187</v>
      </c>
      <c r="B38" s="857" t="str">
        <f>IFERROR(_xlfn.CONCAT("C",MATCH(A38,Welcome!C$1:C$60,0)),"")</f>
        <v>C8</v>
      </c>
      <c r="C38" s="857" t="str">
        <f>IFERROR(_xlfn.CONCAT("D",MATCH(A38,Welcome!C$1:C$61,0)),"")</f>
        <v>D8</v>
      </c>
      <c r="D38" s="859" t="s">
        <v>1367</v>
      </c>
      <c r="E38" s="859" t="s">
        <v>1391</v>
      </c>
      <c r="F38" s="859" t="s">
        <v>1419</v>
      </c>
      <c r="G38" s="859" t="s">
        <v>1370</v>
      </c>
      <c r="H38" s="859" t="s">
        <v>1912</v>
      </c>
      <c r="I38" s="857" t="str">
        <f t="shared" si="0"/>
        <v>Agreement Classification:</v>
      </c>
      <c r="J38" s="1409" t="str">
        <f t="shared" si="3"/>
        <v>F5</v>
      </c>
      <c r="K38" s="1409" t="str">
        <f t="shared" si="2"/>
        <v>Welcome</v>
      </c>
      <c r="L38" s="1409" t="s">
        <v>1419</v>
      </c>
      <c r="M38" s="1409">
        <v>5</v>
      </c>
      <c r="N38" s="1409"/>
      <c r="O38" s="1408"/>
      <c r="P38" s="1408"/>
      <c r="Q38" s="1408"/>
      <c r="R38" s="1408"/>
      <c r="S38" s="1408"/>
      <c r="T38" s="1408"/>
      <c r="U38" s="1408"/>
      <c r="V38" s="1408"/>
      <c r="W38" s="1408"/>
      <c r="X38" s="1408"/>
      <c r="Y38" s="1408"/>
      <c r="Z38" s="1408"/>
      <c r="AA38" s="1408"/>
    </row>
    <row r="39" spans="1:27" x14ac:dyDescent="0.25">
      <c r="A39" s="859" t="s">
        <v>1415</v>
      </c>
      <c r="B39" s="857" t="str">
        <f>IFERROR(_xlfn.CONCAT("C",MATCH(A39,Welcome!C$1:C$60,0)),"")</f>
        <v>C12</v>
      </c>
      <c r="C39" s="857" t="str">
        <f>IFERROR(_xlfn.CONCAT("D",MATCH(A39,Welcome!C$1:C$61,0)),"")</f>
        <v>D12</v>
      </c>
      <c r="D39" s="859" t="s">
        <v>1367</v>
      </c>
      <c r="E39" s="859" t="s">
        <v>1391</v>
      </c>
      <c r="F39" s="859" t="s">
        <v>1420</v>
      </c>
      <c r="G39" s="859" t="s">
        <v>1373</v>
      </c>
      <c r="H39" s="859" t="s">
        <v>1912</v>
      </c>
      <c r="I39" s="857" t="str">
        <f t="shared" si="0"/>
        <v>Initial Agreement Terms:</v>
      </c>
      <c r="J39" s="1409" t="str">
        <f t="shared" si="3"/>
        <v>F6</v>
      </c>
      <c r="K39" s="1409" t="str">
        <f t="shared" si="2"/>
        <v>Welcome</v>
      </c>
      <c r="L39" s="1409" t="s">
        <v>1420</v>
      </c>
      <c r="M39" s="1409">
        <v>6</v>
      </c>
      <c r="N39" s="1409"/>
      <c r="O39" s="1408"/>
      <c r="P39" s="1408"/>
      <c r="Q39" s="1408"/>
      <c r="R39" s="1408"/>
      <c r="S39" s="1408"/>
      <c r="T39" s="1408"/>
      <c r="U39" s="1408"/>
      <c r="V39" s="1408"/>
      <c r="W39" s="1408"/>
      <c r="X39" s="1408"/>
      <c r="Y39" s="1408"/>
      <c r="Z39" s="1408"/>
      <c r="AA39" s="1408"/>
    </row>
    <row r="40" spans="1:27" x14ac:dyDescent="0.25">
      <c r="A40" s="859" t="s">
        <v>1416</v>
      </c>
      <c r="B40" s="857" t="str">
        <f>IFERROR(_xlfn.CONCAT("C",MATCH(A40,Welcome!C$1:C$60,0)),"")</f>
        <v>C16</v>
      </c>
      <c r="C40" s="857" t="str">
        <f>IFERROR(_xlfn.CONCAT("D",MATCH(A40,Welcome!C$1:C$61,0)),"")</f>
        <v>D16</v>
      </c>
      <c r="D40" s="859" t="s">
        <v>1367</v>
      </c>
      <c r="E40" s="859" t="s">
        <v>1391</v>
      </c>
      <c r="F40" s="52" t="s">
        <v>1913</v>
      </c>
      <c r="G40" s="859" t="s">
        <v>1914</v>
      </c>
      <c r="H40" s="859" t="s">
        <v>1912</v>
      </c>
      <c r="I40" s="857" t="str">
        <f t="shared" si="0"/>
        <v>Credit Card Payment:</v>
      </c>
      <c r="J40" s="1409" t="str">
        <f t="shared" si="3"/>
        <v>F26</v>
      </c>
      <c r="K40" s="1409" t="str">
        <f t="shared" si="2"/>
        <v>Welcome</v>
      </c>
      <c r="L40" s="1409" t="s">
        <v>1421</v>
      </c>
      <c r="M40" s="1409">
        <v>26</v>
      </c>
      <c r="N40" s="1409"/>
      <c r="O40" s="1408"/>
      <c r="P40" s="1408"/>
      <c r="Q40" s="1408"/>
      <c r="R40" s="1408"/>
      <c r="S40" s="1408"/>
      <c r="T40" s="1408"/>
      <c r="U40" s="1408"/>
      <c r="V40" s="1408"/>
      <c r="W40" s="1408"/>
      <c r="X40" s="1408"/>
      <c r="Y40" s="1408"/>
      <c r="Z40" s="1408"/>
      <c r="AA40" s="1408"/>
    </row>
    <row r="41" spans="1:27" x14ac:dyDescent="0.25">
      <c r="A41" s="859" t="s">
        <v>1417</v>
      </c>
      <c r="B41" s="857" t="str">
        <f>IFERROR(_xlfn.CONCAT("C",MATCH(A41,Welcome!C$1:C$60,0)),"")</f>
        <v>C18</v>
      </c>
      <c r="C41" s="857" t="str">
        <f>IFERROR(_xlfn.CONCAT("D",MATCH(A41,Welcome!C$1:C$61,0)),"")</f>
        <v>D18</v>
      </c>
      <c r="D41" s="859" t="s">
        <v>1367</v>
      </c>
      <c r="E41" s="859" t="s">
        <v>1391</v>
      </c>
      <c r="F41" s="859" t="s">
        <v>1422</v>
      </c>
      <c r="G41" s="859" t="s">
        <v>1915</v>
      </c>
      <c r="H41" s="859" t="s">
        <v>1912</v>
      </c>
      <c r="I41" s="857" t="str">
        <f t="shared" si="0"/>
        <v>Proprietary Slots Included Flag:</v>
      </c>
      <c r="J41" s="1409" t="str">
        <f t="shared" si="3"/>
        <v>F27</v>
      </c>
      <c r="K41" s="1409" t="str">
        <f t="shared" si="2"/>
        <v>Welcome</v>
      </c>
      <c r="L41" s="1409" t="s">
        <v>1422</v>
      </c>
      <c r="M41" s="1409">
        <v>27</v>
      </c>
      <c r="N41" s="1409"/>
      <c r="O41" s="1408"/>
      <c r="P41" s="1408"/>
      <c r="Q41" s="1408"/>
      <c r="R41" s="1408"/>
      <c r="S41" s="1408"/>
      <c r="T41" s="1408"/>
      <c r="U41" s="1408"/>
      <c r="V41" s="1408"/>
      <c r="W41" s="1408"/>
      <c r="X41" s="1408"/>
      <c r="Y41" s="1408"/>
      <c r="Z41" s="1408"/>
      <c r="AA41" s="1408"/>
    </row>
    <row r="42" spans="1:27" x14ac:dyDescent="0.25">
      <c r="A42" s="859" t="s">
        <v>1486</v>
      </c>
      <c r="B42" s="857" t="str">
        <f>IFERROR(_xlfn.CONCAT("C",MATCH(A42,Welcome!C$1:C$60,0)),"")</f>
        <v>C14</v>
      </c>
      <c r="C42" s="857" t="str">
        <f>IFERROR(_xlfn.CONCAT("D",MATCH(A42,Welcome!C$1:C$61,0)),"")</f>
        <v>D14</v>
      </c>
      <c r="D42" s="859" t="s">
        <v>1367</v>
      </c>
      <c r="E42" s="859" t="s">
        <v>1391</v>
      </c>
      <c r="F42" s="859" t="s">
        <v>1916</v>
      </c>
      <c r="G42" s="859" t="s">
        <v>1917</v>
      </c>
      <c r="H42" s="859" t="s">
        <v>1918</v>
      </c>
      <c r="I42" s="857" t="str">
        <f t="shared" si="0"/>
        <v># of Locations:</v>
      </c>
      <c r="J42" s="1409" t="str">
        <f t="shared" si="3"/>
        <v>F33</v>
      </c>
      <c r="K42" s="1409" t="str">
        <f t="shared" si="2"/>
        <v>Welcome</v>
      </c>
      <c r="L42" s="1409" t="s">
        <v>1490</v>
      </c>
      <c r="M42" s="1409">
        <v>33</v>
      </c>
      <c r="N42" s="1409"/>
      <c r="O42" s="1408"/>
      <c r="P42" s="1408"/>
      <c r="Q42" s="1408"/>
      <c r="R42" s="1408"/>
      <c r="S42" s="1408"/>
      <c r="T42" s="1408"/>
      <c r="U42" s="1408"/>
      <c r="V42" s="1408"/>
      <c r="W42" s="1408"/>
      <c r="X42" s="1408"/>
      <c r="Y42" s="1408"/>
      <c r="Z42" s="1408"/>
      <c r="AA42" s="1408"/>
    </row>
    <row r="43" spans="1:27" x14ac:dyDescent="0.25">
      <c r="A43" s="912" t="s">
        <v>1192</v>
      </c>
      <c r="B43" s="859" t="str">
        <f t="shared" ref="B43:B45" ca="1" si="5">_xlfn.IFNA(_xlfn.CONCAT(SUBSTITUTE(ADDRESS(1,MATCH(A43,INDIRECT("'"&amp;E43&amp;"'"&amp;"!A5:Z5"),0),4),1,""),6),"")</f>
        <v>H6</v>
      </c>
      <c r="C43" s="859" t="str">
        <f t="shared" ref="C43:C45" ca="1" si="6">_xlfn.IFNA(SUBSTITUTE(ADDRESS(1,MATCH(A43,INDIRECT("'"&amp;E43&amp;"'"&amp;"!A5:Z5"),0),4),1,""),"")</f>
        <v>H</v>
      </c>
      <c r="D43" s="859" t="s">
        <v>1374</v>
      </c>
      <c r="E43" s="859" t="s">
        <v>874</v>
      </c>
      <c r="F43" s="859"/>
      <c r="G43" s="859"/>
      <c r="H43" s="859"/>
      <c r="I43" s="857" t="str">
        <f t="shared" si="0"/>
        <v>Pyramid Segment</v>
      </c>
      <c r="J43" s="1409" t="str">
        <f>IF(AND(P1221="",M43&lt;&gt;""),Q$1&amp;M43,"")</f>
        <v>F35</v>
      </c>
      <c r="K43" s="1409" t="str">
        <f t="shared" si="2"/>
        <v>Customer Inputs</v>
      </c>
      <c r="L43" s="859" t="s">
        <v>1192</v>
      </c>
      <c r="M43" s="1409">
        <v>35</v>
      </c>
      <c r="N43" s="859"/>
      <c r="O43" s="1408"/>
      <c r="P43" s="1408"/>
      <c r="Q43" s="1408"/>
      <c r="R43" s="1408"/>
      <c r="S43" s="1408"/>
      <c r="T43" s="1408"/>
      <c r="U43" s="1408"/>
      <c r="V43" s="1408"/>
      <c r="W43" s="1408"/>
      <c r="X43" s="1408"/>
      <c r="Y43" s="1408"/>
      <c r="Z43" s="1408"/>
      <c r="AA43" s="1408"/>
    </row>
    <row r="44" spans="1:27" ht="30" x14ac:dyDescent="0.25">
      <c r="A44" s="913" t="s">
        <v>1274</v>
      </c>
      <c r="B44" s="859" t="str">
        <f t="shared" ca="1" si="5"/>
        <v>I6</v>
      </c>
      <c r="C44" s="859" t="str">
        <f t="shared" ca="1" si="6"/>
        <v>I</v>
      </c>
      <c r="D44" s="859" t="s">
        <v>1374</v>
      </c>
      <c r="E44" s="859" t="s">
        <v>874</v>
      </c>
      <c r="F44" s="859"/>
      <c r="G44" s="859"/>
      <c r="H44" s="859"/>
      <c r="I44" s="857" t="str">
        <f t="shared" si="0"/>
        <v>Agreement Annual Purchase Commitment</v>
      </c>
      <c r="J44" s="1409" t="str">
        <f>Q$1&amp;IF(Q44&lt;&gt;"",M44,M46)</f>
        <v>F39</v>
      </c>
      <c r="K44" s="1409" t="str">
        <f t="shared" si="2"/>
        <v>Customer Inputs</v>
      </c>
      <c r="L44" s="52" t="s">
        <v>1274</v>
      </c>
      <c r="M44" s="1409">
        <v>37</v>
      </c>
      <c r="N44" s="859"/>
      <c r="O44" s="1408"/>
      <c r="P44" s="1408"/>
      <c r="Q44" s="1408"/>
      <c r="R44" s="1408"/>
      <c r="S44" s="1408"/>
      <c r="T44" s="1408"/>
      <c r="U44" s="1408"/>
      <c r="V44" s="1408"/>
      <c r="W44" s="1408"/>
      <c r="X44" s="1408"/>
      <c r="Y44" s="1408"/>
      <c r="Z44" s="1408"/>
      <c r="AA44" s="1408"/>
    </row>
    <row r="45" spans="1:27" ht="30" x14ac:dyDescent="0.25">
      <c r="A45" s="912" t="s">
        <v>1275</v>
      </c>
      <c r="B45" s="859" t="str">
        <f t="shared" ca="1" si="5"/>
        <v>J6</v>
      </c>
      <c r="C45" s="859" t="str">
        <f t="shared" ca="1" si="6"/>
        <v>J</v>
      </c>
      <c r="D45" s="859" t="s">
        <v>1374</v>
      </c>
      <c r="E45" s="859" t="s">
        <v>874</v>
      </c>
      <c r="F45" s="859"/>
      <c r="G45" s="859"/>
      <c r="H45" s="859"/>
      <c r="I45" s="857" t="str">
        <f t="shared" si="0"/>
        <v>Agreement Deliveries Per Customer Unit Per Week</v>
      </c>
      <c r="J45" s="1409" t="str">
        <f>Q$1&amp;IF(Q45&lt;&gt;"",M45,M47)</f>
        <v>F40</v>
      </c>
      <c r="K45" s="1409" t="str">
        <f t="shared" si="2"/>
        <v>Customer Inputs</v>
      </c>
      <c r="L45" s="859" t="s">
        <v>1275</v>
      </c>
      <c r="M45" s="1409">
        <v>38</v>
      </c>
      <c r="N45" s="859"/>
      <c r="O45" s="1408"/>
      <c r="P45" s="1408"/>
      <c r="Q45" s="1408"/>
      <c r="R45" s="1408"/>
      <c r="S45" s="1408"/>
      <c r="T45" s="1408"/>
      <c r="U45" s="1408"/>
      <c r="V45" s="1408"/>
      <c r="W45" s="1408"/>
      <c r="X45" s="1408"/>
      <c r="Y45" s="1408"/>
      <c r="Z45" s="1408"/>
      <c r="AA45" s="1408"/>
    </row>
    <row r="46" spans="1:27" x14ac:dyDescent="0.25">
      <c r="A46" s="912" t="s">
        <v>1195</v>
      </c>
      <c r="B46" s="859" t="str">
        <f ca="1">IFERROR(_xlfn.CONCAT(IF('Customer Inputs'!$U$6="Existing",IF('Customer Inputs'!P6=0,SUBSTITUTE(ADDRESS(1,MATCH(O46,INDIRECT("'"&amp;E46&amp;"'"&amp;"!$A$5:$Z$5"),0),4),1,""),SUBSTITUTE(ADDRESS(1,MATCH(A46,INDIRECT("'"&amp;E46&amp;"'"&amp;"!A$5:Z$5"),0),4),1,"")),SUBSTITUTE(ADDRESS(1,MATCH(A46,INDIRECT("'"&amp;E46&amp;"'"&amp;"!A$5:Z$5"),0),4),1,"")),6),"")</f>
        <v>P6</v>
      </c>
      <c r="C46" s="859" t="str">
        <f ca="1">IFERROR(IF('Customer Inputs'!$U$6="Existing",IF('Customer Inputs'!P6=0,SUBSTITUTE(ADDRESS(1,MATCH(O46,INDIRECT("'"&amp;E46&amp;"'"&amp;"!$A$5:$Z$5"),0),4),1,""),SUBSTITUTE(ADDRESS(1,MATCH(A46,INDIRECT("'"&amp;E46&amp;"'"&amp;"!A$5:Z$5"),0),4),1,"")),SUBSTITUTE(ADDRESS(1,MATCH(A46,INDIRECT("'"&amp;E46&amp;"'"&amp;"!A$5:Z$5"),0),4),1,"")),"")</f>
        <v>P</v>
      </c>
      <c r="D46" s="859" t="s">
        <v>1374</v>
      </c>
      <c r="E46" s="859" t="s">
        <v>874</v>
      </c>
      <c r="F46" s="859"/>
      <c r="G46" s="859"/>
      <c r="H46" s="859"/>
      <c r="I46" s="857" t="str">
        <f t="shared" si="0"/>
        <v/>
      </c>
      <c r="J46" s="1409"/>
      <c r="K46" s="1409" t="str">
        <f t="shared" si="2"/>
        <v/>
      </c>
      <c r="L46" s="859" t="s">
        <v>1195</v>
      </c>
      <c r="M46" s="1409">
        <v>39</v>
      </c>
      <c r="N46" s="859"/>
      <c r="O46" s="1408" t="s">
        <v>872</v>
      </c>
      <c r="P46" s="1408"/>
      <c r="Q46" s="1408"/>
      <c r="R46" s="1408"/>
      <c r="S46" s="1408"/>
      <c r="T46" s="1408"/>
      <c r="U46" s="1408"/>
      <c r="V46" s="1408"/>
      <c r="W46" s="1408"/>
      <c r="X46" s="1408"/>
      <c r="Y46" s="1408"/>
      <c r="Z46" s="1408"/>
      <c r="AA46" s="1408"/>
    </row>
    <row r="47" spans="1:27" x14ac:dyDescent="0.25">
      <c r="A47" s="914" t="s">
        <v>1196</v>
      </c>
      <c r="B47" s="859" t="str">
        <f ca="1">IFERROR(_xlfn.CONCAT(IF('Customer Inputs'!$U$6="Existing",IF('Customer Inputs'!Q6=0,SUBSTITUTE(ADDRESS(1,MATCH(O47,INDIRECT("'"&amp;E47&amp;"'"&amp;"!$A$5:$Z$5"),0),4),1,""),SUBSTITUTE(ADDRESS(1,MATCH(A47,INDIRECT("'"&amp;E47&amp;"'"&amp;"!A$5:Z$5"),0),4),1,"")),SUBSTITUTE(ADDRESS(1,MATCH(A47,INDIRECT("'"&amp;E47&amp;"'"&amp;"!A$5:Z$5"),0),4),1,"")),6),"")</f>
        <v>Q6</v>
      </c>
      <c r="C47" s="859" t="str">
        <f ca="1">IFERROR(IF('Customer Inputs'!$U$6="Existing",IF('Customer Inputs'!Q6=0,SUBSTITUTE(ADDRESS(1,MATCH(O47,INDIRECT("'"&amp;E47&amp;"'"&amp;"!$A$5:$Z$5"),0),4),1,""),SUBSTITUTE(ADDRESS(1,MATCH(A47,INDIRECT("'"&amp;E47&amp;"'"&amp;"!A$5:Z$5"),0),4),1,"")),SUBSTITUTE(ADDRESS(1,MATCH(A47,INDIRECT("'"&amp;E47&amp;"'"&amp;"!A$5:Z$5"),0),4),1,"")),"")</f>
        <v>Q</v>
      </c>
      <c r="D47" s="859" t="s">
        <v>1374</v>
      </c>
      <c r="E47" s="859" t="s">
        <v>874</v>
      </c>
      <c r="F47" s="859"/>
      <c r="G47" s="859"/>
      <c r="H47" s="859"/>
      <c r="I47" s="857" t="str">
        <f t="shared" si="0"/>
        <v/>
      </c>
      <c r="J47" s="1409"/>
      <c r="K47" s="1409" t="str">
        <f t="shared" si="2"/>
        <v/>
      </c>
      <c r="L47" s="896" t="s">
        <v>1196</v>
      </c>
      <c r="M47" s="1409">
        <v>40</v>
      </c>
      <c r="N47" s="859"/>
      <c r="O47" s="1408" t="s">
        <v>1193</v>
      </c>
      <c r="P47" s="1408"/>
      <c r="Q47" s="1408"/>
      <c r="R47" s="1408"/>
      <c r="S47" s="1408"/>
      <c r="T47" s="1408"/>
      <c r="U47" s="1408"/>
      <c r="V47" s="1408"/>
      <c r="W47" s="1408"/>
      <c r="X47" s="1408"/>
      <c r="Y47" s="1408"/>
      <c r="Z47" s="1408"/>
      <c r="AA47" s="1408"/>
    </row>
    <row r="48" spans="1:27" x14ac:dyDescent="0.25">
      <c r="A48" s="914" t="s">
        <v>1197</v>
      </c>
      <c r="B48" s="859" t="str">
        <f ca="1">IFERROR(_xlfn.CONCAT(IF('Customer Inputs'!$U$6="Existing",IF('Customer Inputs'!R6=0,SUBSTITUTE(ADDRESS(1,MATCH(O48,INDIRECT("'"&amp;E48&amp;"'"&amp;"!$A$5:$Z$5"),0),4),1,""),SUBSTITUTE(ADDRESS(1,MATCH(A48,INDIRECT("'"&amp;E48&amp;"'"&amp;"!A$5:Z$5"),0),4),1,"")),SUBSTITUTE(ADDRESS(1,MATCH(A48,INDIRECT("'"&amp;E48&amp;"'"&amp;"!A$5:Z$5"),0),4),1,"")),6),"")</f>
        <v>R6</v>
      </c>
      <c r="C48" s="859" t="str">
        <f ca="1">IFERROR(IF('Customer Inputs'!$U$6="Existing",IF('Customer Inputs'!R6=0,SUBSTITUTE(ADDRESS(1,MATCH(O48,INDIRECT("'"&amp;E48&amp;"'"&amp;"!$A$5:$Z$5"),0),4),1,""),SUBSTITUTE(ADDRESS(1,MATCH(A48,INDIRECT("'"&amp;E48&amp;"'"&amp;"!A$5:Z$5"),0),4),1,"")),SUBSTITUTE(ADDRESS(1,MATCH(A48,INDIRECT("'"&amp;E48&amp;"'"&amp;"!A$5:Z$5"),0),4),1,"")),"")</f>
        <v>R</v>
      </c>
      <c r="D48" s="859" t="s">
        <v>1374</v>
      </c>
      <c r="E48" s="859" t="s">
        <v>874</v>
      </c>
      <c r="F48" s="859"/>
      <c r="G48" s="859"/>
      <c r="H48" s="859"/>
      <c r="I48" s="857" t="str">
        <f t="shared" si="0"/>
        <v/>
      </c>
      <c r="J48" s="1409"/>
      <c r="K48" s="1409" t="str">
        <f t="shared" si="2"/>
        <v/>
      </c>
      <c r="L48" s="896" t="s">
        <v>1197</v>
      </c>
      <c r="M48" s="1409">
        <v>41</v>
      </c>
      <c r="N48" s="859"/>
      <c r="O48" s="1408" t="s">
        <v>1200</v>
      </c>
      <c r="P48" s="1408"/>
      <c r="Q48" s="1408"/>
      <c r="R48" s="1408"/>
      <c r="S48" s="1408"/>
      <c r="T48" s="1408"/>
      <c r="U48" s="1408"/>
      <c r="V48" s="1408"/>
      <c r="W48" s="1408"/>
      <c r="X48" s="1408"/>
      <c r="Y48" s="1408"/>
      <c r="Z48" s="1408"/>
      <c r="AA48" s="1408"/>
    </row>
    <row r="49" spans="1:27" x14ac:dyDescent="0.25">
      <c r="A49" s="914" t="s">
        <v>1198</v>
      </c>
      <c r="B49" s="859" t="str">
        <f ca="1">IFERROR(_xlfn.CONCAT(IF('Customer Inputs'!$U$6="Existing",IF('Customer Inputs'!T6=0,SUBSTITUTE(ADDRESS(1,MATCH(O49,INDIRECT("'"&amp;E49&amp;"'"&amp;"!$A$5:$Z$5"),0),4),1,""),SUBSTITUTE(ADDRESS(1,MATCH(A49,INDIRECT("'"&amp;E49&amp;"'"&amp;"!A$5:Z$5"),0),4),1,"")),SUBSTITUTE(ADDRESS(1,MATCH(A49,INDIRECT("'"&amp;E49&amp;"'"&amp;"!A$5:Z$5"),0),4),1,"")),6),"")</f>
        <v>T6</v>
      </c>
      <c r="C49" s="859" t="str">
        <f ca="1">IFERROR(IF('Customer Inputs'!$U$6="Existing",IF('Customer Inputs'!T6=0,SUBSTITUTE(ADDRESS(1,MATCH(O49,INDIRECT("'"&amp;E49&amp;"'"&amp;"!$A$5:$Z$5"),0),4),1,""),SUBSTITUTE(ADDRESS(1,MATCH(A49,INDIRECT("'"&amp;E49&amp;"'"&amp;"!A$5:Z$5"),0),4),1,"")),SUBSTITUTE(ADDRESS(1,MATCH(A49,INDIRECT("'"&amp;E49&amp;"'"&amp;"!A$5:Z$5"),0),4),1,"")),"")</f>
        <v>T</v>
      </c>
      <c r="D49" s="859" t="s">
        <v>1374</v>
      </c>
      <c r="E49" s="859" t="s">
        <v>874</v>
      </c>
      <c r="F49" s="859"/>
      <c r="G49" s="859"/>
      <c r="H49" s="859"/>
      <c r="I49" s="857" t="str">
        <f t="shared" si="0"/>
        <v/>
      </c>
      <c r="J49" s="1409"/>
      <c r="K49" s="1409" t="str">
        <f t="shared" si="2"/>
        <v/>
      </c>
      <c r="L49" s="896" t="s">
        <v>1198</v>
      </c>
      <c r="M49" s="1409">
        <v>42</v>
      </c>
      <c r="N49" s="859"/>
      <c r="O49" s="1408" t="s">
        <v>1194</v>
      </c>
      <c r="P49" s="1408"/>
      <c r="Q49" s="1408"/>
      <c r="R49" s="1408"/>
      <c r="S49" s="1408"/>
      <c r="T49" s="1408"/>
      <c r="U49" s="1408"/>
      <c r="V49" s="1408"/>
      <c r="W49" s="1408"/>
      <c r="X49" s="1408"/>
      <c r="Y49" s="1408"/>
      <c r="Z49" s="1408"/>
      <c r="AA49" s="1408"/>
    </row>
    <row r="50" spans="1:27" x14ac:dyDescent="0.25">
      <c r="A50" s="914" t="s">
        <v>1199</v>
      </c>
      <c r="B50" s="859" t="str">
        <f t="shared" ref="B50:B51" ca="1" si="7">_xlfn.IFNA(_xlfn.CONCAT(SUBSTITUTE(ADDRESS(1,MATCH(A50,INDIRECT("'"&amp;E50&amp;"'"&amp;"!A5:Z5"),0),4),1,""),6),"")</f>
        <v>U6</v>
      </c>
      <c r="C50" s="859" t="str">
        <f t="shared" ref="C50:C51" ca="1" si="8">_xlfn.IFNA(SUBSTITUTE(ADDRESS(1,MATCH(A50,INDIRECT("'"&amp;E50&amp;"'"&amp;"!A5:Z5"),0),4),1,""),"")</f>
        <v>U</v>
      </c>
      <c r="D50" s="859" t="s">
        <v>1374</v>
      </c>
      <c r="E50" s="859" t="s">
        <v>874</v>
      </c>
      <c r="F50" s="859"/>
      <c r="G50" s="859"/>
      <c r="H50" s="859"/>
      <c r="I50" s="857" t="str">
        <f t="shared" si="0"/>
        <v/>
      </c>
      <c r="J50" s="1409"/>
      <c r="K50" s="1409" t="str">
        <f t="shared" si="2"/>
        <v/>
      </c>
      <c r="L50" s="896" t="s">
        <v>1199</v>
      </c>
      <c r="M50" s="1409">
        <v>43</v>
      </c>
      <c r="N50" s="859"/>
      <c r="O50" s="1408"/>
      <c r="P50" s="1408"/>
      <c r="Q50" s="1408"/>
      <c r="R50" s="1408"/>
      <c r="S50" s="1408"/>
      <c r="T50" s="1408"/>
      <c r="U50" s="1408"/>
      <c r="V50" s="1408"/>
      <c r="W50" s="1408"/>
      <c r="X50" s="1408"/>
      <c r="Y50" s="1408"/>
      <c r="Z50" s="1408"/>
      <c r="AA50" s="1408"/>
    </row>
    <row r="51" spans="1:27" x14ac:dyDescent="0.25">
      <c r="A51" s="914" t="s">
        <v>1356</v>
      </c>
      <c r="B51" s="859" t="str">
        <f t="shared" ca="1" si="7"/>
        <v>V6</v>
      </c>
      <c r="C51" s="859" t="str">
        <f t="shared" ca="1" si="8"/>
        <v>V</v>
      </c>
      <c r="D51" s="859" t="s">
        <v>1374</v>
      </c>
      <c r="E51" s="859" t="s">
        <v>874</v>
      </c>
      <c r="F51" s="859"/>
      <c r="G51" s="859"/>
      <c r="H51" s="859"/>
      <c r="I51" s="857" t="str">
        <f t="shared" si="0"/>
        <v/>
      </c>
      <c r="J51" s="1409"/>
      <c r="K51" s="1409" t="str">
        <f t="shared" si="2"/>
        <v/>
      </c>
      <c r="L51" s="896" t="s">
        <v>1446</v>
      </c>
      <c r="M51" s="1409">
        <v>44</v>
      </c>
      <c r="N51" s="859"/>
      <c r="O51" s="1408"/>
      <c r="P51" s="1408"/>
      <c r="Q51" s="1408"/>
      <c r="R51" s="1408"/>
      <c r="S51" s="1408"/>
      <c r="T51" s="1408"/>
      <c r="U51" s="1408"/>
      <c r="V51" s="1408"/>
      <c r="W51" s="1408"/>
      <c r="X51" s="1408"/>
      <c r="Y51" s="1408"/>
      <c r="Z51" s="1408"/>
      <c r="AA51" s="1408"/>
    </row>
    <row r="52" spans="1:27" x14ac:dyDescent="0.25">
      <c r="A52" s="914" t="s">
        <v>1650</v>
      </c>
      <c r="B52" s="859" t="str">
        <f ca="1">_xlfn.IFNA(_xlfn.CONCAT(SUBSTITUTE(ADDRESS(1,MATCH(A52,INDIRECT("'"&amp;E52&amp;"'"&amp;"!A5:Z5"),0),4),1,""),6),"")</f>
        <v/>
      </c>
      <c r="C52" s="859" t="str">
        <f ca="1">_xlfn.IFNA(SUBSTITUTE(ADDRESS(1,MATCH(A52,INDIRECT("'"&amp;E52&amp;"'"&amp;"!A5:Z5"),0),4),1,""),"")</f>
        <v/>
      </c>
      <c r="D52" s="859" t="s">
        <v>1374</v>
      </c>
      <c r="E52" s="859" t="s">
        <v>874</v>
      </c>
      <c r="F52" s="859"/>
      <c r="G52" s="859"/>
      <c r="H52" s="859"/>
      <c r="I52" s="857" t="str">
        <f t="shared" si="0"/>
        <v/>
      </c>
      <c r="J52" s="1409" t="str">
        <f t="shared" si="3"/>
        <v/>
      </c>
      <c r="K52" s="1409" t="str">
        <f t="shared" si="2"/>
        <v/>
      </c>
      <c r="L52" s="896" t="s">
        <v>1650</v>
      </c>
      <c r="M52" s="1409"/>
      <c r="N52" s="859"/>
      <c r="O52" s="1408"/>
      <c r="P52" s="1408"/>
      <c r="Q52" s="1408"/>
      <c r="R52" s="1408"/>
      <c r="S52" s="1408"/>
      <c r="T52" s="1408"/>
      <c r="U52" s="1408"/>
      <c r="V52" s="1408"/>
      <c r="W52" s="1408"/>
      <c r="X52" s="1408"/>
      <c r="Y52" s="1408"/>
      <c r="Z52" s="1408"/>
      <c r="AA52" s="1408"/>
    </row>
    <row r="53" spans="1:27" x14ac:dyDescent="0.25">
      <c r="A53" s="915" t="s">
        <v>1192</v>
      </c>
      <c r="B53" s="859" t="str">
        <f ca="1">_xlfn.IFNA(_xlfn.CONCAT(SUBSTITUTE(ADDRESS(1,MATCH(A53,INDIRECT("'"&amp;E53&amp;"'"&amp;"!A5:Z5"),0),4),1,""),7),"")</f>
        <v>H7</v>
      </c>
      <c r="C53" s="859" t="str">
        <f t="shared" ref="C53:C115" ca="1" si="9">_xlfn.IFNA(SUBSTITUTE(ADDRESS(1,MATCH(A53,INDIRECT("'"&amp;E53&amp;"'"&amp;"!A5:Z5"),0),4),1,""),"")</f>
        <v>H</v>
      </c>
      <c r="D53" s="859" t="s">
        <v>1374</v>
      </c>
      <c r="E53" s="859" t="s">
        <v>874</v>
      </c>
      <c r="F53" s="859"/>
      <c r="G53" s="859"/>
      <c r="H53" s="859"/>
      <c r="I53" s="857" t="str">
        <f t="shared" si="0"/>
        <v>Pyramid Segment</v>
      </c>
      <c r="J53" s="1409" t="str">
        <f>IF(AND(P1222="",M53&lt;&gt;""),Q$1&amp;M53,"")</f>
        <v>F56</v>
      </c>
      <c r="K53" s="1409" t="str">
        <f t="shared" si="2"/>
        <v>Customer Inputs</v>
      </c>
      <c r="L53" s="859" t="s">
        <v>1192</v>
      </c>
      <c r="M53" s="1409">
        <v>56</v>
      </c>
      <c r="N53" s="859"/>
      <c r="O53" s="1408"/>
      <c r="P53" s="1408"/>
      <c r="Q53" s="1408"/>
      <c r="R53" s="1408"/>
      <c r="S53" s="1408"/>
      <c r="T53" s="1408"/>
      <c r="U53" s="1408"/>
      <c r="V53" s="1408"/>
      <c r="W53" s="1408"/>
      <c r="X53" s="1408"/>
      <c r="Y53" s="1408"/>
      <c r="Z53" s="1408"/>
      <c r="AA53" s="1408"/>
    </row>
    <row r="54" spans="1:27" ht="30" x14ac:dyDescent="0.25">
      <c r="A54" s="916" t="s">
        <v>1274</v>
      </c>
      <c r="B54" s="859" t="str">
        <f t="shared" ref="B54:B62" ca="1" si="10">_xlfn.IFNA(_xlfn.CONCAT(SUBSTITUTE(ADDRESS(1,MATCH(A54,INDIRECT("'"&amp;E54&amp;"'"&amp;"!A5:Z5"),0),4),1,""),7),"")</f>
        <v>I7</v>
      </c>
      <c r="C54" s="859" t="str">
        <f t="shared" ca="1" si="9"/>
        <v>I</v>
      </c>
      <c r="D54" s="859" t="s">
        <v>1374</v>
      </c>
      <c r="E54" s="859" t="s">
        <v>874</v>
      </c>
      <c r="F54" s="859"/>
      <c r="G54" s="859"/>
      <c r="H54" s="859"/>
      <c r="I54" s="857" t="str">
        <f t="shared" si="0"/>
        <v>Agreement Annual Purchase Commitment</v>
      </c>
      <c r="J54" s="1409" t="str">
        <f>Q$1&amp;IF(Q54&lt;&gt;"",M54,M56)</f>
        <v>F60</v>
      </c>
      <c r="K54" s="1409" t="str">
        <f t="shared" si="2"/>
        <v>Customer Inputs</v>
      </c>
      <c r="L54" s="52" t="s">
        <v>1274</v>
      </c>
      <c r="M54" s="1409">
        <v>58</v>
      </c>
      <c r="N54" s="859"/>
      <c r="O54" s="1408"/>
      <c r="P54" s="1408"/>
      <c r="Q54" s="1408"/>
      <c r="R54" s="1408"/>
      <c r="S54" s="1408"/>
      <c r="T54" s="1408"/>
      <c r="U54" s="1408"/>
      <c r="V54" s="1408"/>
      <c r="W54" s="1408"/>
      <c r="X54" s="1408"/>
      <c r="Y54" s="1408"/>
      <c r="Z54" s="1408"/>
      <c r="AA54" s="1408"/>
    </row>
    <row r="55" spans="1:27" ht="30" x14ac:dyDescent="0.25">
      <c r="A55" s="915" t="s">
        <v>1275</v>
      </c>
      <c r="B55" s="859" t="str">
        <f t="shared" ca="1" si="10"/>
        <v>J7</v>
      </c>
      <c r="C55" s="859" t="str">
        <f t="shared" ca="1" si="9"/>
        <v>J</v>
      </c>
      <c r="D55" s="859" t="s">
        <v>1374</v>
      </c>
      <c r="E55" s="859" t="s">
        <v>874</v>
      </c>
      <c r="F55" s="859"/>
      <c r="G55" s="859"/>
      <c r="H55" s="859"/>
      <c r="I55" s="857" t="str">
        <f t="shared" si="0"/>
        <v>Agreement Deliveries Per Customer Unit Per Week</v>
      </c>
      <c r="J55" s="1409" t="str">
        <f>Q$1&amp;IF(Q55&lt;&gt;"",M55,M57)</f>
        <v>F61</v>
      </c>
      <c r="K55" s="1409" t="str">
        <f t="shared" si="2"/>
        <v>Customer Inputs</v>
      </c>
      <c r="L55" s="859" t="s">
        <v>1275</v>
      </c>
      <c r="M55" s="1409">
        <v>59</v>
      </c>
      <c r="N55" s="859"/>
      <c r="O55" s="1408"/>
      <c r="P55" s="1408"/>
      <c r="Q55" s="1408"/>
      <c r="R55" s="1408"/>
      <c r="S55" s="1408"/>
      <c r="T55" s="1408"/>
      <c r="U55" s="1408"/>
      <c r="V55" s="1408"/>
      <c r="W55" s="1408"/>
      <c r="X55" s="1408"/>
      <c r="Y55" s="1408"/>
      <c r="Z55" s="1408"/>
      <c r="AA55" s="1408"/>
    </row>
    <row r="56" spans="1:27" x14ac:dyDescent="0.25">
      <c r="A56" s="915" t="s">
        <v>1195</v>
      </c>
      <c r="B56" s="859" t="str">
        <f ca="1">IFERROR(_xlfn.CONCAT(IF('Customer Inputs'!$U$7="Existing",IF('Customer Inputs'!P7=0,SUBSTITUTE(ADDRESS(1,MATCH(O56,INDIRECT("'"&amp;E56&amp;"'"&amp;"!$A$5:$Z$5"),0),4),1,""),SUBSTITUTE(ADDRESS(1,MATCH(A56,INDIRECT("'"&amp;E56&amp;"'"&amp;"!A$5:Z$5"),0),4),1,"")),SUBSTITUTE(ADDRESS(1,MATCH(A56,INDIRECT("'"&amp;E56&amp;"'"&amp;"!A$5:Z$5"),0),4),1,"")),7),"")</f>
        <v>P7</v>
      </c>
      <c r="C56" s="859" t="str">
        <f ca="1">IFERROR(IF('Customer Inputs'!$U$7="Existing",IF('Customer Inputs'!P7=0,SUBSTITUTE(ADDRESS(1,MATCH(O56,INDIRECT("'"&amp;E56&amp;"'"&amp;"!$A$5:$Z$5"),0),4),1,""),SUBSTITUTE(ADDRESS(1,MATCH(A56,INDIRECT("'"&amp;E56&amp;"'"&amp;"!A$5:Z$5"),0),4),1,"")),SUBSTITUTE(ADDRESS(1,MATCH(A56,INDIRECT("'"&amp;E56&amp;"'"&amp;"!A$5:Z$5"),0),4),1,"")),"")</f>
        <v>P</v>
      </c>
      <c r="D56" s="859" t="s">
        <v>1374</v>
      </c>
      <c r="E56" s="859" t="s">
        <v>874</v>
      </c>
      <c r="F56" s="859"/>
      <c r="G56" s="859"/>
      <c r="H56" s="859"/>
      <c r="I56" s="857" t="str">
        <f t="shared" si="0"/>
        <v/>
      </c>
      <c r="J56" s="1409"/>
      <c r="K56" s="1409" t="str">
        <f t="shared" si="2"/>
        <v/>
      </c>
      <c r="L56" s="859" t="s">
        <v>1195</v>
      </c>
      <c r="M56" s="1409">
        <v>60</v>
      </c>
      <c r="N56" s="859"/>
      <c r="O56" s="1408" t="s">
        <v>872</v>
      </c>
      <c r="P56" s="1408"/>
      <c r="Q56" s="1408"/>
      <c r="R56" s="1408"/>
      <c r="S56" s="1408"/>
      <c r="T56" s="1408"/>
      <c r="U56" s="1408"/>
      <c r="V56" s="1408"/>
      <c r="W56" s="1408"/>
      <c r="X56" s="1408"/>
      <c r="Y56" s="1408"/>
      <c r="Z56" s="1408"/>
      <c r="AA56" s="1408"/>
    </row>
    <row r="57" spans="1:27" x14ac:dyDescent="0.25">
      <c r="A57" s="917" t="s">
        <v>1196</v>
      </c>
      <c r="B57" s="859" t="str">
        <f ca="1">IFERROR(_xlfn.CONCAT(IF('Customer Inputs'!$U$7="Existing",IF('Customer Inputs'!Q7=0,SUBSTITUTE(ADDRESS(1,MATCH(O57,INDIRECT("'"&amp;E57&amp;"'"&amp;"!$A$5:$Z$5"),0),4),1,""),SUBSTITUTE(ADDRESS(1,MATCH(A57,INDIRECT("'"&amp;E57&amp;"'"&amp;"!A$5:Z$5"),0),4),1,"")),SUBSTITUTE(ADDRESS(1,MATCH(A57,INDIRECT("'"&amp;E57&amp;"'"&amp;"!A$5:Z$5"),0),4),1,"")),7),"")</f>
        <v>Q7</v>
      </c>
      <c r="C57" s="859" t="str">
        <f ca="1">IFERROR(IF('Customer Inputs'!$U$7="Existing",IF('Customer Inputs'!Q7=0,SUBSTITUTE(ADDRESS(1,MATCH(O57,INDIRECT("'"&amp;E57&amp;"'"&amp;"!$A$5:$Z$5"),0),4),1,""),SUBSTITUTE(ADDRESS(1,MATCH(A57,INDIRECT("'"&amp;E57&amp;"'"&amp;"!A$5:Z$5"),0),4),1,"")),SUBSTITUTE(ADDRESS(1,MATCH(A57,INDIRECT("'"&amp;E57&amp;"'"&amp;"!A$5:Z$5"),0),4),1,"")),"")</f>
        <v>Q</v>
      </c>
      <c r="D57" s="859" t="s">
        <v>1374</v>
      </c>
      <c r="E57" s="859" t="s">
        <v>874</v>
      </c>
      <c r="F57" s="859"/>
      <c r="G57" s="859"/>
      <c r="H57" s="859"/>
      <c r="I57" s="857" t="str">
        <f t="shared" si="0"/>
        <v/>
      </c>
      <c r="J57" s="1409"/>
      <c r="K57" s="1409" t="str">
        <f t="shared" si="2"/>
        <v/>
      </c>
      <c r="L57" s="896" t="s">
        <v>1196</v>
      </c>
      <c r="M57" s="1409">
        <v>61</v>
      </c>
      <c r="N57" s="859"/>
      <c r="O57" s="1408" t="s">
        <v>1193</v>
      </c>
      <c r="P57" s="1408"/>
      <c r="Q57" s="1408"/>
      <c r="R57" s="1408"/>
      <c r="S57" s="1408"/>
      <c r="T57" s="1408"/>
      <c r="U57" s="1408"/>
      <c r="V57" s="1408"/>
      <c r="W57" s="1408"/>
      <c r="X57" s="1408"/>
      <c r="Y57" s="1408"/>
      <c r="Z57" s="1408"/>
      <c r="AA57" s="1408"/>
    </row>
    <row r="58" spans="1:27" x14ac:dyDescent="0.25">
      <c r="A58" s="917" t="s">
        <v>1197</v>
      </c>
      <c r="B58" s="859" t="str">
        <f ca="1">IFERROR(_xlfn.CONCAT(IF('Customer Inputs'!$U$7="Existing",IF('Customer Inputs'!R7=0,SUBSTITUTE(ADDRESS(1,MATCH(O58,INDIRECT("'"&amp;E58&amp;"'"&amp;"!$A$5:$Z$5"),0),4),1,""),SUBSTITUTE(ADDRESS(1,MATCH(A58,INDIRECT("'"&amp;E58&amp;"'"&amp;"!A$5:Z$5"),0),4),1,"")),SUBSTITUTE(ADDRESS(1,MATCH(A58,INDIRECT("'"&amp;E58&amp;"'"&amp;"!A$5:Z$5"),0),4),1,"")),7),"")</f>
        <v>R7</v>
      </c>
      <c r="C58" s="859" t="str">
        <f ca="1">IFERROR(IF('Customer Inputs'!$U$7="Existing",IF('Customer Inputs'!R7=0,SUBSTITUTE(ADDRESS(1,MATCH(O58,INDIRECT("'"&amp;E58&amp;"'"&amp;"!$A$5:$Z$5"),0),4),1,""),SUBSTITUTE(ADDRESS(1,MATCH(A58,INDIRECT("'"&amp;E58&amp;"'"&amp;"!A$5:Z$5"),0),4),1,"")),SUBSTITUTE(ADDRESS(1,MATCH(A58,INDIRECT("'"&amp;E58&amp;"'"&amp;"!A$5:Z$5"),0),4),1,"")),"")</f>
        <v>R</v>
      </c>
      <c r="D58" s="859" t="s">
        <v>1374</v>
      </c>
      <c r="E58" s="859" t="s">
        <v>874</v>
      </c>
      <c r="F58" s="859"/>
      <c r="G58" s="859"/>
      <c r="H58" s="859"/>
      <c r="I58" s="857" t="str">
        <f t="shared" si="0"/>
        <v/>
      </c>
      <c r="J58" s="1409"/>
      <c r="K58" s="1409" t="str">
        <f t="shared" si="2"/>
        <v/>
      </c>
      <c r="L58" s="896" t="s">
        <v>1197</v>
      </c>
      <c r="M58" s="1409">
        <v>62</v>
      </c>
      <c r="N58" s="859"/>
      <c r="O58" s="1408" t="s">
        <v>1200</v>
      </c>
      <c r="P58" s="1408"/>
      <c r="Q58" s="1408"/>
      <c r="R58" s="1408"/>
      <c r="S58" s="1408"/>
      <c r="T58" s="1408"/>
      <c r="U58" s="1408"/>
      <c r="V58" s="1408"/>
      <c r="W58" s="1408"/>
      <c r="X58" s="1408"/>
      <c r="Y58" s="1408"/>
      <c r="Z58" s="1408"/>
      <c r="AA58" s="1408"/>
    </row>
    <row r="59" spans="1:27" x14ac:dyDescent="0.25">
      <c r="A59" s="917" t="s">
        <v>1198</v>
      </c>
      <c r="B59" s="859" t="str">
        <f ca="1">IFERROR(_xlfn.CONCAT(IF('Customer Inputs'!$U$7="Existing",IF('Customer Inputs'!T7=0,SUBSTITUTE(ADDRESS(1,MATCH(O59,INDIRECT("'"&amp;E59&amp;"'"&amp;"!$A$5:$Z$5"),0),4),1,""),SUBSTITUTE(ADDRESS(1,MATCH(A59,INDIRECT("'"&amp;E59&amp;"'"&amp;"!A$5:Z$5"),0),4),1,"")),SUBSTITUTE(ADDRESS(1,MATCH(A59,INDIRECT("'"&amp;E59&amp;"'"&amp;"!A$5:Z$5"),0),4),1,"")),7),"")</f>
        <v>T7</v>
      </c>
      <c r="C59" s="859" t="str">
        <f ca="1">IFERROR(IF('Customer Inputs'!$U$7="Existing",IF('Customer Inputs'!T7=0,SUBSTITUTE(ADDRESS(1,MATCH(O59,INDIRECT("'"&amp;E59&amp;"'"&amp;"!$A$5:$Z$5"),0),4),1,""),SUBSTITUTE(ADDRESS(1,MATCH(A59,INDIRECT("'"&amp;E59&amp;"'"&amp;"!A$5:Z$5"),0),4),1,"")),SUBSTITUTE(ADDRESS(1,MATCH(A59,INDIRECT("'"&amp;E59&amp;"'"&amp;"!A$5:Z$5"),0),4),1,"")),"")</f>
        <v>T</v>
      </c>
      <c r="D59" s="859" t="s">
        <v>1374</v>
      </c>
      <c r="E59" s="859" t="s">
        <v>874</v>
      </c>
      <c r="F59" s="859"/>
      <c r="G59" s="859"/>
      <c r="H59" s="859"/>
      <c r="I59" s="857" t="str">
        <f t="shared" si="0"/>
        <v/>
      </c>
      <c r="J59" s="1409"/>
      <c r="K59" s="1409" t="str">
        <f t="shared" si="2"/>
        <v/>
      </c>
      <c r="L59" s="896" t="s">
        <v>1198</v>
      </c>
      <c r="M59" s="1409">
        <v>63</v>
      </c>
      <c r="N59" s="859"/>
      <c r="O59" s="1408" t="s">
        <v>1194</v>
      </c>
      <c r="P59" s="1408"/>
      <c r="Q59" s="1408"/>
      <c r="R59" s="1408"/>
      <c r="S59" s="1408"/>
      <c r="T59" s="1408"/>
      <c r="U59" s="1408"/>
      <c r="V59" s="1408"/>
      <c r="W59" s="1408"/>
      <c r="X59" s="1408"/>
      <c r="Y59" s="1408"/>
      <c r="Z59" s="1408"/>
      <c r="AA59" s="1408"/>
    </row>
    <row r="60" spans="1:27" x14ac:dyDescent="0.25">
      <c r="A60" s="917" t="s">
        <v>1199</v>
      </c>
      <c r="B60" s="859" t="str">
        <f t="shared" ca="1" si="10"/>
        <v>U7</v>
      </c>
      <c r="C60" s="859" t="str">
        <f t="shared" ca="1" si="9"/>
        <v>U</v>
      </c>
      <c r="D60" s="859" t="s">
        <v>1374</v>
      </c>
      <c r="E60" s="859" t="s">
        <v>874</v>
      </c>
      <c r="F60" s="859"/>
      <c r="G60" s="859"/>
      <c r="H60" s="859"/>
      <c r="I60" s="857" t="str">
        <f t="shared" si="0"/>
        <v/>
      </c>
      <c r="J60" s="1409"/>
      <c r="K60" s="1409" t="str">
        <f t="shared" si="2"/>
        <v/>
      </c>
      <c r="L60" s="896" t="s">
        <v>1199</v>
      </c>
      <c r="M60" s="1409">
        <v>64</v>
      </c>
      <c r="N60" s="859"/>
      <c r="O60" s="1408"/>
      <c r="P60" s="1408"/>
      <c r="Q60" s="1408"/>
      <c r="R60" s="1408"/>
      <c r="S60" s="1408"/>
      <c r="T60" s="1408"/>
      <c r="U60" s="1408"/>
      <c r="V60" s="1408"/>
      <c r="W60" s="1408"/>
      <c r="X60" s="1408"/>
      <c r="Y60" s="1408"/>
      <c r="Z60" s="1408"/>
      <c r="AA60" s="1408"/>
    </row>
    <row r="61" spans="1:27" x14ac:dyDescent="0.25">
      <c r="A61" s="917" t="s">
        <v>1356</v>
      </c>
      <c r="B61" s="859" t="str">
        <f t="shared" ca="1" si="10"/>
        <v>V7</v>
      </c>
      <c r="C61" s="859" t="str">
        <f t="shared" ca="1" si="9"/>
        <v>V</v>
      </c>
      <c r="D61" s="859" t="s">
        <v>1374</v>
      </c>
      <c r="E61" s="859" t="s">
        <v>874</v>
      </c>
      <c r="F61" s="859"/>
      <c r="G61" s="859"/>
      <c r="H61" s="859"/>
      <c r="I61" s="857" t="str">
        <f t="shared" si="0"/>
        <v/>
      </c>
      <c r="J61" s="1409"/>
      <c r="K61" s="1409" t="str">
        <f t="shared" si="2"/>
        <v/>
      </c>
      <c r="L61" s="896" t="s">
        <v>1446</v>
      </c>
      <c r="M61" s="1409">
        <v>65</v>
      </c>
      <c r="N61" s="859"/>
      <c r="O61" s="1408"/>
      <c r="P61" s="1408"/>
      <c r="Q61" s="1408"/>
      <c r="R61" s="1408"/>
      <c r="S61" s="1408"/>
      <c r="T61" s="1408"/>
      <c r="U61" s="1408"/>
      <c r="V61" s="1408"/>
      <c r="W61" s="1408"/>
      <c r="X61" s="1408"/>
      <c r="Y61" s="1408"/>
      <c r="Z61" s="1408"/>
      <c r="AA61" s="1408"/>
    </row>
    <row r="62" spans="1:27" x14ac:dyDescent="0.25">
      <c r="A62" s="917" t="s">
        <v>1650</v>
      </c>
      <c r="B62" s="859" t="str">
        <f t="shared" ca="1" si="10"/>
        <v/>
      </c>
      <c r="C62" s="859" t="str">
        <f t="shared" ca="1" si="9"/>
        <v/>
      </c>
      <c r="D62" s="859" t="s">
        <v>1374</v>
      </c>
      <c r="E62" s="859" t="s">
        <v>874</v>
      </c>
      <c r="F62" s="859"/>
      <c r="G62" s="859"/>
      <c r="H62" s="859"/>
      <c r="I62" s="857" t="str">
        <f t="shared" si="0"/>
        <v/>
      </c>
      <c r="J62" s="1409" t="str">
        <f t="shared" si="3"/>
        <v/>
      </c>
      <c r="K62" s="1409" t="str">
        <f t="shared" si="2"/>
        <v/>
      </c>
      <c r="L62" s="896" t="s">
        <v>1650</v>
      </c>
      <c r="M62" s="1409"/>
      <c r="N62" s="859"/>
      <c r="O62" s="1408"/>
      <c r="P62" s="1408"/>
      <c r="Q62" s="1408"/>
      <c r="R62" s="1408"/>
      <c r="S62" s="1408"/>
      <c r="T62" s="1408"/>
      <c r="U62" s="1408"/>
      <c r="V62" s="1408"/>
      <c r="W62" s="1408"/>
      <c r="X62" s="1408"/>
      <c r="Y62" s="1408"/>
      <c r="Z62" s="1408"/>
      <c r="AA62" s="1408"/>
    </row>
    <row r="63" spans="1:27" x14ac:dyDescent="0.25">
      <c r="A63" s="912" t="s">
        <v>1192</v>
      </c>
      <c r="B63" s="859" t="str">
        <f ca="1">_xlfn.IFNA(_xlfn.CONCAT(SUBSTITUTE(ADDRESS(1,MATCH(A63,INDIRECT("'"&amp;E63&amp;"'"&amp;"!A5:Z5"),0),4),1,""),8),"")</f>
        <v>H8</v>
      </c>
      <c r="C63" s="859" t="str">
        <f t="shared" ca="1" si="9"/>
        <v>H</v>
      </c>
      <c r="D63" s="859" t="s">
        <v>1374</v>
      </c>
      <c r="E63" s="859" t="s">
        <v>874</v>
      </c>
      <c r="F63" s="859"/>
      <c r="G63" s="859"/>
      <c r="H63" s="859"/>
      <c r="I63" s="857" t="str">
        <f t="shared" si="0"/>
        <v>Pyramid Segment</v>
      </c>
      <c r="J63" s="1409" t="str">
        <f>IF(AND(P1223="",M63&lt;&gt;""),Q$1&amp;M63,"")</f>
        <v>F77</v>
      </c>
      <c r="K63" s="1409" t="str">
        <f t="shared" si="2"/>
        <v>Customer Inputs</v>
      </c>
      <c r="L63" s="859" t="s">
        <v>1192</v>
      </c>
      <c r="M63" s="1409">
        <v>77</v>
      </c>
      <c r="N63" s="859"/>
      <c r="O63" s="1408"/>
      <c r="P63" s="1408"/>
      <c r="Q63" s="1408"/>
      <c r="R63" s="1408"/>
      <c r="S63" s="1408"/>
      <c r="T63" s="1408"/>
      <c r="U63" s="1408"/>
      <c r="V63" s="1408"/>
      <c r="W63" s="1408"/>
      <c r="X63" s="1408"/>
      <c r="Y63" s="1408"/>
      <c r="Z63" s="1408"/>
      <c r="AA63" s="1408"/>
    </row>
    <row r="64" spans="1:27" ht="30" x14ac:dyDescent="0.25">
      <c r="A64" s="913" t="s">
        <v>1274</v>
      </c>
      <c r="B64" s="859" t="str">
        <f t="shared" ref="B64:B72" ca="1" si="11">_xlfn.IFNA(_xlfn.CONCAT(SUBSTITUTE(ADDRESS(1,MATCH(A64,INDIRECT("'"&amp;E64&amp;"'"&amp;"!A5:Z5"),0),4),1,""),8),"")</f>
        <v>I8</v>
      </c>
      <c r="C64" s="859" t="str">
        <f t="shared" ca="1" si="9"/>
        <v>I</v>
      </c>
      <c r="D64" s="859" t="s">
        <v>1374</v>
      </c>
      <c r="E64" s="859" t="s">
        <v>874</v>
      </c>
      <c r="F64" s="859"/>
      <c r="G64" s="859"/>
      <c r="H64" s="859"/>
      <c r="I64" s="857" t="str">
        <f t="shared" si="0"/>
        <v>Agreement Annual Purchase Commitment</v>
      </c>
      <c r="J64" s="1409" t="str">
        <f>Q$1&amp;IF(Q64&lt;&gt;"",M64,M66)</f>
        <v>F81</v>
      </c>
      <c r="K64" s="1409" t="str">
        <f t="shared" si="2"/>
        <v>Customer Inputs</v>
      </c>
      <c r="L64" s="52" t="s">
        <v>1274</v>
      </c>
      <c r="M64" s="1409">
        <v>79</v>
      </c>
      <c r="N64" s="859"/>
      <c r="O64" s="1408"/>
      <c r="P64" s="1408"/>
      <c r="Q64" s="1408"/>
      <c r="R64" s="1408"/>
      <c r="S64" s="1408"/>
      <c r="T64" s="1408"/>
      <c r="U64" s="1408"/>
      <c r="V64" s="1408"/>
      <c r="W64" s="1408"/>
      <c r="X64" s="1408"/>
      <c r="Y64" s="1408"/>
      <c r="Z64" s="1408"/>
      <c r="AA64" s="1408"/>
    </row>
    <row r="65" spans="1:27" ht="30" x14ac:dyDescent="0.25">
      <c r="A65" s="912" t="s">
        <v>1275</v>
      </c>
      <c r="B65" s="859" t="str">
        <f t="shared" ca="1" si="11"/>
        <v>J8</v>
      </c>
      <c r="C65" s="859" t="str">
        <f t="shared" ca="1" si="9"/>
        <v>J</v>
      </c>
      <c r="D65" s="859" t="s">
        <v>1374</v>
      </c>
      <c r="E65" s="859" t="s">
        <v>874</v>
      </c>
      <c r="F65" s="859"/>
      <c r="G65" s="859"/>
      <c r="H65" s="859"/>
      <c r="I65" s="857" t="str">
        <f t="shared" si="0"/>
        <v>Agreement Deliveries Per Customer Unit Per Week</v>
      </c>
      <c r="J65" s="1409" t="str">
        <f>Q$1&amp;IF(Q65&lt;&gt;"",M65,M67)</f>
        <v>F82</v>
      </c>
      <c r="K65" s="1409" t="str">
        <f t="shared" si="2"/>
        <v>Customer Inputs</v>
      </c>
      <c r="L65" s="859" t="s">
        <v>1275</v>
      </c>
      <c r="M65" s="1409">
        <v>80</v>
      </c>
      <c r="N65" s="859"/>
      <c r="O65" s="1408"/>
      <c r="P65" s="1408"/>
      <c r="Q65" s="1408"/>
      <c r="R65" s="1408"/>
      <c r="S65" s="1408"/>
      <c r="T65" s="1408"/>
      <c r="U65" s="1408"/>
      <c r="V65" s="1408"/>
      <c r="W65" s="1408"/>
      <c r="X65" s="1408"/>
      <c r="Y65" s="1408"/>
      <c r="Z65" s="1408"/>
      <c r="AA65" s="1408"/>
    </row>
    <row r="66" spans="1:27" x14ac:dyDescent="0.25">
      <c r="A66" s="912" t="s">
        <v>1195</v>
      </c>
      <c r="B66" s="859" t="str">
        <f ca="1">IFERROR(_xlfn.CONCAT(IF('Customer Inputs'!$U$8="Existing",IF('Customer Inputs'!P8=0,SUBSTITUTE(ADDRESS(1,MATCH(O66,INDIRECT("'"&amp;E66&amp;"'"&amp;"!$A$5:$Z$5"),0),4),1,""),SUBSTITUTE(ADDRESS(1,MATCH(A66,INDIRECT("'"&amp;E66&amp;"'"&amp;"!A$5:Z$5"),0),4),1,"")),SUBSTITUTE(ADDRESS(1,MATCH(A66,INDIRECT("'"&amp;E66&amp;"'"&amp;"!A$5:Z$5"),0),4),1,"")),8),"")</f>
        <v>P8</v>
      </c>
      <c r="C66" s="859" t="str">
        <f ca="1">IFERROR(IF('Customer Inputs'!$U$8="Existing",IF('Customer Inputs'!P8=0,SUBSTITUTE(ADDRESS(1,MATCH(O66,INDIRECT("'"&amp;E66&amp;"'"&amp;"!$A$5:$Z$5"),0),4),1,""),SUBSTITUTE(ADDRESS(1,MATCH(A66,INDIRECT("'"&amp;E66&amp;"'"&amp;"!A$5:Z$5"),0),4),1,"")),SUBSTITUTE(ADDRESS(1,MATCH(A66,INDIRECT("'"&amp;E66&amp;"'"&amp;"!A$5:Z$5"),0),4),1,"")),"")</f>
        <v>P</v>
      </c>
      <c r="D66" s="859" t="s">
        <v>1374</v>
      </c>
      <c r="E66" s="859" t="s">
        <v>874</v>
      </c>
      <c r="F66" s="859"/>
      <c r="G66" s="859"/>
      <c r="H66" s="859"/>
      <c r="I66" s="857" t="str">
        <f t="shared" si="0"/>
        <v/>
      </c>
      <c r="J66" s="1409"/>
      <c r="K66" s="1409" t="str">
        <f t="shared" si="2"/>
        <v/>
      </c>
      <c r="L66" s="859" t="s">
        <v>1195</v>
      </c>
      <c r="M66" s="1409">
        <v>81</v>
      </c>
      <c r="N66" s="859"/>
      <c r="O66" s="1408" t="s">
        <v>872</v>
      </c>
      <c r="P66" s="1408"/>
      <c r="Q66" s="1408"/>
      <c r="R66" s="1408"/>
      <c r="S66" s="1408"/>
      <c r="T66" s="1408"/>
      <c r="U66" s="1408"/>
      <c r="V66" s="1408"/>
      <c r="W66" s="1408"/>
      <c r="X66" s="1408"/>
      <c r="Y66" s="1408"/>
      <c r="Z66" s="1408"/>
      <c r="AA66" s="1408"/>
    </row>
    <row r="67" spans="1:27" x14ac:dyDescent="0.25">
      <c r="A67" s="914" t="s">
        <v>1196</v>
      </c>
      <c r="B67" s="859" t="str">
        <f ca="1">IFERROR(_xlfn.CONCAT(IF('Customer Inputs'!$U$8="Existing",IF('Customer Inputs'!Q8=0,SUBSTITUTE(ADDRESS(1,MATCH(O67,INDIRECT("'"&amp;E67&amp;"'"&amp;"!$A$5:$Z$5"),0),4),1,""),SUBSTITUTE(ADDRESS(1,MATCH(A67,INDIRECT("'"&amp;E67&amp;"'"&amp;"!A$5:Z$5"),0),4),1,"")),SUBSTITUTE(ADDRESS(1,MATCH(A67,INDIRECT("'"&amp;E67&amp;"'"&amp;"!A$5:Z$5"),0),4),1,"")),8),"")</f>
        <v>Q8</v>
      </c>
      <c r="C67" s="859" t="str">
        <f ca="1">IFERROR(IF('Customer Inputs'!$U$8="Existing",IF('Customer Inputs'!Q8=0,SUBSTITUTE(ADDRESS(1,MATCH(O67,INDIRECT("'"&amp;E67&amp;"'"&amp;"!$A$5:$Z$5"),0),4),1,""),SUBSTITUTE(ADDRESS(1,MATCH(A67,INDIRECT("'"&amp;E67&amp;"'"&amp;"!A$5:Z$5"),0),4),1,"")),SUBSTITUTE(ADDRESS(1,MATCH(A67,INDIRECT("'"&amp;E67&amp;"'"&amp;"!A$5:Z$5"),0),4),1,"")),"")</f>
        <v>Q</v>
      </c>
      <c r="D67" s="859" t="s">
        <v>1374</v>
      </c>
      <c r="E67" s="859" t="s">
        <v>874</v>
      </c>
      <c r="F67" s="859"/>
      <c r="G67" s="859"/>
      <c r="H67" s="859"/>
      <c r="I67" s="857" t="str">
        <f t="shared" si="0"/>
        <v/>
      </c>
      <c r="J67" s="1409"/>
      <c r="K67" s="1409" t="str">
        <f t="shared" si="2"/>
        <v/>
      </c>
      <c r="L67" s="896" t="s">
        <v>1196</v>
      </c>
      <c r="M67" s="1409">
        <v>82</v>
      </c>
      <c r="N67" s="859"/>
      <c r="O67" s="1408" t="s">
        <v>1193</v>
      </c>
      <c r="P67" s="1408"/>
      <c r="Q67" s="1408"/>
      <c r="R67" s="1408"/>
      <c r="S67" s="1408"/>
      <c r="T67" s="1408"/>
      <c r="U67" s="1408"/>
      <c r="V67" s="1408"/>
      <c r="W67" s="1408"/>
      <c r="X67" s="1408"/>
      <c r="Y67" s="1408"/>
      <c r="Z67" s="1408"/>
      <c r="AA67" s="1408"/>
    </row>
    <row r="68" spans="1:27" x14ac:dyDescent="0.25">
      <c r="A68" s="914" t="s">
        <v>1197</v>
      </c>
      <c r="B68" s="859" t="str">
        <f ca="1">IFERROR(_xlfn.CONCAT(IF('Customer Inputs'!$U$8="Existing",IF('Customer Inputs'!R8=0,SUBSTITUTE(ADDRESS(1,MATCH(O68,INDIRECT("'"&amp;E68&amp;"'"&amp;"!$A$5:$Z$5"),0),4),1,""),SUBSTITUTE(ADDRESS(1,MATCH(A68,INDIRECT("'"&amp;E68&amp;"'"&amp;"!A$5:Z$5"),0),4),1,"")),SUBSTITUTE(ADDRESS(1,MATCH(A68,INDIRECT("'"&amp;E68&amp;"'"&amp;"!A$5:Z$5"),0),4),1,"")),8),"")</f>
        <v>R8</v>
      </c>
      <c r="C68" s="859" t="str">
        <f ca="1">IFERROR(IF('Customer Inputs'!$U$8="Existing",IF('Customer Inputs'!R8=0,SUBSTITUTE(ADDRESS(1,MATCH(O68,INDIRECT("'"&amp;E68&amp;"'"&amp;"!$A$5:$Z$5"),0),4),1,""),SUBSTITUTE(ADDRESS(1,MATCH(A68,INDIRECT("'"&amp;E68&amp;"'"&amp;"!A$5:Z$5"),0),4),1,"")),SUBSTITUTE(ADDRESS(1,MATCH(A68,INDIRECT("'"&amp;E68&amp;"'"&amp;"!A$5:Z$5"),0),4),1,"")),"")</f>
        <v>R</v>
      </c>
      <c r="D68" s="859" t="s">
        <v>1374</v>
      </c>
      <c r="E68" s="859" t="s">
        <v>874</v>
      </c>
      <c r="F68" s="859"/>
      <c r="G68" s="859"/>
      <c r="H68" s="859"/>
      <c r="I68" s="857" t="str">
        <f t="shared" ref="I68:I131" si="12">IF(J68&lt;&gt;"",A68,"")</f>
        <v/>
      </c>
      <c r="J68" s="1409"/>
      <c r="K68" s="1409" t="str">
        <f t="shared" ref="K68:K131" si="13">IF(J68&lt;&gt;"",E68,"")</f>
        <v/>
      </c>
      <c r="L68" s="896" t="s">
        <v>1197</v>
      </c>
      <c r="M68" s="1409">
        <v>83</v>
      </c>
      <c r="N68" s="859"/>
      <c r="O68" s="1408" t="s">
        <v>1200</v>
      </c>
      <c r="P68" s="1408"/>
      <c r="Q68" s="1408"/>
      <c r="R68" s="1408"/>
      <c r="S68" s="1408"/>
      <c r="T68" s="1408"/>
      <c r="U68" s="1408"/>
      <c r="V68" s="1408"/>
      <c r="W68" s="1408"/>
      <c r="X68" s="1408"/>
      <c r="Y68" s="1408"/>
      <c r="Z68" s="1408"/>
      <c r="AA68" s="1408"/>
    </row>
    <row r="69" spans="1:27" x14ac:dyDescent="0.25">
      <c r="A69" s="914" t="s">
        <v>1198</v>
      </c>
      <c r="B69" s="859" t="str">
        <f ca="1">IFERROR(_xlfn.CONCAT(IF('Customer Inputs'!$U$8="Existing",IF('Customer Inputs'!T8=0,SUBSTITUTE(ADDRESS(1,MATCH(O69,INDIRECT("'"&amp;E69&amp;"'"&amp;"!$A$5:$Z$5"),0),4),1,""),SUBSTITUTE(ADDRESS(1,MATCH(A69,INDIRECT("'"&amp;E69&amp;"'"&amp;"!A$5:Z$5"),0),4),1,"")),SUBSTITUTE(ADDRESS(1,MATCH(A69,INDIRECT("'"&amp;E69&amp;"'"&amp;"!A$5:Z$5"),0),4),1,"")),8),"")</f>
        <v>T8</v>
      </c>
      <c r="C69" s="859" t="str">
        <f ca="1">IFERROR(IF('Customer Inputs'!$U$8="Existing",IF('Customer Inputs'!T8=0,SUBSTITUTE(ADDRESS(1,MATCH(O69,INDIRECT("'"&amp;E69&amp;"'"&amp;"!$A$5:$Z$5"),0),4),1,""),SUBSTITUTE(ADDRESS(1,MATCH(A69,INDIRECT("'"&amp;E69&amp;"'"&amp;"!A$5:Z$5"),0),4),1,"")),SUBSTITUTE(ADDRESS(1,MATCH(A69,INDIRECT("'"&amp;E69&amp;"'"&amp;"!A$5:Z$5"),0),4),1,"")),"")</f>
        <v>T</v>
      </c>
      <c r="D69" s="859" t="s">
        <v>1374</v>
      </c>
      <c r="E69" s="859" t="s">
        <v>874</v>
      </c>
      <c r="F69" s="859"/>
      <c r="G69" s="859"/>
      <c r="H69" s="859"/>
      <c r="I69" s="857" t="str">
        <f t="shared" si="12"/>
        <v/>
      </c>
      <c r="J69" s="1409"/>
      <c r="K69" s="1409" t="str">
        <f t="shared" si="13"/>
        <v/>
      </c>
      <c r="L69" s="896" t="s">
        <v>1198</v>
      </c>
      <c r="M69" s="1409">
        <v>84</v>
      </c>
      <c r="N69" s="859"/>
      <c r="O69" s="1408" t="s">
        <v>1194</v>
      </c>
      <c r="P69" s="1408"/>
      <c r="Q69" s="1408"/>
      <c r="R69" s="1408"/>
      <c r="S69" s="1408"/>
      <c r="T69" s="1408"/>
      <c r="U69" s="1408"/>
      <c r="V69" s="1408"/>
      <c r="W69" s="1408"/>
      <c r="X69" s="1408"/>
      <c r="Y69" s="1408"/>
      <c r="Z69" s="1408"/>
      <c r="AA69" s="1408"/>
    </row>
    <row r="70" spans="1:27" x14ac:dyDescent="0.25">
      <c r="A70" s="914" t="s">
        <v>1199</v>
      </c>
      <c r="B70" s="859" t="str">
        <f t="shared" ca="1" si="11"/>
        <v>U8</v>
      </c>
      <c r="C70" s="859" t="str">
        <f t="shared" ca="1" si="9"/>
        <v>U</v>
      </c>
      <c r="D70" s="859" t="s">
        <v>1374</v>
      </c>
      <c r="E70" s="859" t="s">
        <v>874</v>
      </c>
      <c r="F70" s="859"/>
      <c r="G70" s="859"/>
      <c r="H70" s="859"/>
      <c r="I70" s="857" t="str">
        <f t="shared" si="12"/>
        <v/>
      </c>
      <c r="J70" s="1409"/>
      <c r="K70" s="1409" t="str">
        <f t="shared" si="13"/>
        <v/>
      </c>
      <c r="L70" s="896" t="s">
        <v>1199</v>
      </c>
      <c r="M70" s="1409">
        <v>85</v>
      </c>
      <c r="N70" s="859"/>
      <c r="O70" s="1408"/>
      <c r="P70" s="1408"/>
      <c r="Q70" s="1408"/>
      <c r="R70" s="1408"/>
      <c r="S70" s="1408"/>
      <c r="T70" s="1408"/>
      <c r="U70" s="1408"/>
      <c r="V70" s="1408"/>
      <c r="W70" s="1408"/>
      <c r="X70" s="1408"/>
      <c r="Y70" s="1408"/>
      <c r="Z70" s="1408"/>
      <c r="AA70" s="1408"/>
    </row>
    <row r="71" spans="1:27" x14ac:dyDescent="0.25">
      <c r="A71" s="914" t="s">
        <v>1356</v>
      </c>
      <c r="B71" s="859" t="str">
        <f t="shared" ca="1" si="11"/>
        <v>V8</v>
      </c>
      <c r="C71" s="859" t="str">
        <f t="shared" ca="1" si="9"/>
        <v>V</v>
      </c>
      <c r="D71" s="859" t="s">
        <v>1374</v>
      </c>
      <c r="E71" s="859" t="s">
        <v>874</v>
      </c>
      <c r="F71" s="859"/>
      <c r="G71" s="859"/>
      <c r="H71" s="859"/>
      <c r="I71" s="857" t="str">
        <f t="shared" si="12"/>
        <v/>
      </c>
      <c r="J71" s="1409"/>
      <c r="K71" s="1409" t="str">
        <f t="shared" si="13"/>
        <v/>
      </c>
      <c r="L71" s="896" t="s">
        <v>1446</v>
      </c>
      <c r="M71" s="1409">
        <v>86</v>
      </c>
      <c r="N71" s="859"/>
      <c r="O71" s="1408"/>
      <c r="P71" s="1408"/>
      <c r="Q71" s="1408"/>
      <c r="R71" s="1408"/>
      <c r="S71" s="1408"/>
      <c r="T71" s="1408"/>
      <c r="U71" s="1408"/>
      <c r="V71" s="1408"/>
      <c r="W71" s="1408"/>
      <c r="X71" s="1408"/>
      <c r="Y71" s="1408"/>
      <c r="Z71" s="1408"/>
      <c r="AA71" s="1408"/>
    </row>
    <row r="72" spans="1:27" x14ac:dyDescent="0.25">
      <c r="A72" s="914" t="s">
        <v>1650</v>
      </c>
      <c r="B72" s="859" t="str">
        <f t="shared" ca="1" si="11"/>
        <v/>
      </c>
      <c r="C72" s="859" t="str">
        <f t="shared" ca="1" si="9"/>
        <v/>
      </c>
      <c r="D72" s="859" t="s">
        <v>1374</v>
      </c>
      <c r="E72" s="859" t="s">
        <v>874</v>
      </c>
      <c r="F72" s="859"/>
      <c r="G72" s="859"/>
      <c r="H72" s="859"/>
      <c r="I72" s="857" t="str">
        <f t="shared" si="12"/>
        <v/>
      </c>
      <c r="J72" s="1409" t="str">
        <f>IF(M72&lt;&gt;"",Q$1&amp;M72,"")</f>
        <v/>
      </c>
      <c r="K72" s="1409" t="str">
        <f t="shared" si="13"/>
        <v/>
      </c>
      <c r="L72" s="896" t="s">
        <v>1650</v>
      </c>
      <c r="M72" s="1409"/>
      <c r="N72" s="859"/>
      <c r="O72" s="1408"/>
      <c r="P72" s="1408"/>
      <c r="Q72" s="1408"/>
      <c r="R72" s="1408"/>
      <c r="S72" s="1408"/>
      <c r="T72" s="1408"/>
      <c r="U72" s="1408"/>
      <c r="V72" s="1408"/>
      <c r="W72" s="1408"/>
      <c r="X72" s="1408"/>
      <c r="Y72" s="1408"/>
      <c r="Z72" s="1408"/>
      <c r="AA72" s="1408"/>
    </row>
    <row r="73" spans="1:27" x14ac:dyDescent="0.25">
      <c r="A73" s="915" t="s">
        <v>1192</v>
      </c>
      <c r="B73" s="859" t="str">
        <f ca="1">_xlfn.IFNA(_xlfn.CONCAT(SUBSTITUTE(ADDRESS(1,MATCH(A73,INDIRECT("'"&amp;E73&amp;"'"&amp;"!A5:Z5"),0),4),1,""),9),"")</f>
        <v>H9</v>
      </c>
      <c r="C73" s="859" t="str">
        <f t="shared" ca="1" si="9"/>
        <v>H</v>
      </c>
      <c r="D73" s="859" t="s">
        <v>1374</v>
      </c>
      <c r="E73" s="859" t="s">
        <v>874</v>
      </c>
      <c r="F73" s="859"/>
      <c r="G73" s="859"/>
      <c r="H73" s="859"/>
      <c r="I73" s="857" t="str">
        <f t="shared" si="12"/>
        <v>Pyramid Segment</v>
      </c>
      <c r="J73" s="1409" t="str">
        <f>IF(AND(P1224="",M73&lt;&gt;""),Q$1&amp;M73,"")</f>
        <v>F98</v>
      </c>
      <c r="K73" s="1409" t="str">
        <f t="shared" si="13"/>
        <v>Customer Inputs</v>
      </c>
      <c r="L73" s="859" t="s">
        <v>1192</v>
      </c>
      <c r="M73" s="1409">
        <v>98</v>
      </c>
      <c r="N73" s="859"/>
      <c r="O73" s="1408"/>
      <c r="P73" s="1408"/>
      <c r="Q73" s="1408"/>
      <c r="R73" s="1408"/>
      <c r="S73" s="1408"/>
      <c r="T73" s="1408"/>
      <c r="U73" s="1408"/>
      <c r="V73" s="1408"/>
      <c r="W73" s="1408"/>
      <c r="X73" s="1408"/>
      <c r="Y73" s="1408"/>
      <c r="Z73" s="1408"/>
      <c r="AA73" s="1408"/>
    </row>
    <row r="74" spans="1:27" ht="30" x14ac:dyDescent="0.25">
      <c r="A74" s="916" t="s">
        <v>1274</v>
      </c>
      <c r="B74" s="859" t="str">
        <f t="shared" ref="B74:B82" ca="1" si="14">_xlfn.IFNA(_xlfn.CONCAT(SUBSTITUTE(ADDRESS(1,MATCH(A74,INDIRECT("'"&amp;E74&amp;"'"&amp;"!A5:Z5"),0),4),1,""),9),"")</f>
        <v>I9</v>
      </c>
      <c r="C74" s="859" t="str">
        <f t="shared" ca="1" si="9"/>
        <v>I</v>
      </c>
      <c r="D74" s="859" t="s">
        <v>1374</v>
      </c>
      <c r="E74" s="859" t="s">
        <v>874</v>
      </c>
      <c r="F74" s="859"/>
      <c r="G74" s="859"/>
      <c r="H74" s="859"/>
      <c r="I74" s="857" t="str">
        <f t="shared" si="12"/>
        <v>Agreement Annual Purchase Commitment</v>
      </c>
      <c r="J74" s="1409" t="str">
        <f>Q$1&amp;IF(Q74&lt;&gt;"",M74,M76)</f>
        <v>F102</v>
      </c>
      <c r="K74" s="1409" t="str">
        <f t="shared" si="13"/>
        <v>Customer Inputs</v>
      </c>
      <c r="L74" s="52" t="s">
        <v>1274</v>
      </c>
      <c r="M74" s="1409">
        <v>100</v>
      </c>
      <c r="N74" s="859"/>
      <c r="O74" s="1408"/>
      <c r="P74" s="1408"/>
      <c r="Q74" s="1408"/>
      <c r="R74" s="1408"/>
      <c r="S74" s="1408"/>
      <c r="T74" s="1408"/>
      <c r="U74" s="1408"/>
      <c r="V74" s="1408"/>
      <c r="W74" s="1408"/>
      <c r="X74" s="1408"/>
      <c r="Y74" s="1408"/>
      <c r="Z74" s="1408"/>
      <c r="AA74" s="1408"/>
    </row>
    <row r="75" spans="1:27" ht="30" x14ac:dyDescent="0.25">
      <c r="A75" s="915" t="s">
        <v>1275</v>
      </c>
      <c r="B75" s="859" t="str">
        <f t="shared" ca="1" si="14"/>
        <v>J9</v>
      </c>
      <c r="C75" s="859" t="str">
        <f t="shared" ca="1" si="9"/>
        <v>J</v>
      </c>
      <c r="D75" s="859" t="s">
        <v>1374</v>
      </c>
      <c r="E75" s="859" t="s">
        <v>874</v>
      </c>
      <c r="F75" s="859"/>
      <c r="G75" s="859"/>
      <c r="H75" s="859"/>
      <c r="I75" s="857" t="str">
        <f t="shared" si="12"/>
        <v>Agreement Deliveries Per Customer Unit Per Week</v>
      </c>
      <c r="J75" s="1409" t="str">
        <f>Q$1&amp;IF(Q75&lt;&gt;"",M75,M77)</f>
        <v>F103</v>
      </c>
      <c r="K75" s="1409" t="str">
        <f t="shared" si="13"/>
        <v>Customer Inputs</v>
      </c>
      <c r="L75" s="859" t="s">
        <v>1275</v>
      </c>
      <c r="M75" s="1409">
        <v>101</v>
      </c>
      <c r="N75" s="859"/>
      <c r="O75" s="1408"/>
      <c r="P75" s="1408"/>
      <c r="Q75" s="1408"/>
      <c r="R75" s="1408"/>
      <c r="S75" s="1408"/>
      <c r="T75" s="1408"/>
      <c r="U75" s="1408"/>
      <c r="V75" s="1408"/>
      <c r="W75" s="1408"/>
      <c r="X75" s="1408"/>
      <c r="Y75" s="1408"/>
      <c r="Z75" s="1408"/>
      <c r="AA75" s="1408"/>
    </row>
    <row r="76" spans="1:27" x14ac:dyDescent="0.25">
      <c r="A76" s="915" t="s">
        <v>1195</v>
      </c>
      <c r="B76" s="859" t="str">
        <f ca="1">IFERROR(_xlfn.CONCAT(IF('Customer Inputs'!$U$9="Existing",IF('Customer Inputs'!P9=0,SUBSTITUTE(ADDRESS(1,MATCH(O76,INDIRECT("'"&amp;E76&amp;"'"&amp;"!$A$5:$Z$5"),0),4),1,""),SUBSTITUTE(ADDRESS(1,MATCH(A76,INDIRECT("'"&amp;E76&amp;"'"&amp;"!A$5:Z$5"),0),4),1,"")),SUBSTITUTE(ADDRESS(1,MATCH(A76,INDIRECT("'"&amp;E76&amp;"'"&amp;"!A$5:Z$5"),0),4),1,"")),9),"")</f>
        <v>P9</v>
      </c>
      <c r="C76" s="859" t="str">
        <f ca="1">IFERROR(IF('Customer Inputs'!$U$9="Existing",IF('Customer Inputs'!P9=0,SUBSTITUTE(ADDRESS(1,MATCH(O76,INDIRECT("'"&amp;E76&amp;"'"&amp;"!$A$5:$Z$5"),0),4),1,""),SUBSTITUTE(ADDRESS(1,MATCH(A76,INDIRECT("'"&amp;E76&amp;"'"&amp;"!A$5:Z$5"),0),4),1,"")),SUBSTITUTE(ADDRESS(1,MATCH(A76,INDIRECT("'"&amp;E76&amp;"'"&amp;"!A$5:Z$5"),0),4),1,"")),"")</f>
        <v>P</v>
      </c>
      <c r="D76" s="859" t="s">
        <v>1374</v>
      </c>
      <c r="E76" s="859" t="s">
        <v>874</v>
      </c>
      <c r="F76" s="859"/>
      <c r="G76" s="859"/>
      <c r="H76" s="859"/>
      <c r="I76" s="857" t="str">
        <f t="shared" si="12"/>
        <v/>
      </c>
      <c r="J76" s="1409"/>
      <c r="K76" s="1409" t="str">
        <f t="shared" si="13"/>
        <v/>
      </c>
      <c r="L76" s="859" t="s">
        <v>1195</v>
      </c>
      <c r="M76" s="1409">
        <v>102</v>
      </c>
      <c r="N76" s="859"/>
      <c r="O76" s="1408" t="s">
        <v>872</v>
      </c>
      <c r="P76" s="1408"/>
      <c r="Q76" s="1408"/>
      <c r="R76" s="1408"/>
      <c r="S76" s="1408"/>
      <c r="T76" s="1408"/>
      <c r="U76" s="1408"/>
      <c r="V76" s="1408"/>
      <c r="W76" s="1408"/>
      <c r="X76" s="1408"/>
      <c r="Y76" s="1408"/>
      <c r="Z76" s="1408"/>
      <c r="AA76" s="1408"/>
    </row>
    <row r="77" spans="1:27" x14ac:dyDescent="0.25">
      <c r="A77" s="917" t="s">
        <v>1196</v>
      </c>
      <c r="B77" s="859" t="str">
        <f ca="1">IFERROR(_xlfn.CONCAT(IF('Customer Inputs'!$U$9="Existing",IF('Customer Inputs'!Q9=0,SUBSTITUTE(ADDRESS(1,MATCH(O77,INDIRECT("'"&amp;E77&amp;"'"&amp;"!$A$5:$Z$5"),0),4),1,""),SUBSTITUTE(ADDRESS(1,MATCH(A77,INDIRECT("'"&amp;E77&amp;"'"&amp;"!A$5:Z$5"),0),4),1,"")),SUBSTITUTE(ADDRESS(1,MATCH(A77,INDIRECT("'"&amp;E77&amp;"'"&amp;"!A$5:Z$5"),0),4),1,"")),9),"")</f>
        <v>Q9</v>
      </c>
      <c r="C77" s="859" t="str">
        <f ca="1">IFERROR(IF('Customer Inputs'!$U$9="Existing",IF('Customer Inputs'!Q9=0,SUBSTITUTE(ADDRESS(1,MATCH(O77,INDIRECT("'"&amp;E77&amp;"'"&amp;"!$A$5:$Z$5"),0),4),1,""),SUBSTITUTE(ADDRESS(1,MATCH(A77,INDIRECT("'"&amp;E77&amp;"'"&amp;"!A$5:Z$5"),0),4),1,"")),SUBSTITUTE(ADDRESS(1,MATCH(A77,INDIRECT("'"&amp;E77&amp;"'"&amp;"!A$5:Z$5"),0),4),1,"")),"")</f>
        <v>Q</v>
      </c>
      <c r="D77" s="859" t="s">
        <v>1374</v>
      </c>
      <c r="E77" s="859" t="s">
        <v>874</v>
      </c>
      <c r="F77" s="859"/>
      <c r="G77" s="859"/>
      <c r="H77" s="859"/>
      <c r="I77" s="857" t="str">
        <f t="shared" si="12"/>
        <v/>
      </c>
      <c r="J77" s="1409"/>
      <c r="K77" s="1409" t="str">
        <f t="shared" si="13"/>
        <v/>
      </c>
      <c r="L77" s="896" t="s">
        <v>1196</v>
      </c>
      <c r="M77" s="1409">
        <v>103</v>
      </c>
      <c r="N77" s="859"/>
      <c r="O77" s="1408" t="s">
        <v>1193</v>
      </c>
      <c r="P77" s="1408"/>
      <c r="Q77" s="1408"/>
      <c r="R77" s="1408"/>
      <c r="S77" s="1408"/>
      <c r="T77" s="1408"/>
      <c r="U77" s="1408"/>
      <c r="V77" s="1408"/>
      <c r="W77" s="1408"/>
      <c r="X77" s="1408"/>
      <c r="Y77" s="1408"/>
      <c r="Z77" s="1408"/>
      <c r="AA77" s="1408"/>
    </row>
    <row r="78" spans="1:27" x14ac:dyDescent="0.25">
      <c r="A78" s="917" t="s">
        <v>1197</v>
      </c>
      <c r="B78" s="859" t="str">
        <f ca="1">IFERROR(_xlfn.CONCAT(IF('Customer Inputs'!$U$9="Existing",IF('Customer Inputs'!R9=0,SUBSTITUTE(ADDRESS(1,MATCH(O78,INDIRECT("'"&amp;E78&amp;"'"&amp;"!$A$5:$Z$5"),0),4),1,""),SUBSTITUTE(ADDRESS(1,MATCH(A78,INDIRECT("'"&amp;E78&amp;"'"&amp;"!A$5:Z$5"),0),4),1,"")),SUBSTITUTE(ADDRESS(1,MATCH(A78,INDIRECT("'"&amp;E78&amp;"'"&amp;"!A$5:Z$5"),0),4),1,"")),9),"")</f>
        <v>R9</v>
      </c>
      <c r="C78" s="859" t="str">
        <f ca="1">IFERROR(IF('Customer Inputs'!$U$9="Existing",IF('Customer Inputs'!R9=0,SUBSTITUTE(ADDRESS(1,MATCH(O78,INDIRECT("'"&amp;E78&amp;"'"&amp;"!$A$5:$Z$5"),0),4),1,""),SUBSTITUTE(ADDRESS(1,MATCH(A78,INDIRECT("'"&amp;E78&amp;"'"&amp;"!A$5:Z$5"),0),4),1,"")),SUBSTITUTE(ADDRESS(1,MATCH(A78,INDIRECT("'"&amp;E78&amp;"'"&amp;"!A$5:Z$5"),0),4),1,"")),"")</f>
        <v>R</v>
      </c>
      <c r="D78" s="859" t="s">
        <v>1374</v>
      </c>
      <c r="E78" s="859" t="s">
        <v>874</v>
      </c>
      <c r="F78" s="859"/>
      <c r="G78" s="859"/>
      <c r="H78" s="859"/>
      <c r="I78" s="857" t="str">
        <f t="shared" si="12"/>
        <v/>
      </c>
      <c r="J78" s="1409"/>
      <c r="K78" s="1409" t="str">
        <f t="shared" si="13"/>
        <v/>
      </c>
      <c r="L78" s="896" t="s">
        <v>1197</v>
      </c>
      <c r="M78" s="1409">
        <v>104</v>
      </c>
      <c r="N78" s="859"/>
      <c r="O78" s="1408" t="s">
        <v>1200</v>
      </c>
      <c r="P78" s="1408"/>
      <c r="Q78" s="1408"/>
      <c r="R78" s="1408"/>
      <c r="S78" s="1408"/>
      <c r="T78" s="1408"/>
      <c r="U78" s="1408"/>
      <c r="V78" s="1408"/>
      <c r="W78" s="1408"/>
      <c r="X78" s="1408"/>
      <c r="Y78" s="1408"/>
      <c r="Z78" s="1408"/>
      <c r="AA78" s="1408"/>
    </row>
    <row r="79" spans="1:27" x14ac:dyDescent="0.25">
      <c r="A79" s="917" t="s">
        <v>1198</v>
      </c>
      <c r="B79" s="859" t="str">
        <f ca="1">IFERROR(_xlfn.CONCAT(IF('Customer Inputs'!$U$9="Existing",IF('Customer Inputs'!T9=0,SUBSTITUTE(ADDRESS(1,MATCH(O79,INDIRECT("'"&amp;E79&amp;"'"&amp;"!$A$5:$Z$5"),0),4),1,""),SUBSTITUTE(ADDRESS(1,MATCH(A79,INDIRECT("'"&amp;E79&amp;"'"&amp;"!A$5:Z$5"),0),4),1,"")),SUBSTITUTE(ADDRESS(1,MATCH(A79,INDIRECT("'"&amp;E79&amp;"'"&amp;"!A$5:Z$5"),0),4),1,"")),9),"")</f>
        <v>T9</v>
      </c>
      <c r="C79" s="859" t="str">
        <f ca="1">IFERROR(IF('Customer Inputs'!$U$9="Existing",IF('Customer Inputs'!T9=0,SUBSTITUTE(ADDRESS(1,MATCH(O79,INDIRECT("'"&amp;E79&amp;"'"&amp;"!$A$5:$Z$5"),0),4),1,""),SUBSTITUTE(ADDRESS(1,MATCH(A79,INDIRECT("'"&amp;E79&amp;"'"&amp;"!A$5:Z$5"),0),4),1,"")),SUBSTITUTE(ADDRESS(1,MATCH(A79,INDIRECT("'"&amp;E79&amp;"'"&amp;"!A$5:Z$5"),0),4),1,"")),"")</f>
        <v>T</v>
      </c>
      <c r="D79" s="859" t="s">
        <v>1374</v>
      </c>
      <c r="E79" s="859" t="s">
        <v>874</v>
      </c>
      <c r="F79" s="859"/>
      <c r="G79" s="859"/>
      <c r="H79" s="859"/>
      <c r="I79" s="857" t="str">
        <f t="shared" si="12"/>
        <v/>
      </c>
      <c r="J79" s="1409"/>
      <c r="K79" s="1409" t="str">
        <f t="shared" si="13"/>
        <v/>
      </c>
      <c r="L79" s="896" t="s">
        <v>1198</v>
      </c>
      <c r="M79" s="1409">
        <v>105</v>
      </c>
      <c r="N79" s="859"/>
      <c r="O79" s="1408" t="s">
        <v>1194</v>
      </c>
      <c r="P79" s="1408"/>
      <c r="Q79" s="1408"/>
      <c r="R79" s="1408"/>
      <c r="S79" s="1408"/>
      <c r="T79" s="1408"/>
      <c r="U79" s="1408"/>
      <c r="V79" s="1408"/>
      <c r="W79" s="1408"/>
      <c r="X79" s="1408"/>
      <c r="Y79" s="1408"/>
      <c r="Z79" s="1408"/>
      <c r="AA79" s="1408"/>
    </row>
    <row r="80" spans="1:27" x14ac:dyDescent="0.25">
      <c r="A80" s="917" t="s">
        <v>1199</v>
      </c>
      <c r="B80" s="859" t="str">
        <f t="shared" ca="1" si="14"/>
        <v>U9</v>
      </c>
      <c r="C80" s="859" t="str">
        <f t="shared" ca="1" si="9"/>
        <v>U</v>
      </c>
      <c r="D80" s="859" t="s">
        <v>1374</v>
      </c>
      <c r="E80" s="859" t="s">
        <v>874</v>
      </c>
      <c r="F80" s="859"/>
      <c r="G80" s="859"/>
      <c r="H80" s="859"/>
      <c r="I80" s="857" t="str">
        <f t="shared" si="12"/>
        <v/>
      </c>
      <c r="J80" s="1409"/>
      <c r="K80" s="1409" t="str">
        <f t="shared" si="13"/>
        <v/>
      </c>
      <c r="L80" s="896" t="s">
        <v>1199</v>
      </c>
      <c r="M80" s="1409">
        <v>106</v>
      </c>
      <c r="N80" s="859"/>
      <c r="O80" s="1408"/>
      <c r="P80" s="1408"/>
      <c r="Q80" s="1408"/>
      <c r="R80" s="1408"/>
      <c r="S80" s="1408"/>
      <c r="T80" s="1408"/>
      <c r="U80" s="1408"/>
      <c r="V80" s="1408"/>
      <c r="W80" s="1408"/>
      <c r="X80" s="1408"/>
      <c r="Y80" s="1408"/>
      <c r="Z80" s="1408"/>
      <c r="AA80" s="1408"/>
    </row>
    <row r="81" spans="1:27" x14ac:dyDescent="0.25">
      <c r="A81" s="917" t="s">
        <v>1356</v>
      </c>
      <c r="B81" s="859" t="str">
        <f t="shared" ca="1" si="14"/>
        <v>V9</v>
      </c>
      <c r="C81" s="859" t="str">
        <f t="shared" ca="1" si="9"/>
        <v>V</v>
      </c>
      <c r="D81" s="859" t="s">
        <v>1374</v>
      </c>
      <c r="E81" s="859" t="s">
        <v>874</v>
      </c>
      <c r="F81" s="859"/>
      <c r="G81" s="859"/>
      <c r="H81" s="859"/>
      <c r="I81" s="857" t="str">
        <f t="shared" si="12"/>
        <v/>
      </c>
      <c r="J81" s="1409"/>
      <c r="K81" s="1409" t="str">
        <f t="shared" si="13"/>
        <v/>
      </c>
      <c r="L81" s="896" t="s">
        <v>1446</v>
      </c>
      <c r="M81" s="1409">
        <v>107</v>
      </c>
      <c r="N81" s="859"/>
      <c r="O81" s="1408"/>
      <c r="P81" s="1408"/>
      <c r="Q81" s="1408"/>
      <c r="R81" s="1408"/>
      <c r="S81" s="1408"/>
      <c r="T81" s="1408"/>
      <c r="U81" s="1408"/>
      <c r="V81" s="1408"/>
      <c r="W81" s="1408"/>
      <c r="X81" s="1408"/>
      <c r="Y81" s="1408"/>
      <c r="Z81" s="1408"/>
      <c r="AA81" s="1408"/>
    </row>
    <row r="82" spans="1:27" x14ac:dyDescent="0.25">
      <c r="A82" s="917" t="s">
        <v>1650</v>
      </c>
      <c r="B82" s="859" t="str">
        <f t="shared" ca="1" si="14"/>
        <v/>
      </c>
      <c r="C82" s="859" t="str">
        <f t="shared" ca="1" si="9"/>
        <v/>
      </c>
      <c r="D82" s="859" t="s">
        <v>1374</v>
      </c>
      <c r="E82" s="859" t="s">
        <v>874</v>
      </c>
      <c r="F82" s="859"/>
      <c r="G82" s="859"/>
      <c r="H82" s="859"/>
      <c r="I82" s="857" t="str">
        <f t="shared" si="12"/>
        <v/>
      </c>
      <c r="J82" s="1409" t="str">
        <f>IF(M82&lt;&gt;"",Q$1&amp;M82,"")</f>
        <v/>
      </c>
      <c r="K82" s="1409" t="str">
        <f t="shared" si="13"/>
        <v/>
      </c>
      <c r="L82" s="896" t="s">
        <v>1650</v>
      </c>
      <c r="M82" s="1409"/>
      <c r="N82" s="859"/>
      <c r="O82" s="1408"/>
      <c r="P82" s="1408"/>
      <c r="Q82" s="1408"/>
      <c r="R82" s="1408"/>
      <c r="S82" s="1408"/>
      <c r="T82" s="1408"/>
      <c r="U82" s="1408"/>
      <c r="V82" s="1408"/>
      <c r="W82" s="1408"/>
      <c r="X82" s="1408"/>
      <c r="Y82" s="1408"/>
      <c r="Z82" s="1408"/>
      <c r="AA82" s="1408"/>
    </row>
    <row r="83" spans="1:27" x14ac:dyDescent="0.25">
      <c r="A83" s="912" t="s">
        <v>1192</v>
      </c>
      <c r="B83" s="859" t="str">
        <f ca="1">_xlfn.IFNA(_xlfn.CONCAT(SUBSTITUTE(ADDRESS(1,MATCH(A83,INDIRECT("'"&amp;E83&amp;"'"&amp;"!A5:Z5"),0),4),1,""),10),"")</f>
        <v>H10</v>
      </c>
      <c r="C83" s="859" t="str">
        <f t="shared" ca="1" si="9"/>
        <v>H</v>
      </c>
      <c r="D83" s="859" t="s">
        <v>1374</v>
      </c>
      <c r="E83" s="859" t="s">
        <v>874</v>
      </c>
      <c r="F83" s="859"/>
      <c r="G83" s="859"/>
      <c r="H83" s="859"/>
      <c r="I83" s="857" t="str">
        <f t="shared" si="12"/>
        <v>Pyramid Segment</v>
      </c>
      <c r="J83" s="1409" t="str">
        <f>IF(AND(P1225="",M83&lt;&gt;""),Q$1&amp;M83,"")</f>
        <v>F119</v>
      </c>
      <c r="K83" s="1409" t="str">
        <f t="shared" si="13"/>
        <v>Customer Inputs</v>
      </c>
      <c r="L83" s="859" t="s">
        <v>1192</v>
      </c>
      <c r="M83" s="1409">
        <v>119</v>
      </c>
      <c r="N83" s="859"/>
      <c r="O83" s="1408"/>
      <c r="P83" s="1408"/>
      <c r="Q83" s="1408"/>
      <c r="R83" s="1408"/>
      <c r="S83" s="1408"/>
      <c r="T83" s="1408"/>
      <c r="U83" s="1408"/>
      <c r="V83" s="1408"/>
      <c r="W83" s="1408"/>
      <c r="X83" s="1408"/>
      <c r="Y83" s="1408"/>
      <c r="Z83" s="1408"/>
      <c r="AA83" s="1408"/>
    </row>
    <row r="84" spans="1:27" ht="30" x14ac:dyDescent="0.25">
      <c r="A84" s="913" t="s">
        <v>1274</v>
      </c>
      <c r="B84" s="859" t="str">
        <f t="shared" ref="B84:B92" ca="1" si="15">_xlfn.IFNA(_xlfn.CONCAT(SUBSTITUTE(ADDRESS(1,MATCH(A84,INDIRECT("'"&amp;E84&amp;"'"&amp;"!A5:Z5"),0),4),1,""),10),"")</f>
        <v>I10</v>
      </c>
      <c r="C84" s="859" t="str">
        <f t="shared" ca="1" si="9"/>
        <v>I</v>
      </c>
      <c r="D84" s="859" t="s">
        <v>1374</v>
      </c>
      <c r="E84" s="859" t="s">
        <v>874</v>
      </c>
      <c r="F84" s="859"/>
      <c r="G84" s="859"/>
      <c r="H84" s="859"/>
      <c r="I84" s="857" t="str">
        <f t="shared" si="12"/>
        <v>Agreement Annual Purchase Commitment</v>
      </c>
      <c r="J84" s="1409" t="str">
        <f>Q$1&amp;IF(Q84&lt;&gt;"",M84,M86)</f>
        <v>F123</v>
      </c>
      <c r="K84" s="1409" t="str">
        <f t="shared" si="13"/>
        <v>Customer Inputs</v>
      </c>
      <c r="L84" s="52" t="s">
        <v>1274</v>
      </c>
      <c r="M84" s="1409">
        <v>121</v>
      </c>
      <c r="N84" s="859"/>
      <c r="O84" s="1408"/>
      <c r="P84" s="1408"/>
      <c r="Q84" s="1408"/>
      <c r="R84" s="1408"/>
      <c r="S84" s="1408"/>
      <c r="T84" s="1408"/>
      <c r="U84" s="1408"/>
      <c r="V84" s="1408"/>
      <c r="W84" s="1408"/>
      <c r="X84" s="1408"/>
      <c r="Y84" s="1408"/>
      <c r="Z84" s="1408"/>
      <c r="AA84" s="1408"/>
    </row>
    <row r="85" spans="1:27" ht="30" x14ac:dyDescent="0.25">
      <c r="A85" s="912" t="s">
        <v>1275</v>
      </c>
      <c r="B85" s="859" t="str">
        <f t="shared" ca="1" si="15"/>
        <v>J10</v>
      </c>
      <c r="C85" s="859" t="str">
        <f t="shared" ca="1" si="9"/>
        <v>J</v>
      </c>
      <c r="D85" s="859" t="s">
        <v>1374</v>
      </c>
      <c r="E85" s="859" t="s">
        <v>874</v>
      </c>
      <c r="F85" s="859"/>
      <c r="G85" s="859"/>
      <c r="H85" s="859"/>
      <c r="I85" s="857" t="str">
        <f t="shared" si="12"/>
        <v>Agreement Deliveries Per Customer Unit Per Week</v>
      </c>
      <c r="J85" s="1409" t="str">
        <f>Q$1&amp;IF(Q85&lt;&gt;"",M85,M87)</f>
        <v>F124</v>
      </c>
      <c r="K85" s="1409" t="str">
        <f t="shared" si="13"/>
        <v>Customer Inputs</v>
      </c>
      <c r="L85" s="859" t="s">
        <v>1275</v>
      </c>
      <c r="M85" s="1409">
        <v>122</v>
      </c>
      <c r="N85" s="859"/>
      <c r="O85" s="1408"/>
      <c r="P85" s="1408"/>
      <c r="Q85" s="1408"/>
      <c r="R85" s="1408"/>
      <c r="S85" s="1408"/>
      <c r="T85" s="1408"/>
      <c r="U85" s="1408"/>
      <c r="V85" s="1408"/>
      <c r="W85" s="1408"/>
      <c r="X85" s="1408"/>
      <c r="Y85" s="1408"/>
      <c r="Z85" s="1408"/>
      <c r="AA85" s="1408"/>
    </row>
    <row r="86" spans="1:27" x14ac:dyDescent="0.25">
      <c r="A86" s="912" t="s">
        <v>1195</v>
      </c>
      <c r="B86" s="859" t="str">
        <f ca="1">IFERROR(_xlfn.CONCAT(IF('Customer Inputs'!$U$10="Existing",IF('Customer Inputs'!P10=0,SUBSTITUTE(ADDRESS(1,MATCH(O86,INDIRECT("'"&amp;E86&amp;"'"&amp;"!$A$5:$Z$5"),0),4),1,""),SUBSTITUTE(ADDRESS(1,MATCH(A86,INDIRECT("'"&amp;E86&amp;"'"&amp;"!A$5:Z$5"),0),4),1,"")),SUBSTITUTE(ADDRESS(1,MATCH(A86,INDIRECT("'"&amp;E86&amp;"'"&amp;"!A$5:Z$5"),0),4),1,"")),10),"")</f>
        <v>P10</v>
      </c>
      <c r="C86" s="859" t="str">
        <f ca="1">IFERROR(IF('Customer Inputs'!$U$10="Existing",IF('Customer Inputs'!P10=0,SUBSTITUTE(ADDRESS(1,MATCH(O86,INDIRECT("'"&amp;E86&amp;"'"&amp;"!$A$5:$Z$5"),0),4),1,""),SUBSTITUTE(ADDRESS(1,MATCH(A86,INDIRECT("'"&amp;E86&amp;"'"&amp;"!A$5:Z$5"),0),4),1,"")),SUBSTITUTE(ADDRESS(1,MATCH(A86,INDIRECT("'"&amp;E86&amp;"'"&amp;"!A$5:Z$5"),0),4),1,"")),"")</f>
        <v>P</v>
      </c>
      <c r="D86" s="859" t="s">
        <v>1374</v>
      </c>
      <c r="E86" s="859" t="s">
        <v>874</v>
      </c>
      <c r="F86" s="859"/>
      <c r="G86" s="859"/>
      <c r="H86" s="859"/>
      <c r="I86" s="857" t="str">
        <f t="shared" si="12"/>
        <v/>
      </c>
      <c r="J86" s="1409"/>
      <c r="K86" s="1409" t="str">
        <f t="shared" si="13"/>
        <v/>
      </c>
      <c r="L86" s="859" t="s">
        <v>1195</v>
      </c>
      <c r="M86" s="1409">
        <v>123</v>
      </c>
      <c r="N86" s="859"/>
      <c r="O86" s="1408" t="s">
        <v>872</v>
      </c>
      <c r="P86" s="1408"/>
      <c r="Q86" s="1408"/>
      <c r="R86" s="1408"/>
      <c r="S86" s="1408"/>
      <c r="T86" s="1408"/>
      <c r="U86" s="1408"/>
      <c r="V86" s="1408"/>
      <c r="W86" s="1408"/>
      <c r="X86" s="1408"/>
      <c r="Y86" s="1408"/>
      <c r="Z86" s="1408"/>
      <c r="AA86" s="1408"/>
    </row>
    <row r="87" spans="1:27" x14ac:dyDescent="0.25">
      <c r="A87" s="914" t="s">
        <v>1196</v>
      </c>
      <c r="B87" s="859" t="str">
        <f ca="1">IFERROR(_xlfn.CONCAT(IF('Customer Inputs'!$U$10="Existing",IF('Customer Inputs'!Q10=0,SUBSTITUTE(ADDRESS(1,MATCH(O87,INDIRECT("'"&amp;E87&amp;"'"&amp;"!$A$5:$Z$5"),0),4),1,""),SUBSTITUTE(ADDRESS(1,MATCH(A87,INDIRECT("'"&amp;E87&amp;"'"&amp;"!A$5:Z$5"),0),4),1,"")),SUBSTITUTE(ADDRESS(1,MATCH(A87,INDIRECT("'"&amp;E87&amp;"'"&amp;"!A$5:Z$5"),0),4),1,"")),10),"")</f>
        <v>Q10</v>
      </c>
      <c r="C87" s="859" t="str">
        <f ca="1">IFERROR(IF('Customer Inputs'!$U$10="Existing",IF('Customer Inputs'!Q10=0,SUBSTITUTE(ADDRESS(1,MATCH(O87,INDIRECT("'"&amp;E87&amp;"'"&amp;"!$A$5:$Z$5"),0),4),1,""),SUBSTITUTE(ADDRESS(1,MATCH(A87,INDIRECT("'"&amp;E87&amp;"'"&amp;"!A$5:Z$5"),0),4),1,"")),SUBSTITUTE(ADDRESS(1,MATCH(A87,INDIRECT("'"&amp;E87&amp;"'"&amp;"!A$5:Z$5"),0),4),1,"")),"")</f>
        <v>Q</v>
      </c>
      <c r="D87" s="859" t="s">
        <v>1374</v>
      </c>
      <c r="E87" s="859" t="s">
        <v>874</v>
      </c>
      <c r="F87" s="859"/>
      <c r="G87" s="859"/>
      <c r="H87" s="859"/>
      <c r="I87" s="857" t="str">
        <f t="shared" si="12"/>
        <v/>
      </c>
      <c r="J87" s="1409"/>
      <c r="K87" s="1409" t="str">
        <f t="shared" si="13"/>
        <v/>
      </c>
      <c r="L87" s="896" t="s">
        <v>1196</v>
      </c>
      <c r="M87" s="1409">
        <v>124</v>
      </c>
      <c r="N87" s="859"/>
      <c r="O87" s="1408" t="s">
        <v>1193</v>
      </c>
      <c r="P87" s="1408"/>
      <c r="Q87" s="1408"/>
      <c r="R87" s="1408"/>
      <c r="S87" s="1408"/>
      <c r="T87" s="1408"/>
      <c r="U87" s="1408"/>
      <c r="V87" s="1408"/>
      <c r="W87" s="1408"/>
      <c r="X87" s="1408"/>
      <c r="Y87" s="1408"/>
      <c r="Z87" s="1408"/>
      <c r="AA87" s="1408"/>
    </row>
    <row r="88" spans="1:27" x14ac:dyDescent="0.25">
      <c r="A88" s="914" t="s">
        <v>1197</v>
      </c>
      <c r="B88" s="859" t="str">
        <f ca="1">IFERROR(_xlfn.CONCAT(IF('Customer Inputs'!$U$10="Existing",IF('Customer Inputs'!R10=0,SUBSTITUTE(ADDRESS(1,MATCH(O88,INDIRECT("'"&amp;E88&amp;"'"&amp;"!$A$5:$Z$5"),0),4),1,""),SUBSTITUTE(ADDRESS(1,MATCH(A88,INDIRECT("'"&amp;E88&amp;"'"&amp;"!A$5:Z$5"),0),4),1,"")),SUBSTITUTE(ADDRESS(1,MATCH(A88,INDIRECT("'"&amp;E88&amp;"'"&amp;"!A$5:Z$5"),0),4),1,"")),10),"")</f>
        <v>R10</v>
      </c>
      <c r="C88" s="859" t="str">
        <f ca="1">IFERROR(IF('Customer Inputs'!$U$10="Existing",IF('Customer Inputs'!R10=0,SUBSTITUTE(ADDRESS(1,MATCH(O88,INDIRECT("'"&amp;E88&amp;"'"&amp;"!$A$5:$Z$5"),0),4),1,""),SUBSTITUTE(ADDRESS(1,MATCH(A88,INDIRECT("'"&amp;E88&amp;"'"&amp;"!A$5:Z$5"),0),4),1,"")),SUBSTITUTE(ADDRESS(1,MATCH(A88,INDIRECT("'"&amp;E88&amp;"'"&amp;"!A$5:Z$5"),0),4),1,"")),"")</f>
        <v>R</v>
      </c>
      <c r="D88" s="859" t="s">
        <v>1374</v>
      </c>
      <c r="E88" s="859" t="s">
        <v>874</v>
      </c>
      <c r="F88" s="859"/>
      <c r="G88" s="859"/>
      <c r="H88" s="859"/>
      <c r="I88" s="857" t="str">
        <f t="shared" si="12"/>
        <v/>
      </c>
      <c r="J88" s="1409"/>
      <c r="K88" s="1409" t="str">
        <f t="shared" si="13"/>
        <v/>
      </c>
      <c r="L88" s="896" t="s">
        <v>1197</v>
      </c>
      <c r="M88" s="1409">
        <v>125</v>
      </c>
      <c r="N88" s="859"/>
      <c r="O88" s="1408" t="s">
        <v>1200</v>
      </c>
      <c r="P88" s="1408"/>
      <c r="Q88" s="1408"/>
      <c r="R88" s="1408"/>
      <c r="S88" s="1408"/>
      <c r="T88" s="1408"/>
      <c r="U88" s="1408"/>
      <c r="V88" s="1408"/>
      <c r="W88" s="1408"/>
      <c r="X88" s="1408"/>
      <c r="Y88" s="1408"/>
      <c r="Z88" s="1408"/>
      <c r="AA88" s="1408"/>
    </row>
    <row r="89" spans="1:27" x14ac:dyDescent="0.25">
      <c r="A89" s="914" t="s">
        <v>1198</v>
      </c>
      <c r="B89" s="859" t="str">
        <f ca="1">IFERROR(_xlfn.CONCAT(IF('Customer Inputs'!$U$10="Existing",IF('Customer Inputs'!T10=0,SUBSTITUTE(ADDRESS(1,MATCH(O89,INDIRECT("'"&amp;E89&amp;"'"&amp;"!$A$5:$Z$5"),0),4),1,""),SUBSTITUTE(ADDRESS(1,MATCH(A89,INDIRECT("'"&amp;E89&amp;"'"&amp;"!A$5:Z$5"),0),4),1,"")),SUBSTITUTE(ADDRESS(1,MATCH(A89,INDIRECT("'"&amp;E89&amp;"'"&amp;"!A$5:Z$5"),0),4),1,"")),10),"")</f>
        <v>T10</v>
      </c>
      <c r="C89" s="859" t="str">
        <f ca="1">IFERROR(IF('Customer Inputs'!$U$10="Existing",IF('Customer Inputs'!T10=0,SUBSTITUTE(ADDRESS(1,MATCH(O89,INDIRECT("'"&amp;E89&amp;"'"&amp;"!$A$5:$Z$5"),0),4),1,""),SUBSTITUTE(ADDRESS(1,MATCH(A89,INDIRECT("'"&amp;E89&amp;"'"&amp;"!A$5:Z$5"),0),4),1,"")),SUBSTITUTE(ADDRESS(1,MATCH(A89,INDIRECT("'"&amp;E89&amp;"'"&amp;"!A$5:Z$5"),0),4),1,"")),"")</f>
        <v>T</v>
      </c>
      <c r="D89" s="859" t="s">
        <v>1374</v>
      </c>
      <c r="E89" s="859" t="s">
        <v>874</v>
      </c>
      <c r="F89" s="859"/>
      <c r="G89" s="859"/>
      <c r="H89" s="859"/>
      <c r="I89" s="857" t="str">
        <f t="shared" si="12"/>
        <v/>
      </c>
      <c r="J89" s="1409"/>
      <c r="K89" s="1409" t="str">
        <f t="shared" si="13"/>
        <v/>
      </c>
      <c r="L89" s="896" t="s">
        <v>1198</v>
      </c>
      <c r="M89" s="1409">
        <v>126</v>
      </c>
      <c r="N89" s="859"/>
      <c r="O89" s="1408" t="s">
        <v>1194</v>
      </c>
      <c r="P89" s="1408"/>
      <c r="Q89" s="1408"/>
      <c r="R89" s="1408"/>
      <c r="S89" s="1408"/>
      <c r="T89" s="1408"/>
      <c r="U89" s="1408"/>
      <c r="V89" s="1408"/>
      <c r="W89" s="1408"/>
      <c r="X89" s="1408"/>
      <c r="Y89" s="1408"/>
      <c r="Z89" s="1408"/>
      <c r="AA89" s="1408"/>
    </row>
    <row r="90" spans="1:27" x14ac:dyDescent="0.25">
      <c r="A90" s="914" t="s">
        <v>1199</v>
      </c>
      <c r="B90" s="859" t="str">
        <f t="shared" ca="1" si="15"/>
        <v>U10</v>
      </c>
      <c r="C90" s="859" t="str">
        <f t="shared" ca="1" si="9"/>
        <v>U</v>
      </c>
      <c r="D90" s="859" t="s">
        <v>1374</v>
      </c>
      <c r="E90" s="859" t="s">
        <v>874</v>
      </c>
      <c r="F90" s="859"/>
      <c r="G90" s="859"/>
      <c r="H90" s="859"/>
      <c r="I90" s="857" t="str">
        <f t="shared" si="12"/>
        <v/>
      </c>
      <c r="J90" s="1409"/>
      <c r="K90" s="1409" t="str">
        <f t="shared" si="13"/>
        <v/>
      </c>
      <c r="L90" s="896" t="s">
        <v>1199</v>
      </c>
      <c r="M90" s="1409">
        <v>127</v>
      </c>
      <c r="N90" s="859"/>
      <c r="O90" s="1408"/>
      <c r="P90" s="1408"/>
      <c r="Q90" s="1408"/>
      <c r="R90" s="1408"/>
      <c r="S90" s="1408"/>
      <c r="T90" s="1408"/>
      <c r="U90" s="1408"/>
      <c r="V90" s="1408"/>
      <c r="W90" s="1408"/>
      <c r="X90" s="1408"/>
      <c r="Y90" s="1408"/>
      <c r="Z90" s="1408"/>
      <c r="AA90" s="1408"/>
    </row>
    <row r="91" spans="1:27" x14ac:dyDescent="0.25">
      <c r="A91" s="914" t="s">
        <v>1356</v>
      </c>
      <c r="B91" s="859" t="str">
        <f t="shared" ca="1" si="15"/>
        <v>V10</v>
      </c>
      <c r="C91" s="859" t="str">
        <f t="shared" ca="1" si="9"/>
        <v>V</v>
      </c>
      <c r="D91" s="859" t="s">
        <v>1374</v>
      </c>
      <c r="E91" s="859" t="s">
        <v>874</v>
      </c>
      <c r="F91" s="859"/>
      <c r="G91" s="859"/>
      <c r="H91" s="859"/>
      <c r="I91" s="857" t="str">
        <f t="shared" si="12"/>
        <v/>
      </c>
      <c r="J91" s="1409"/>
      <c r="K91" s="1409" t="str">
        <f t="shared" si="13"/>
        <v/>
      </c>
      <c r="L91" s="896" t="s">
        <v>1446</v>
      </c>
      <c r="M91" s="1409">
        <v>128</v>
      </c>
      <c r="N91" s="859"/>
      <c r="O91" s="1408"/>
      <c r="P91" s="1408"/>
      <c r="Q91" s="1408"/>
      <c r="R91" s="1408"/>
      <c r="S91" s="1408"/>
      <c r="T91" s="1408"/>
      <c r="U91" s="1408"/>
      <c r="V91" s="1408"/>
      <c r="W91" s="1408"/>
      <c r="X91" s="1408"/>
      <c r="Y91" s="1408"/>
      <c r="Z91" s="1408"/>
      <c r="AA91" s="1408"/>
    </row>
    <row r="92" spans="1:27" x14ac:dyDescent="0.25">
      <c r="A92" s="914" t="s">
        <v>1650</v>
      </c>
      <c r="B92" s="859" t="str">
        <f t="shared" ca="1" si="15"/>
        <v/>
      </c>
      <c r="C92" s="859" t="str">
        <f t="shared" ca="1" si="9"/>
        <v/>
      </c>
      <c r="D92" s="859" t="s">
        <v>1374</v>
      </c>
      <c r="E92" s="859" t="s">
        <v>874</v>
      </c>
      <c r="F92" s="859"/>
      <c r="G92" s="859"/>
      <c r="H92" s="859"/>
      <c r="I92" s="857" t="str">
        <f t="shared" si="12"/>
        <v/>
      </c>
      <c r="J92" s="1409" t="str">
        <f>IF(M92&lt;&gt;"",Q$1&amp;M92,"")</f>
        <v/>
      </c>
      <c r="K92" s="1409" t="str">
        <f t="shared" si="13"/>
        <v/>
      </c>
      <c r="L92" s="896" t="s">
        <v>1650</v>
      </c>
      <c r="M92" s="1409"/>
      <c r="N92" s="859"/>
      <c r="O92" s="1408"/>
      <c r="P92" s="1408"/>
      <c r="Q92" s="1408"/>
      <c r="R92" s="1408"/>
      <c r="S92" s="1408"/>
      <c r="T92" s="1408"/>
      <c r="U92" s="1408"/>
      <c r="V92" s="1408"/>
      <c r="W92" s="1408"/>
      <c r="X92" s="1408"/>
      <c r="Y92" s="1408"/>
      <c r="Z92" s="1408"/>
      <c r="AA92" s="1408"/>
    </row>
    <row r="93" spans="1:27" x14ac:dyDescent="0.25">
      <c r="A93" s="915" t="s">
        <v>1192</v>
      </c>
      <c r="B93" s="859" t="str">
        <f ca="1">_xlfn.IFNA(_xlfn.CONCAT(SUBSTITUTE(ADDRESS(1,MATCH(A93,INDIRECT("'"&amp;E93&amp;"'"&amp;"!A5:Z5"),0),4),1,""),11),"")</f>
        <v>H11</v>
      </c>
      <c r="C93" s="859" t="str">
        <f t="shared" ca="1" si="9"/>
        <v>H</v>
      </c>
      <c r="D93" s="859" t="s">
        <v>1374</v>
      </c>
      <c r="E93" s="859" t="s">
        <v>874</v>
      </c>
      <c r="F93" s="859"/>
      <c r="G93" s="859"/>
      <c r="H93" s="859"/>
      <c r="I93" s="857" t="str">
        <f t="shared" si="12"/>
        <v>Pyramid Segment</v>
      </c>
      <c r="J93" s="1409" t="str">
        <f>IF(AND(P1226="",M93&lt;&gt;""),Q$1&amp;M93,"")</f>
        <v>F140</v>
      </c>
      <c r="K93" s="1409" t="str">
        <f t="shared" si="13"/>
        <v>Customer Inputs</v>
      </c>
      <c r="L93" s="859" t="s">
        <v>1192</v>
      </c>
      <c r="M93" s="1409">
        <v>140</v>
      </c>
      <c r="N93" s="859"/>
      <c r="O93" s="1408"/>
      <c r="P93" s="1408"/>
      <c r="Q93" s="1408"/>
      <c r="R93" s="1408"/>
      <c r="S93" s="1408"/>
      <c r="T93" s="1408"/>
      <c r="U93" s="1408"/>
      <c r="V93" s="1408"/>
      <c r="W93" s="1408"/>
      <c r="X93" s="1408"/>
      <c r="Y93" s="1408"/>
      <c r="Z93" s="1408"/>
      <c r="AA93" s="1408"/>
    </row>
    <row r="94" spans="1:27" ht="30" x14ac:dyDescent="0.25">
      <c r="A94" s="916" t="s">
        <v>1274</v>
      </c>
      <c r="B94" s="859" t="str">
        <f t="shared" ref="B94:B102" ca="1" si="16">_xlfn.IFNA(_xlfn.CONCAT(SUBSTITUTE(ADDRESS(1,MATCH(A94,INDIRECT("'"&amp;E94&amp;"'"&amp;"!A5:Z5"),0),4),1,""),11),"")</f>
        <v>I11</v>
      </c>
      <c r="C94" s="859" t="str">
        <f t="shared" ca="1" si="9"/>
        <v>I</v>
      </c>
      <c r="D94" s="859" t="s">
        <v>1374</v>
      </c>
      <c r="E94" s="859" t="s">
        <v>874</v>
      </c>
      <c r="F94" s="859"/>
      <c r="G94" s="859"/>
      <c r="H94" s="859"/>
      <c r="I94" s="857" t="str">
        <f t="shared" si="12"/>
        <v>Agreement Annual Purchase Commitment</v>
      </c>
      <c r="J94" s="1409" t="str">
        <f>Q$1&amp;IF(Q94&lt;&gt;"",M94,M96)</f>
        <v>F144</v>
      </c>
      <c r="K94" s="1409" t="str">
        <f t="shared" si="13"/>
        <v>Customer Inputs</v>
      </c>
      <c r="L94" s="52" t="s">
        <v>1274</v>
      </c>
      <c r="M94" s="1409">
        <v>142</v>
      </c>
      <c r="N94" s="859"/>
      <c r="O94" s="1408"/>
      <c r="P94" s="1408"/>
      <c r="Q94" s="1408"/>
      <c r="R94" s="1408"/>
      <c r="S94" s="1408"/>
      <c r="T94" s="1408"/>
      <c r="U94" s="1408"/>
      <c r="V94" s="1408"/>
      <c r="W94" s="1408"/>
      <c r="X94" s="1408"/>
      <c r="Y94" s="1408"/>
      <c r="Z94" s="1408"/>
      <c r="AA94" s="1408"/>
    </row>
    <row r="95" spans="1:27" ht="30" x14ac:dyDescent="0.25">
      <c r="A95" s="915" t="s">
        <v>1275</v>
      </c>
      <c r="B95" s="859" t="str">
        <f t="shared" ca="1" si="16"/>
        <v>J11</v>
      </c>
      <c r="C95" s="859" t="str">
        <f t="shared" ca="1" si="9"/>
        <v>J</v>
      </c>
      <c r="D95" s="859" t="s">
        <v>1374</v>
      </c>
      <c r="E95" s="859" t="s">
        <v>874</v>
      </c>
      <c r="F95" s="859"/>
      <c r="G95" s="859"/>
      <c r="H95" s="859"/>
      <c r="I95" s="857" t="str">
        <f t="shared" si="12"/>
        <v>Agreement Deliveries Per Customer Unit Per Week</v>
      </c>
      <c r="J95" s="1409" t="str">
        <f>Q$1&amp;IF(Q95&lt;&gt;"",M95,M97)</f>
        <v>F145</v>
      </c>
      <c r="K95" s="1409" t="str">
        <f t="shared" si="13"/>
        <v>Customer Inputs</v>
      </c>
      <c r="L95" s="859" t="s">
        <v>1275</v>
      </c>
      <c r="M95" s="1409">
        <v>143</v>
      </c>
      <c r="N95" s="859"/>
      <c r="O95" s="1408"/>
      <c r="P95" s="1408"/>
      <c r="Q95" s="1408"/>
      <c r="R95" s="1408"/>
      <c r="S95" s="1408"/>
      <c r="T95" s="1408"/>
      <c r="U95" s="1408"/>
      <c r="V95" s="1408"/>
      <c r="W95" s="1408"/>
      <c r="X95" s="1408"/>
      <c r="Y95" s="1408"/>
      <c r="Z95" s="1408"/>
      <c r="AA95" s="1408"/>
    </row>
    <row r="96" spans="1:27" x14ac:dyDescent="0.25">
      <c r="A96" s="915" t="s">
        <v>1195</v>
      </c>
      <c r="B96" s="859" t="str">
        <f ca="1">IFERROR(_xlfn.CONCAT(IF('Customer Inputs'!$U$11="Existing",IF('Customer Inputs'!P11=0,SUBSTITUTE(ADDRESS(1,MATCH(O96,INDIRECT("'"&amp;E96&amp;"'"&amp;"!$A$5:$Z$5"),0),4),1,""),SUBSTITUTE(ADDRESS(1,MATCH(A96,INDIRECT("'"&amp;E96&amp;"'"&amp;"!A$5:Z$5"),0),4),1,"")),SUBSTITUTE(ADDRESS(1,MATCH(A96,INDIRECT("'"&amp;E96&amp;"'"&amp;"!A$5:Z$5"),0),4),1,"")),11),"")</f>
        <v>P11</v>
      </c>
      <c r="C96" s="859" t="str">
        <f ca="1">IFERROR(IF('Customer Inputs'!$U$11="Existing",IF('Customer Inputs'!P11=0,SUBSTITUTE(ADDRESS(1,MATCH(O96,INDIRECT("'"&amp;E96&amp;"'"&amp;"!$A$5:$Z$5"),0),4),1,""),SUBSTITUTE(ADDRESS(1,MATCH(A96,INDIRECT("'"&amp;E96&amp;"'"&amp;"!A$5:Z$5"),0),4),1,"")),SUBSTITUTE(ADDRESS(1,MATCH(A96,INDIRECT("'"&amp;E96&amp;"'"&amp;"!A$5:Z$5"),0),4),1,"")),"")</f>
        <v>P</v>
      </c>
      <c r="D96" s="859" t="s">
        <v>1374</v>
      </c>
      <c r="E96" s="859" t="s">
        <v>874</v>
      </c>
      <c r="F96" s="859"/>
      <c r="G96" s="859"/>
      <c r="H96" s="859"/>
      <c r="I96" s="857" t="str">
        <f t="shared" si="12"/>
        <v/>
      </c>
      <c r="J96" s="1409"/>
      <c r="K96" s="1409" t="str">
        <f t="shared" si="13"/>
        <v/>
      </c>
      <c r="L96" s="859" t="s">
        <v>1195</v>
      </c>
      <c r="M96" s="1409">
        <v>144</v>
      </c>
      <c r="N96" s="859"/>
      <c r="O96" s="1408" t="s">
        <v>872</v>
      </c>
      <c r="P96" s="1408"/>
      <c r="Q96" s="1408"/>
      <c r="R96" s="1408"/>
      <c r="S96" s="1408"/>
      <c r="T96" s="1408"/>
      <c r="U96" s="1408"/>
      <c r="V96" s="1408"/>
      <c r="W96" s="1408"/>
      <c r="X96" s="1408"/>
      <c r="Y96" s="1408"/>
      <c r="Z96" s="1408"/>
      <c r="AA96" s="1408"/>
    </row>
    <row r="97" spans="1:27" x14ac:dyDescent="0.25">
      <c r="A97" s="917" t="s">
        <v>1196</v>
      </c>
      <c r="B97" s="859" t="str">
        <f ca="1">IFERROR(_xlfn.CONCAT(IF('Customer Inputs'!$U$11="Existing",IF('Customer Inputs'!Q11=0,SUBSTITUTE(ADDRESS(1,MATCH(O97,INDIRECT("'"&amp;E97&amp;"'"&amp;"!$A$5:$Z$5"),0),4),1,""),SUBSTITUTE(ADDRESS(1,MATCH(A97,INDIRECT("'"&amp;E97&amp;"'"&amp;"!A$5:Z$5"),0),4),1,"")),SUBSTITUTE(ADDRESS(1,MATCH(A97,INDIRECT("'"&amp;E97&amp;"'"&amp;"!A$5:Z$5"),0),4),1,"")),11),"")</f>
        <v>Q11</v>
      </c>
      <c r="C97" s="859" t="str">
        <f ca="1">IFERROR(IF('Customer Inputs'!$U$11="Existing",IF('Customer Inputs'!Q11=0,SUBSTITUTE(ADDRESS(1,MATCH(O97,INDIRECT("'"&amp;E97&amp;"'"&amp;"!$A$5:$Z$5"),0),4),1,""),SUBSTITUTE(ADDRESS(1,MATCH(A97,INDIRECT("'"&amp;E97&amp;"'"&amp;"!A$5:Z$5"),0),4),1,"")),SUBSTITUTE(ADDRESS(1,MATCH(A97,INDIRECT("'"&amp;E97&amp;"'"&amp;"!A$5:Z$5"),0),4),1,"")),"")</f>
        <v>Q</v>
      </c>
      <c r="D97" s="859" t="s">
        <v>1374</v>
      </c>
      <c r="E97" s="859" t="s">
        <v>874</v>
      </c>
      <c r="F97" s="859"/>
      <c r="G97" s="859"/>
      <c r="H97" s="859"/>
      <c r="I97" s="857" t="str">
        <f t="shared" si="12"/>
        <v/>
      </c>
      <c r="J97" s="1409"/>
      <c r="K97" s="1409" t="str">
        <f t="shared" si="13"/>
        <v/>
      </c>
      <c r="L97" s="896" t="s">
        <v>1196</v>
      </c>
      <c r="M97" s="1409">
        <v>145</v>
      </c>
      <c r="N97" s="859"/>
      <c r="O97" s="1408" t="s">
        <v>1193</v>
      </c>
      <c r="P97" s="1408"/>
      <c r="Q97" s="1408"/>
      <c r="R97" s="1408"/>
      <c r="S97" s="1408"/>
      <c r="T97" s="1408"/>
      <c r="U97" s="1408"/>
      <c r="V97" s="1408"/>
      <c r="W97" s="1408"/>
      <c r="X97" s="1408"/>
      <c r="Y97" s="1408"/>
      <c r="Z97" s="1408"/>
      <c r="AA97" s="1408"/>
    </row>
    <row r="98" spans="1:27" x14ac:dyDescent="0.25">
      <c r="A98" s="917" t="s">
        <v>1197</v>
      </c>
      <c r="B98" s="859" t="str">
        <f ca="1">IFERROR(_xlfn.CONCAT(IF('Customer Inputs'!$U$11="Existing",IF('Customer Inputs'!R11=0,SUBSTITUTE(ADDRESS(1,MATCH(O98,INDIRECT("'"&amp;E98&amp;"'"&amp;"!$A$5:$Z$5"),0),4),1,""),SUBSTITUTE(ADDRESS(1,MATCH(A98,INDIRECT("'"&amp;E98&amp;"'"&amp;"!A$5:Z$5"),0),4),1,"")),SUBSTITUTE(ADDRESS(1,MATCH(A98,INDIRECT("'"&amp;E98&amp;"'"&amp;"!A$5:Z$5"),0),4),1,"")),11),"")</f>
        <v>R11</v>
      </c>
      <c r="C98" s="859" t="str">
        <f ca="1">IFERROR(IF('Customer Inputs'!$U$11="Existing",IF('Customer Inputs'!R11=0,SUBSTITUTE(ADDRESS(1,MATCH(O98,INDIRECT("'"&amp;E98&amp;"'"&amp;"!$A$5:$Z$5"),0),4),1,""),SUBSTITUTE(ADDRESS(1,MATCH(A98,INDIRECT("'"&amp;E98&amp;"'"&amp;"!A$5:Z$5"),0),4),1,"")),SUBSTITUTE(ADDRESS(1,MATCH(A98,INDIRECT("'"&amp;E98&amp;"'"&amp;"!A$5:Z$5"),0),4),1,"")),"")</f>
        <v>R</v>
      </c>
      <c r="D98" s="859" t="s">
        <v>1374</v>
      </c>
      <c r="E98" s="859" t="s">
        <v>874</v>
      </c>
      <c r="F98" s="859"/>
      <c r="G98" s="859"/>
      <c r="H98" s="859"/>
      <c r="I98" s="857" t="str">
        <f t="shared" si="12"/>
        <v/>
      </c>
      <c r="J98" s="1409"/>
      <c r="K98" s="1409" t="str">
        <f t="shared" si="13"/>
        <v/>
      </c>
      <c r="L98" s="896" t="s">
        <v>1197</v>
      </c>
      <c r="M98" s="1409">
        <v>146</v>
      </c>
      <c r="N98" s="859"/>
      <c r="O98" s="1408" t="s">
        <v>1200</v>
      </c>
      <c r="P98" s="1408"/>
      <c r="Q98" s="1408"/>
      <c r="R98" s="1408"/>
      <c r="S98" s="1408"/>
      <c r="T98" s="1408"/>
      <c r="U98" s="1408"/>
      <c r="V98" s="1408"/>
      <c r="W98" s="1408"/>
      <c r="X98" s="1408"/>
      <c r="Y98" s="1408"/>
      <c r="Z98" s="1408"/>
      <c r="AA98" s="1408"/>
    </row>
    <row r="99" spans="1:27" x14ac:dyDescent="0.25">
      <c r="A99" s="917" t="s">
        <v>1198</v>
      </c>
      <c r="B99" s="859" t="str">
        <f ca="1">IFERROR(_xlfn.CONCAT(IF('Customer Inputs'!$U$11="Existing",IF('Customer Inputs'!T11=0,SUBSTITUTE(ADDRESS(1,MATCH(O99,INDIRECT("'"&amp;E99&amp;"'"&amp;"!$A$5:$Z$5"),0),4),1,""),SUBSTITUTE(ADDRESS(1,MATCH(A99,INDIRECT("'"&amp;E99&amp;"'"&amp;"!A$5:Z$5"),0),4),1,"")),SUBSTITUTE(ADDRESS(1,MATCH(A99,INDIRECT("'"&amp;E99&amp;"'"&amp;"!A$5:Z$5"),0),4),1,"")),11),"")</f>
        <v>T11</v>
      </c>
      <c r="C99" s="859" t="str">
        <f ca="1">IFERROR(IF('Customer Inputs'!$U$11="Existing",IF('Customer Inputs'!T11=0,SUBSTITUTE(ADDRESS(1,MATCH(O99,INDIRECT("'"&amp;E99&amp;"'"&amp;"!$A$5:$Z$5"),0),4),1,""),SUBSTITUTE(ADDRESS(1,MATCH(A99,INDIRECT("'"&amp;E99&amp;"'"&amp;"!A$5:Z$5"),0),4),1,"")),SUBSTITUTE(ADDRESS(1,MATCH(A99,INDIRECT("'"&amp;E99&amp;"'"&amp;"!A$5:Z$5"),0),4),1,"")),"")</f>
        <v>T</v>
      </c>
      <c r="D99" s="859" t="s">
        <v>1374</v>
      </c>
      <c r="E99" s="918" t="s">
        <v>874</v>
      </c>
      <c r="F99" s="1409"/>
      <c r="G99" s="1409"/>
      <c r="H99" s="1409"/>
      <c r="I99" s="857" t="str">
        <f t="shared" si="12"/>
        <v/>
      </c>
      <c r="J99" s="1409"/>
      <c r="K99" s="1409" t="str">
        <f t="shared" si="13"/>
        <v/>
      </c>
      <c r="L99" s="896" t="s">
        <v>1198</v>
      </c>
      <c r="M99" s="1409">
        <v>147</v>
      </c>
      <c r="N99" s="1409"/>
      <c r="O99" s="1408" t="s">
        <v>1194</v>
      </c>
      <c r="P99" s="1408"/>
      <c r="Q99" s="1408"/>
      <c r="R99" s="1408"/>
      <c r="S99" s="1408"/>
      <c r="T99" s="1408"/>
      <c r="U99" s="1408"/>
      <c r="V99" s="1408"/>
      <c r="W99" s="1408"/>
      <c r="X99" s="1408"/>
      <c r="Y99" s="1408"/>
      <c r="Z99" s="1408"/>
      <c r="AA99" s="1408"/>
    </row>
    <row r="100" spans="1:27" x14ac:dyDescent="0.25">
      <c r="A100" s="917" t="s">
        <v>1199</v>
      </c>
      <c r="B100" s="859" t="str">
        <f t="shared" ca="1" si="16"/>
        <v>U11</v>
      </c>
      <c r="C100" s="859" t="str">
        <f t="shared" ca="1" si="9"/>
        <v>U</v>
      </c>
      <c r="D100" s="859" t="s">
        <v>1374</v>
      </c>
      <c r="E100" s="918" t="s">
        <v>874</v>
      </c>
      <c r="F100" s="1409"/>
      <c r="G100" s="1409"/>
      <c r="H100" s="1409"/>
      <c r="I100" s="857" t="str">
        <f t="shared" si="12"/>
        <v/>
      </c>
      <c r="J100" s="1409"/>
      <c r="K100" s="1409" t="str">
        <f t="shared" si="13"/>
        <v/>
      </c>
      <c r="L100" s="896" t="s">
        <v>1199</v>
      </c>
      <c r="M100" s="1409">
        <v>148</v>
      </c>
      <c r="N100" s="1409"/>
      <c r="O100" s="1408"/>
      <c r="P100" s="1408"/>
      <c r="Q100" s="1408"/>
      <c r="R100" s="1408"/>
      <c r="S100" s="1408"/>
      <c r="T100" s="1408"/>
      <c r="U100" s="1408"/>
      <c r="V100" s="1408"/>
      <c r="W100" s="1408"/>
      <c r="X100" s="1408"/>
      <c r="Y100" s="1408"/>
      <c r="Z100" s="1408"/>
      <c r="AA100" s="1408"/>
    </row>
    <row r="101" spans="1:27" x14ac:dyDescent="0.25">
      <c r="A101" s="917" t="s">
        <v>1356</v>
      </c>
      <c r="B101" s="859" t="str">
        <f t="shared" ca="1" si="16"/>
        <v>V11</v>
      </c>
      <c r="C101" s="859" t="str">
        <f t="shared" ca="1" si="9"/>
        <v>V</v>
      </c>
      <c r="D101" s="859" t="s">
        <v>1374</v>
      </c>
      <c r="E101" s="918" t="s">
        <v>874</v>
      </c>
      <c r="F101" s="1409"/>
      <c r="G101" s="1409"/>
      <c r="H101" s="1409"/>
      <c r="I101" s="857" t="str">
        <f t="shared" si="12"/>
        <v/>
      </c>
      <c r="J101" s="1409"/>
      <c r="K101" s="1409" t="str">
        <f t="shared" si="13"/>
        <v/>
      </c>
      <c r="L101" s="896" t="s">
        <v>1446</v>
      </c>
      <c r="M101" s="1409">
        <v>149</v>
      </c>
      <c r="N101" s="1409"/>
      <c r="O101" s="1408"/>
      <c r="P101" s="1408"/>
      <c r="Q101" s="1408"/>
      <c r="R101" s="1408"/>
      <c r="S101" s="1408"/>
      <c r="T101" s="1408"/>
      <c r="U101" s="1408"/>
      <c r="V101" s="1408"/>
      <c r="W101" s="1408"/>
      <c r="X101" s="1408"/>
      <c r="Y101" s="1408"/>
      <c r="Z101" s="1408"/>
      <c r="AA101" s="1408"/>
    </row>
    <row r="102" spans="1:27" x14ac:dyDescent="0.25">
      <c r="A102" s="917" t="s">
        <v>1650</v>
      </c>
      <c r="B102" s="859" t="str">
        <f t="shared" ca="1" si="16"/>
        <v/>
      </c>
      <c r="C102" s="859" t="str">
        <f t="shared" ca="1" si="9"/>
        <v/>
      </c>
      <c r="D102" s="859" t="s">
        <v>1374</v>
      </c>
      <c r="E102" s="918" t="s">
        <v>874</v>
      </c>
      <c r="F102" s="1409"/>
      <c r="G102" s="1409"/>
      <c r="H102" s="1409"/>
      <c r="I102" s="857" t="str">
        <f t="shared" si="12"/>
        <v/>
      </c>
      <c r="J102" s="1409" t="str">
        <f>IF(M102&lt;&gt;"",Q$1&amp;M102,"")</f>
        <v/>
      </c>
      <c r="K102" s="1409" t="str">
        <f t="shared" si="13"/>
        <v/>
      </c>
      <c r="L102" s="896" t="s">
        <v>1650</v>
      </c>
      <c r="M102" s="1409"/>
      <c r="N102" s="1409"/>
      <c r="O102" s="1408"/>
      <c r="P102" s="1408"/>
      <c r="Q102" s="1408"/>
      <c r="R102" s="1408"/>
      <c r="S102" s="1408"/>
      <c r="T102" s="1408"/>
      <c r="U102" s="1408"/>
      <c r="V102" s="1408"/>
      <c r="W102" s="1408"/>
      <c r="X102" s="1408"/>
      <c r="Y102" s="1408"/>
      <c r="Z102" s="1408"/>
      <c r="AA102" s="1408"/>
    </row>
    <row r="103" spans="1:27" x14ac:dyDescent="0.25">
      <c r="A103" s="912" t="s">
        <v>1192</v>
      </c>
      <c r="B103" s="859" t="str">
        <f ca="1">_xlfn.IFNA(_xlfn.CONCAT(SUBSTITUTE(ADDRESS(1,MATCH(A103,INDIRECT("'"&amp;E103&amp;"'"&amp;"!A5:Z5"),0),4),1,""),12),"")</f>
        <v>H12</v>
      </c>
      <c r="C103" s="859" t="str">
        <f t="shared" ca="1" si="9"/>
        <v>H</v>
      </c>
      <c r="D103" s="859" t="s">
        <v>1374</v>
      </c>
      <c r="E103" s="918" t="s">
        <v>874</v>
      </c>
      <c r="F103" s="1409"/>
      <c r="G103" s="1409"/>
      <c r="H103" s="1409"/>
      <c r="I103" s="857" t="str">
        <f t="shared" si="12"/>
        <v>Pyramid Segment</v>
      </c>
      <c r="J103" s="1409" t="str">
        <f>IF(AND(P1227="",M103&lt;&gt;""),Q$1&amp;M103,"")</f>
        <v>F161</v>
      </c>
      <c r="K103" s="1409" t="str">
        <f t="shared" si="13"/>
        <v>Customer Inputs</v>
      </c>
      <c r="L103" s="859" t="s">
        <v>1192</v>
      </c>
      <c r="M103" s="1409">
        <v>161</v>
      </c>
      <c r="N103" s="1409"/>
      <c r="O103" s="1408"/>
      <c r="P103" s="1408"/>
      <c r="Q103" s="1408"/>
      <c r="R103" s="1408"/>
      <c r="S103" s="1408"/>
      <c r="T103" s="1408"/>
      <c r="U103" s="1408"/>
      <c r="V103" s="1408"/>
      <c r="W103" s="1408"/>
      <c r="X103" s="1408"/>
      <c r="Y103" s="1408"/>
      <c r="Z103" s="1408"/>
      <c r="AA103" s="1408"/>
    </row>
    <row r="104" spans="1:27" ht="30" x14ac:dyDescent="0.25">
      <c r="A104" s="913" t="s">
        <v>1274</v>
      </c>
      <c r="B104" s="859" t="str">
        <f t="shared" ref="B104:B112" ca="1" si="17">_xlfn.IFNA(_xlfn.CONCAT(SUBSTITUTE(ADDRESS(1,MATCH(A104,INDIRECT("'"&amp;E104&amp;"'"&amp;"!A5:Z5"),0),4),1,""),12),"")</f>
        <v>I12</v>
      </c>
      <c r="C104" s="859" t="str">
        <f t="shared" ca="1" si="9"/>
        <v>I</v>
      </c>
      <c r="D104" s="859" t="s">
        <v>1374</v>
      </c>
      <c r="E104" s="918" t="s">
        <v>874</v>
      </c>
      <c r="F104" s="1409"/>
      <c r="G104" s="1409"/>
      <c r="H104" s="1409"/>
      <c r="I104" s="857" t="str">
        <f t="shared" si="12"/>
        <v>Agreement Annual Purchase Commitment</v>
      </c>
      <c r="J104" s="1409" t="str">
        <f>Q$1&amp;IF(Q104&lt;&gt;"",M104,M106)</f>
        <v>F165</v>
      </c>
      <c r="K104" s="1409" t="str">
        <f t="shared" si="13"/>
        <v>Customer Inputs</v>
      </c>
      <c r="L104" s="52" t="s">
        <v>1274</v>
      </c>
      <c r="M104" s="1409">
        <v>163</v>
      </c>
      <c r="N104" s="1409"/>
      <c r="O104" s="1408"/>
      <c r="P104" s="1408"/>
      <c r="Q104" s="1408"/>
      <c r="R104" s="1408"/>
      <c r="S104" s="1408"/>
      <c r="T104" s="1408"/>
      <c r="U104" s="1408"/>
      <c r="V104" s="1408"/>
      <c r="W104" s="1408"/>
      <c r="X104" s="1408"/>
      <c r="Y104" s="1408"/>
      <c r="Z104" s="1408"/>
      <c r="AA104" s="1408"/>
    </row>
    <row r="105" spans="1:27" ht="30" x14ac:dyDescent="0.25">
      <c r="A105" s="912" t="s">
        <v>1275</v>
      </c>
      <c r="B105" s="859" t="str">
        <f t="shared" ca="1" si="17"/>
        <v>J12</v>
      </c>
      <c r="C105" s="859" t="str">
        <f t="shared" ca="1" si="9"/>
        <v>J</v>
      </c>
      <c r="D105" s="859" t="s">
        <v>1374</v>
      </c>
      <c r="E105" s="918" t="s">
        <v>874</v>
      </c>
      <c r="F105" s="1409"/>
      <c r="G105" s="1409"/>
      <c r="H105" s="1409"/>
      <c r="I105" s="857" t="str">
        <f t="shared" si="12"/>
        <v>Agreement Deliveries Per Customer Unit Per Week</v>
      </c>
      <c r="J105" s="1409" t="str">
        <f>Q$1&amp;IF(Q105&lt;&gt;"",M105,M107)</f>
        <v>F166</v>
      </c>
      <c r="K105" s="1409" t="str">
        <f t="shared" si="13"/>
        <v>Customer Inputs</v>
      </c>
      <c r="L105" s="859" t="s">
        <v>1275</v>
      </c>
      <c r="M105" s="1409">
        <v>164</v>
      </c>
      <c r="N105" s="1409"/>
      <c r="O105" s="1408"/>
      <c r="P105" s="1408"/>
      <c r="Q105" s="1408"/>
      <c r="R105" s="1408"/>
      <c r="S105" s="1408"/>
      <c r="T105" s="1408"/>
      <c r="U105" s="1408"/>
      <c r="V105" s="1408"/>
      <c r="W105" s="1408"/>
      <c r="X105" s="1408"/>
      <c r="Y105" s="1408"/>
      <c r="Z105" s="1408"/>
      <c r="AA105" s="1408"/>
    </row>
    <row r="106" spans="1:27" x14ac:dyDescent="0.25">
      <c r="A106" s="912" t="s">
        <v>1195</v>
      </c>
      <c r="B106" s="859" t="str">
        <f ca="1">IFERROR(_xlfn.CONCAT(IF('Customer Inputs'!$U$12="Existing",IF('Customer Inputs'!P12=0,SUBSTITUTE(ADDRESS(1,MATCH(O106,INDIRECT("'"&amp;E106&amp;"'"&amp;"!$A$5:$Z$5"),0),4),1,""),SUBSTITUTE(ADDRESS(1,MATCH(A106,INDIRECT("'"&amp;E106&amp;"'"&amp;"!A$5:Z$5"),0),4),1,"")),SUBSTITUTE(ADDRESS(1,MATCH(A106,INDIRECT("'"&amp;E106&amp;"'"&amp;"!A$5:Z$5"),0),4),1,"")),12),"")</f>
        <v>P12</v>
      </c>
      <c r="C106" s="859" t="str">
        <f ca="1">IFERROR(IF('Customer Inputs'!$U$12="Existing",IF('Customer Inputs'!P12=0,SUBSTITUTE(ADDRESS(1,MATCH(O106,INDIRECT("'"&amp;E106&amp;"'"&amp;"!$A$5:$Z$5"),0),4),1,""),SUBSTITUTE(ADDRESS(1,MATCH(A106,INDIRECT("'"&amp;E106&amp;"'"&amp;"!A$5:Z$5"),0),4),1,"")),SUBSTITUTE(ADDRESS(1,MATCH(A106,INDIRECT("'"&amp;E106&amp;"'"&amp;"!A$5:Z$5"),0),4),1,"")),"")</f>
        <v>P</v>
      </c>
      <c r="D106" s="859" t="s">
        <v>1374</v>
      </c>
      <c r="E106" s="918" t="s">
        <v>874</v>
      </c>
      <c r="F106" s="1409"/>
      <c r="G106" s="1409"/>
      <c r="H106" s="1409"/>
      <c r="I106" s="857" t="str">
        <f t="shared" si="12"/>
        <v/>
      </c>
      <c r="J106" s="1409"/>
      <c r="K106" s="1409" t="str">
        <f t="shared" si="13"/>
        <v/>
      </c>
      <c r="L106" s="859" t="s">
        <v>1195</v>
      </c>
      <c r="M106" s="1409">
        <v>165</v>
      </c>
      <c r="N106" s="1409"/>
      <c r="O106" s="1408" t="s">
        <v>872</v>
      </c>
      <c r="P106" s="1408"/>
      <c r="Q106" s="1408"/>
      <c r="R106" s="1408"/>
      <c r="S106" s="1408"/>
      <c r="T106" s="1408"/>
      <c r="U106" s="1408"/>
      <c r="V106" s="1408"/>
      <c r="W106" s="1408"/>
      <c r="X106" s="1408"/>
      <c r="Y106" s="1408"/>
      <c r="Z106" s="1408"/>
      <c r="AA106" s="1408"/>
    </row>
    <row r="107" spans="1:27" x14ac:dyDescent="0.25">
      <c r="A107" s="914" t="s">
        <v>1196</v>
      </c>
      <c r="B107" s="859" t="str">
        <f ca="1">IFERROR(_xlfn.CONCAT(IF('Customer Inputs'!$U$12="Existing",IF('Customer Inputs'!Q12=0,SUBSTITUTE(ADDRESS(1,MATCH(O107,INDIRECT("'"&amp;E107&amp;"'"&amp;"!$A$5:$Z$5"),0),4),1,""),SUBSTITUTE(ADDRESS(1,MATCH(A107,INDIRECT("'"&amp;E107&amp;"'"&amp;"!A$5:Z$5"),0),4),1,"")),SUBSTITUTE(ADDRESS(1,MATCH(A107,INDIRECT("'"&amp;E107&amp;"'"&amp;"!A$5:Z$5"),0),4),1,"")),12),"")</f>
        <v>Q12</v>
      </c>
      <c r="C107" s="859" t="str">
        <f ca="1">IFERROR(IF('Customer Inputs'!$U$12="Existing",IF('Customer Inputs'!Q12=0,SUBSTITUTE(ADDRESS(1,MATCH(O107,INDIRECT("'"&amp;E107&amp;"'"&amp;"!$A$5:$Z$5"),0),4),1,""),SUBSTITUTE(ADDRESS(1,MATCH(A107,INDIRECT("'"&amp;E107&amp;"'"&amp;"!A$5:Z$5"),0),4),1,"")),SUBSTITUTE(ADDRESS(1,MATCH(A107,INDIRECT("'"&amp;E107&amp;"'"&amp;"!A$5:Z$5"),0),4),1,"")),"")</f>
        <v>Q</v>
      </c>
      <c r="D107" s="859" t="s">
        <v>1374</v>
      </c>
      <c r="E107" s="918" t="s">
        <v>874</v>
      </c>
      <c r="F107" s="1409"/>
      <c r="G107" s="1409"/>
      <c r="H107" s="1409"/>
      <c r="I107" s="857" t="str">
        <f t="shared" si="12"/>
        <v/>
      </c>
      <c r="J107" s="1409"/>
      <c r="K107" s="1409" t="str">
        <f t="shared" si="13"/>
        <v/>
      </c>
      <c r="L107" s="896" t="s">
        <v>1196</v>
      </c>
      <c r="M107" s="1409">
        <v>166</v>
      </c>
      <c r="N107" s="1409"/>
      <c r="O107" s="1408" t="s">
        <v>1193</v>
      </c>
      <c r="P107" s="1408"/>
      <c r="Q107" s="1408"/>
      <c r="R107" s="1408"/>
      <c r="S107" s="1408"/>
      <c r="T107" s="1408"/>
      <c r="U107" s="1408"/>
      <c r="V107" s="1408"/>
      <c r="W107" s="1408"/>
      <c r="X107" s="1408"/>
      <c r="Y107" s="1408"/>
      <c r="Z107" s="1408"/>
      <c r="AA107" s="1408"/>
    </row>
    <row r="108" spans="1:27" x14ac:dyDescent="0.25">
      <c r="A108" s="914" t="s">
        <v>1197</v>
      </c>
      <c r="B108" s="859" t="str">
        <f ca="1">IFERROR(_xlfn.CONCAT(IF('Customer Inputs'!$U$12="Existing",IF('Customer Inputs'!R12=0,SUBSTITUTE(ADDRESS(1,MATCH(O108,INDIRECT("'"&amp;E108&amp;"'"&amp;"!$A$5:$Z$5"),0),4),1,""),SUBSTITUTE(ADDRESS(1,MATCH(A108,INDIRECT("'"&amp;E108&amp;"'"&amp;"!A$5:Z$5"),0),4),1,"")),SUBSTITUTE(ADDRESS(1,MATCH(A108,INDIRECT("'"&amp;E108&amp;"'"&amp;"!A$5:Z$5"),0),4),1,"")),12),"")</f>
        <v>R12</v>
      </c>
      <c r="C108" s="859" t="str">
        <f ca="1">IFERROR(IF('Customer Inputs'!$U$12="Existing",IF('Customer Inputs'!R12=0,SUBSTITUTE(ADDRESS(1,MATCH(O108,INDIRECT("'"&amp;E108&amp;"'"&amp;"!$A$5:$Z$5"),0),4),1,""),SUBSTITUTE(ADDRESS(1,MATCH(A108,INDIRECT("'"&amp;E108&amp;"'"&amp;"!A$5:Z$5"),0),4),1,"")),SUBSTITUTE(ADDRESS(1,MATCH(A108,INDIRECT("'"&amp;E108&amp;"'"&amp;"!A$5:Z$5"),0),4),1,"")),"")</f>
        <v>R</v>
      </c>
      <c r="D108" s="859" t="s">
        <v>1374</v>
      </c>
      <c r="E108" s="918" t="s">
        <v>874</v>
      </c>
      <c r="F108" s="1409"/>
      <c r="G108" s="1409"/>
      <c r="H108" s="1409"/>
      <c r="I108" s="857" t="str">
        <f t="shared" si="12"/>
        <v/>
      </c>
      <c r="J108" s="1409"/>
      <c r="K108" s="1409" t="str">
        <f t="shared" si="13"/>
        <v/>
      </c>
      <c r="L108" s="896" t="s">
        <v>1197</v>
      </c>
      <c r="M108" s="1409">
        <v>167</v>
      </c>
      <c r="N108" s="1409"/>
      <c r="O108" s="1408" t="s">
        <v>1200</v>
      </c>
      <c r="P108" s="1408"/>
      <c r="Q108" s="1408"/>
      <c r="R108" s="1408"/>
      <c r="S108" s="1408"/>
      <c r="T108" s="1408"/>
      <c r="U108" s="1408"/>
      <c r="V108" s="1408"/>
      <c r="W108" s="1408"/>
      <c r="X108" s="1408"/>
      <c r="Y108" s="1408"/>
      <c r="Z108" s="1408"/>
      <c r="AA108" s="1408"/>
    </row>
    <row r="109" spans="1:27" x14ac:dyDescent="0.25">
      <c r="A109" s="914" t="s">
        <v>1198</v>
      </c>
      <c r="B109" s="859" t="str">
        <f ca="1">IFERROR(_xlfn.CONCAT(IF('Customer Inputs'!$U$12="Existing",IF('Customer Inputs'!T12=0,SUBSTITUTE(ADDRESS(1,MATCH(O109,INDIRECT("'"&amp;E109&amp;"'"&amp;"!$A$5:$Z$5"),0),4),1,""),SUBSTITUTE(ADDRESS(1,MATCH(A109,INDIRECT("'"&amp;E109&amp;"'"&amp;"!A$5:Z$5"),0),4),1,"")),SUBSTITUTE(ADDRESS(1,MATCH(A109,INDIRECT("'"&amp;E109&amp;"'"&amp;"!A$5:Z$5"),0),4),1,"")),12),"")</f>
        <v>T12</v>
      </c>
      <c r="C109" s="859" t="str">
        <f ca="1">IFERROR(IF('Customer Inputs'!$U$12="Existing",IF('Customer Inputs'!T12=0,SUBSTITUTE(ADDRESS(1,MATCH(O109,INDIRECT("'"&amp;E109&amp;"'"&amp;"!$A$5:$Z$5"),0),4),1,""),SUBSTITUTE(ADDRESS(1,MATCH(A109,INDIRECT("'"&amp;E109&amp;"'"&amp;"!A$5:Z$5"),0),4),1,"")),SUBSTITUTE(ADDRESS(1,MATCH(A109,INDIRECT("'"&amp;E109&amp;"'"&amp;"!A$5:Z$5"),0),4),1,"")),"")</f>
        <v>T</v>
      </c>
      <c r="D109" s="859" t="s">
        <v>1374</v>
      </c>
      <c r="E109" s="918" t="s">
        <v>874</v>
      </c>
      <c r="F109" s="1409"/>
      <c r="G109" s="1409"/>
      <c r="H109" s="1409"/>
      <c r="I109" s="857" t="str">
        <f t="shared" si="12"/>
        <v/>
      </c>
      <c r="J109" s="1409"/>
      <c r="K109" s="1409" t="str">
        <f t="shared" si="13"/>
        <v/>
      </c>
      <c r="L109" s="896" t="s">
        <v>1198</v>
      </c>
      <c r="M109" s="1409">
        <v>168</v>
      </c>
      <c r="N109" s="1409"/>
      <c r="O109" s="1408" t="s">
        <v>1194</v>
      </c>
      <c r="P109" s="1408"/>
      <c r="Q109" s="1408"/>
      <c r="R109" s="1408"/>
      <c r="S109" s="1408"/>
      <c r="T109" s="1408"/>
      <c r="U109" s="1408"/>
      <c r="V109" s="1408"/>
      <c r="W109" s="1408"/>
      <c r="X109" s="1408"/>
      <c r="Y109" s="1408"/>
      <c r="Z109" s="1408"/>
      <c r="AA109" s="1408"/>
    </row>
    <row r="110" spans="1:27" x14ac:dyDescent="0.25">
      <c r="A110" s="914" t="s">
        <v>1199</v>
      </c>
      <c r="B110" s="859" t="str">
        <f t="shared" ca="1" si="17"/>
        <v>U12</v>
      </c>
      <c r="C110" s="859" t="str">
        <f t="shared" ca="1" si="9"/>
        <v>U</v>
      </c>
      <c r="D110" s="859" t="s">
        <v>1374</v>
      </c>
      <c r="E110" s="918" t="s">
        <v>874</v>
      </c>
      <c r="F110" s="1409"/>
      <c r="G110" s="1409"/>
      <c r="H110" s="1409"/>
      <c r="I110" s="857" t="str">
        <f t="shared" si="12"/>
        <v/>
      </c>
      <c r="J110" s="1409"/>
      <c r="K110" s="1409" t="str">
        <f t="shared" si="13"/>
        <v/>
      </c>
      <c r="L110" s="896" t="s">
        <v>1199</v>
      </c>
      <c r="M110" s="1409">
        <v>169</v>
      </c>
      <c r="N110" s="1409"/>
      <c r="O110" s="1408"/>
      <c r="P110" s="1408"/>
      <c r="Q110" s="1408"/>
      <c r="R110" s="1408"/>
      <c r="S110" s="1408"/>
      <c r="T110" s="1408"/>
      <c r="U110" s="1408"/>
      <c r="V110" s="1408"/>
      <c r="W110" s="1408"/>
      <c r="X110" s="1408"/>
      <c r="Y110" s="1408"/>
      <c r="Z110" s="1408"/>
      <c r="AA110" s="1408"/>
    </row>
    <row r="111" spans="1:27" x14ac:dyDescent="0.25">
      <c r="A111" s="914" t="s">
        <v>1356</v>
      </c>
      <c r="B111" s="859" t="str">
        <f t="shared" ca="1" si="17"/>
        <v>V12</v>
      </c>
      <c r="C111" s="859" t="str">
        <f t="shared" ca="1" si="9"/>
        <v>V</v>
      </c>
      <c r="D111" s="859" t="s">
        <v>1374</v>
      </c>
      <c r="E111" s="918" t="s">
        <v>874</v>
      </c>
      <c r="F111" s="1409"/>
      <c r="G111" s="1409"/>
      <c r="H111" s="1409"/>
      <c r="I111" s="857" t="str">
        <f t="shared" si="12"/>
        <v/>
      </c>
      <c r="J111" s="1409"/>
      <c r="K111" s="1409" t="str">
        <f t="shared" si="13"/>
        <v/>
      </c>
      <c r="L111" s="896" t="s">
        <v>1446</v>
      </c>
      <c r="M111" s="1409">
        <v>170</v>
      </c>
      <c r="N111" s="1409"/>
      <c r="O111" s="1408"/>
      <c r="P111" s="1408"/>
      <c r="Q111" s="1408"/>
      <c r="R111" s="1408"/>
      <c r="S111" s="1408"/>
      <c r="T111" s="1408"/>
      <c r="U111" s="1408"/>
      <c r="V111" s="1408"/>
      <c r="W111" s="1408"/>
      <c r="X111" s="1408"/>
      <c r="Y111" s="1408"/>
      <c r="Z111" s="1408"/>
      <c r="AA111" s="1408"/>
    </row>
    <row r="112" spans="1:27" x14ac:dyDescent="0.25">
      <c r="A112" s="914" t="s">
        <v>1650</v>
      </c>
      <c r="B112" s="859" t="str">
        <f t="shared" ca="1" si="17"/>
        <v/>
      </c>
      <c r="C112" s="859" t="str">
        <f t="shared" ca="1" si="9"/>
        <v/>
      </c>
      <c r="D112" s="859" t="s">
        <v>1374</v>
      </c>
      <c r="E112" s="918" t="s">
        <v>874</v>
      </c>
      <c r="F112" s="1409"/>
      <c r="G112" s="1409"/>
      <c r="H112" s="1409"/>
      <c r="I112" s="857" t="str">
        <f t="shared" si="12"/>
        <v/>
      </c>
      <c r="J112" s="1409" t="str">
        <f>IF(M112&lt;&gt;"",Q$1&amp;M112,"")</f>
        <v/>
      </c>
      <c r="K112" s="1409" t="str">
        <f t="shared" si="13"/>
        <v/>
      </c>
      <c r="L112" s="896" t="s">
        <v>1650</v>
      </c>
      <c r="M112" s="1409"/>
      <c r="N112" s="1409"/>
      <c r="O112" s="1408"/>
      <c r="P112" s="1408"/>
      <c r="Q112" s="1408"/>
      <c r="R112" s="1408"/>
      <c r="S112" s="1408"/>
      <c r="T112" s="1408"/>
      <c r="U112" s="1408"/>
      <c r="V112" s="1408"/>
      <c r="W112" s="1408"/>
      <c r="X112" s="1408"/>
      <c r="Y112" s="1408"/>
      <c r="Z112" s="1408"/>
      <c r="AA112" s="1408"/>
    </row>
    <row r="113" spans="1:27" x14ac:dyDescent="0.25">
      <c r="A113" s="915" t="s">
        <v>1192</v>
      </c>
      <c r="B113" s="859" t="str">
        <f ca="1">_xlfn.IFNA(_xlfn.CONCAT(SUBSTITUTE(ADDRESS(1,MATCH(A113,INDIRECT("'"&amp;E113&amp;"'"&amp;"!A5:Z5"),0),4),1,""),13),"")</f>
        <v>H13</v>
      </c>
      <c r="C113" s="859" t="str">
        <f t="shared" ca="1" si="9"/>
        <v>H</v>
      </c>
      <c r="D113" s="859" t="s">
        <v>1374</v>
      </c>
      <c r="E113" s="918" t="s">
        <v>874</v>
      </c>
      <c r="F113" s="1409"/>
      <c r="G113" s="1409"/>
      <c r="H113" s="1409"/>
      <c r="I113" s="857" t="str">
        <f t="shared" si="12"/>
        <v>Pyramid Segment</v>
      </c>
      <c r="J113" s="1409" t="str">
        <f>IF(AND(P1228="",M113&lt;&gt;""),Q$1&amp;M113,"")</f>
        <v>F182</v>
      </c>
      <c r="K113" s="1409" t="str">
        <f t="shared" si="13"/>
        <v>Customer Inputs</v>
      </c>
      <c r="L113" s="859" t="s">
        <v>1192</v>
      </c>
      <c r="M113" s="1409">
        <v>182</v>
      </c>
      <c r="N113" s="1409"/>
      <c r="O113" s="1408"/>
      <c r="P113" s="1408"/>
      <c r="Q113" s="1408"/>
      <c r="R113" s="1408"/>
      <c r="S113" s="1408"/>
      <c r="T113" s="1408"/>
      <c r="U113" s="1408"/>
      <c r="V113" s="1408"/>
      <c r="W113" s="1408"/>
      <c r="X113" s="1408"/>
      <c r="Y113" s="1408"/>
      <c r="Z113" s="1408"/>
      <c r="AA113" s="1408"/>
    </row>
    <row r="114" spans="1:27" ht="30" x14ac:dyDescent="0.25">
      <c r="A114" s="916" t="s">
        <v>1274</v>
      </c>
      <c r="B114" s="859" t="str">
        <f t="shared" ref="B114:B122" ca="1" si="18">_xlfn.IFNA(_xlfn.CONCAT(SUBSTITUTE(ADDRESS(1,MATCH(A114,INDIRECT("'"&amp;E114&amp;"'"&amp;"!A5:Z5"),0),4),1,""),13),"")</f>
        <v>I13</v>
      </c>
      <c r="C114" s="859" t="str">
        <f t="shared" ca="1" si="9"/>
        <v>I</v>
      </c>
      <c r="D114" s="859" t="s">
        <v>1374</v>
      </c>
      <c r="E114" s="918" t="s">
        <v>874</v>
      </c>
      <c r="F114" s="1409"/>
      <c r="G114" s="1409"/>
      <c r="H114" s="1409"/>
      <c r="I114" s="857" t="str">
        <f t="shared" si="12"/>
        <v>Agreement Annual Purchase Commitment</v>
      </c>
      <c r="J114" s="1409" t="str">
        <f>Q$1&amp;IF(Q114&lt;&gt;"",M114,M116)</f>
        <v>F186</v>
      </c>
      <c r="K114" s="1409" t="str">
        <f t="shared" si="13"/>
        <v>Customer Inputs</v>
      </c>
      <c r="L114" s="52" t="s">
        <v>1274</v>
      </c>
      <c r="M114" s="1409">
        <v>184</v>
      </c>
      <c r="N114" s="1409"/>
      <c r="O114" s="1408"/>
      <c r="P114" s="1408"/>
      <c r="Q114" s="1408"/>
      <c r="R114" s="1408"/>
      <c r="S114" s="1408"/>
      <c r="T114" s="1408"/>
      <c r="U114" s="1408"/>
      <c r="V114" s="1408"/>
      <c r="W114" s="1408"/>
      <c r="X114" s="1408"/>
      <c r="Y114" s="1408"/>
      <c r="Z114" s="1408"/>
      <c r="AA114" s="1408"/>
    </row>
    <row r="115" spans="1:27" ht="30" x14ac:dyDescent="0.25">
      <c r="A115" s="915" t="s">
        <v>1275</v>
      </c>
      <c r="B115" s="859" t="str">
        <f t="shared" ca="1" si="18"/>
        <v>J13</v>
      </c>
      <c r="C115" s="859" t="str">
        <f t="shared" ca="1" si="9"/>
        <v>J</v>
      </c>
      <c r="D115" s="859" t="s">
        <v>1374</v>
      </c>
      <c r="E115" s="918" t="s">
        <v>874</v>
      </c>
      <c r="F115" s="1409"/>
      <c r="G115" s="1409"/>
      <c r="H115" s="1409"/>
      <c r="I115" s="857" t="str">
        <f t="shared" si="12"/>
        <v>Agreement Deliveries Per Customer Unit Per Week</v>
      </c>
      <c r="J115" s="1409" t="str">
        <f>Q$1&amp;IF(Q115&lt;&gt;"",M115,M117)</f>
        <v>F187</v>
      </c>
      <c r="K115" s="1409" t="str">
        <f t="shared" si="13"/>
        <v>Customer Inputs</v>
      </c>
      <c r="L115" s="859" t="s">
        <v>1275</v>
      </c>
      <c r="M115" s="1409">
        <v>185</v>
      </c>
      <c r="N115" s="1409"/>
      <c r="O115" s="1408"/>
      <c r="P115" s="1408"/>
      <c r="Q115" s="1408"/>
      <c r="R115" s="1408"/>
      <c r="S115" s="1408"/>
      <c r="T115" s="1408"/>
      <c r="U115" s="1408"/>
      <c r="V115" s="1408"/>
      <c r="W115" s="1408"/>
      <c r="X115" s="1408"/>
      <c r="Y115" s="1408"/>
      <c r="Z115" s="1408"/>
      <c r="AA115" s="1408"/>
    </row>
    <row r="116" spans="1:27" x14ac:dyDescent="0.25">
      <c r="A116" s="915" t="s">
        <v>1195</v>
      </c>
      <c r="B116" s="859" t="str">
        <f ca="1">IFERROR(_xlfn.CONCAT(IF('Customer Inputs'!$U$13="Existing",IF('Customer Inputs'!P13=0,SUBSTITUTE(ADDRESS(1,MATCH(O116,INDIRECT("'"&amp;E116&amp;"'"&amp;"!$A$5:$Z$5"),0),4),1,""),SUBSTITUTE(ADDRESS(1,MATCH(A116,INDIRECT("'"&amp;E116&amp;"'"&amp;"!A$5:Z$5"),0),4),1,"")),SUBSTITUTE(ADDRESS(1,MATCH(A116,INDIRECT("'"&amp;E116&amp;"'"&amp;"!A$5:Z$5"),0),4),1,"")),13),"")</f>
        <v>P13</v>
      </c>
      <c r="C116" s="859" t="str">
        <f ca="1">IFERROR(IF('Customer Inputs'!$U$13="Existing",IF('Customer Inputs'!P13=0,SUBSTITUTE(ADDRESS(1,MATCH(O116,INDIRECT("'"&amp;E116&amp;"'"&amp;"!$A$5:$Z$5"),0),4),1,""),SUBSTITUTE(ADDRESS(1,MATCH(A116,INDIRECT("'"&amp;E116&amp;"'"&amp;"!A$5:Z$5"),0),4),1,"")),SUBSTITUTE(ADDRESS(1,MATCH(A116,INDIRECT("'"&amp;E116&amp;"'"&amp;"!A$5:Z$5"),0),4),1,"")),"")</f>
        <v>P</v>
      </c>
      <c r="D116" s="859" t="s">
        <v>1374</v>
      </c>
      <c r="E116" s="918" t="s">
        <v>874</v>
      </c>
      <c r="F116" s="1409"/>
      <c r="G116" s="1409"/>
      <c r="H116" s="1409"/>
      <c r="I116" s="857" t="str">
        <f t="shared" si="12"/>
        <v/>
      </c>
      <c r="J116" s="1409"/>
      <c r="K116" s="1409" t="str">
        <f t="shared" si="13"/>
        <v/>
      </c>
      <c r="L116" s="859" t="s">
        <v>1195</v>
      </c>
      <c r="M116" s="1409">
        <v>186</v>
      </c>
      <c r="N116" s="1409"/>
      <c r="O116" s="1408" t="s">
        <v>872</v>
      </c>
      <c r="P116" s="1408"/>
      <c r="Q116" s="1408"/>
      <c r="R116" s="1408"/>
      <c r="S116" s="1408"/>
      <c r="T116" s="1408"/>
      <c r="U116" s="1408"/>
      <c r="V116" s="1408"/>
      <c r="W116" s="1408"/>
      <c r="X116" s="1408"/>
      <c r="Y116" s="1408"/>
      <c r="Z116" s="1408"/>
      <c r="AA116" s="1408"/>
    </row>
    <row r="117" spans="1:27" x14ac:dyDescent="0.25">
      <c r="A117" s="917" t="s">
        <v>1196</v>
      </c>
      <c r="B117" s="859" t="str">
        <f ca="1">IFERROR(_xlfn.CONCAT(IF('Customer Inputs'!$U$13="Existing",IF('Customer Inputs'!Q13=0,SUBSTITUTE(ADDRESS(1,MATCH(O117,INDIRECT("'"&amp;E117&amp;"'"&amp;"!$A$5:$Z$5"),0),4),1,""),SUBSTITUTE(ADDRESS(1,MATCH(A117,INDIRECT("'"&amp;E117&amp;"'"&amp;"!A$5:Z$5"),0),4),1,"")),SUBSTITUTE(ADDRESS(1,MATCH(A117,INDIRECT("'"&amp;E117&amp;"'"&amp;"!A$5:Z$5"),0),4),1,"")),13),"")</f>
        <v>Q13</v>
      </c>
      <c r="C117" s="859" t="str">
        <f ca="1">IFERROR(IF('Customer Inputs'!$U$13="Existing",IF('Customer Inputs'!Q13=0,SUBSTITUTE(ADDRESS(1,MATCH(O117,INDIRECT("'"&amp;E117&amp;"'"&amp;"!$A$5:$Z$5"),0),4),1,""),SUBSTITUTE(ADDRESS(1,MATCH(A117,INDIRECT("'"&amp;E117&amp;"'"&amp;"!A$5:Z$5"),0),4),1,"")),SUBSTITUTE(ADDRESS(1,MATCH(A117,INDIRECT("'"&amp;E117&amp;"'"&amp;"!A$5:Z$5"),0),4),1,"")),"")</f>
        <v>Q</v>
      </c>
      <c r="D117" s="859" t="s">
        <v>1374</v>
      </c>
      <c r="E117" s="918" t="s">
        <v>874</v>
      </c>
      <c r="F117" s="1409"/>
      <c r="G117" s="1409"/>
      <c r="H117" s="1409"/>
      <c r="I117" s="857" t="str">
        <f t="shared" si="12"/>
        <v/>
      </c>
      <c r="J117" s="1409"/>
      <c r="K117" s="1409" t="str">
        <f t="shared" si="13"/>
        <v/>
      </c>
      <c r="L117" s="896" t="s">
        <v>1196</v>
      </c>
      <c r="M117" s="1409">
        <v>187</v>
      </c>
      <c r="N117" s="1409"/>
      <c r="O117" s="1408" t="s">
        <v>1193</v>
      </c>
      <c r="P117" s="1408"/>
      <c r="Q117" s="1408"/>
      <c r="R117" s="1408"/>
      <c r="S117" s="1408"/>
      <c r="T117" s="1408"/>
      <c r="U117" s="1408"/>
      <c r="V117" s="1408"/>
      <c r="W117" s="1408"/>
      <c r="X117" s="1408"/>
      <c r="Y117" s="1408"/>
      <c r="Z117" s="1408"/>
      <c r="AA117" s="1408"/>
    </row>
    <row r="118" spans="1:27" x14ac:dyDescent="0.25">
      <c r="A118" s="917" t="s">
        <v>1197</v>
      </c>
      <c r="B118" s="859" t="str">
        <f ca="1">IFERROR(_xlfn.CONCAT(IF('Customer Inputs'!$U$13="Existing",IF('Customer Inputs'!R13=0,SUBSTITUTE(ADDRESS(1,MATCH(O118,INDIRECT("'"&amp;E118&amp;"'"&amp;"!$A$5:$Z$5"),0),4),1,""),SUBSTITUTE(ADDRESS(1,MATCH(A118,INDIRECT("'"&amp;E118&amp;"'"&amp;"!A$5:Z$5"),0),4),1,"")),SUBSTITUTE(ADDRESS(1,MATCH(A118,INDIRECT("'"&amp;E118&amp;"'"&amp;"!A$5:Z$5"),0),4),1,"")),13),"")</f>
        <v>R13</v>
      </c>
      <c r="C118" s="859" t="str">
        <f ca="1">IFERROR(IF('Customer Inputs'!$U$13="Existing",IF('Customer Inputs'!R13=0,SUBSTITUTE(ADDRESS(1,MATCH(O118,INDIRECT("'"&amp;E118&amp;"'"&amp;"!$A$5:$Z$5"),0),4),1,""),SUBSTITUTE(ADDRESS(1,MATCH(A118,INDIRECT("'"&amp;E118&amp;"'"&amp;"!A$5:Z$5"),0),4),1,"")),SUBSTITUTE(ADDRESS(1,MATCH(A118,INDIRECT("'"&amp;E118&amp;"'"&amp;"!A$5:Z$5"),0),4),1,"")),"")</f>
        <v>R</v>
      </c>
      <c r="D118" s="859" t="s">
        <v>1374</v>
      </c>
      <c r="E118" s="918" t="s">
        <v>874</v>
      </c>
      <c r="F118" s="1409"/>
      <c r="G118" s="1409"/>
      <c r="H118" s="1409"/>
      <c r="I118" s="857" t="str">
        <f t="shared" si="12"/>
        <v/>
      </c>
      <c r="J118" s="1409"/>
      <c r="K118" s="1409" t="str">
        <f t="shared" si="13"/>
        <v/>
      </c>
      <c r="L118" s="896" t="s">
        <v>1197</v>
      </c>
      <c r="M118" s="1409">
        <v>188</v>
      </c>
      <c r="N118" s="1409"/>
      <c r="O118" s="1408" t="s">
        <v>1200</v>
      </c>
      <c r="P118" s="1408"/>
      <c r="Q118" s="1408"/>
      <c r="R118" s="1408"/>
      <c r="S118" s="1408"/>
      <c r="T118" s="1408"/>
      <c r="U118" s="1408"/>
      <c r="V118" s="1408"/>
      <c r="W118" s="1408"/>
      <c r="X118" s="1408"/>
      <c r="Y118" s="1408"/>
      <c r="Z118" s="1408"/>
      <c r="AA118" s="1408"/>
    </row>
    <row r="119" spans="1:27" x14ac:dyDescent="0.25">
      <c r="A119" s="917" t="s">
        <v>1198</v>
      </c>
      <c r="B119" s="859" t="str">
        <f ca="1">IFERROR(_xlfn.CONCAT(IF('Customer Inputs'!$U$13="Existing",IF('Customer Inputs'!T13=0,SUBSTITUTE(ADDRESS(1,MATCH(O119,INDIRECT("'"&amp;E119&amp;"'"&amp;"!$A$5:$Z$5"),0),4),1,""),SUBSTITUTE(ADDRESS(1,MATCH(A119,INDIRECT("'"&amp;E119&amp;"'"&amp;"!A$5:Z$5"),0),4),1,"")),SUBSTITUTE(ADDRESS(1,MATCH(A119,INDIRECT("'"&amp;E119&amp;"'"&amp;"!A$5:Z$5"),0),4),1,"")),13),"")</f>
        <v>T13</v>
      </c>
      <c r="C119" s="859" t="str">
        <f ca="1">IFERROR(IF('Customer Inputs'!$U$13="Existing",IF('Customer Inputs'!T13=0,SUBSTITUTE(ADDRESS(1,MATCH(O119,INDIRECT("'"&amp;E119&amp;"'"&amp;"!$A$5:$Z$5"),0),4),1,""),SUBSTITUTE(ADDRESS(1,MATCH(A119,INDIRECT("'"&amp;E119&amp;"'"&amp;"!A$5:Z$5"),0),4),1,"")),SUBSTITUTE(ADDRESS(1,MATCH(A119,INDIRECT("'"&amp;E119&amp;"'"&amp;"!A$5:Z$5"),0),4),1,"")),"")</f>
        <v>T</v>
      </c>
      <c r="D119" s="859" t="s">
        <v>1374</v>
      </c>
      <c r="E119" s="918" t="s">
        <v>874</v>
      </c>
      <c r="F119" s="1409"/>
      <c r="G119" s="1409"/>
      <c r="H119" s="1409"/>
      <c r="I119" s="857" t="str">
        <f t="shared" si="12"/>
        <v/>
      </c>
      <c r="J119" s="1409"/>
      <c r="K119" s="1409" t="str">
        <f t="shared" si="13"/>
        <v/>
      </c>
      <c r="L119" s="896" t="s">
        <v>1198</v>
      </c>
      <c r="M119" s="1409">
        <v>189</v>
      </c>
      <c r="N119" s="1409"/>
      <c r="O119" s="1408" t="s">
        <v>1194</v>
      </c>
      <c r="P119" s="1408"/>
      <c r="Q119" s="1408"/>
      <c r="R119" s="1408"/>
      <c r="S119" s="1408"/>
      <c r="T119" s="1408"/>
      <c r="U119" s="1408"/>
      <c r="V119" s="1408"/>
      <c r="W119" s="1408"/>
      <c r="X119" s="1408"/>
      <c r="Y119" s="1408"/>
      <c r="Z119" s="1408"/>
      <c r="AA119" s="1408"/>
    </row>
    <row r="120" spans="1:27" x14ac:dyDescent="0.25">
      <c r="A120" s="917" t="s">
        <v>1199</v>
      </c>
      <c r="B120" s="859" t="str">
        <f t="shared" ca="1" si="18"/>
        <v>U13</v>
      </c>
      <c r="C120" s="859" t="str">
        <f t="shared" ref="C120:C135" ca="1" si="19">_xlfn.IFNA(SUBSTITUTE(ADDRESS(1,MATCH(A120,INDIRECT("'"&amp;E120&amp;"'"&amp;"!A5:Z5"),0),4),1,""),"")</f>
        <v>U</v>
      </c>
      <c r="D120" s="859" t="s">
        <v>1374</v>
      </c>
      <c r="E120" s="918" t="s">
        <v>874</v>
      </c>
      <c r="F120" s="1409"/>
      <c r="G120" s="1409"/>
      <c r="H120" s="1409"/>
      <c r="I120" s="857" t="str">
        <f t="shared" si="12"/>
        <v/>
      </c>
      <c r="J120" s="1409"/>
      <c r="K120" s="1409" t="str">
        <f t="shared" si="13"/>
        <v/>
      </c>
      <c r="L120" s="896" t="s">
        <v>1199</v>
      </c>
      <c r="M120" s="1409">
        <v>190</v>
      </c>
      <c r="N120" s="1409"/>
      <c r="O120" s="1408"/>
      <c r="P120" s="1408"/>
      <c r="Q120" s="1408"/>
      <c r="R120" s="1408"/>
      <c r="S120" s="1408"/>
      <c r="T120" s="1408"/>
      <c r="U120" s="1408"/>
      <c r="V120" s="1408"/>
      <c r="W120" s="1408"/>
      <c r="X120" s="1408"/>
      <c r="Y120" s="1408"/>
      <c r="Z120" s="1408"/>
      <c r="AA120" s="1408"/>
    </row>
    <row r="121" spans="1:27" x14ac:dyDescent="0.25">
      <c r="A121" s="917" t="s">
        <v>1356</v>
      </c>
      <c r="B121" s="859" t="str">
        <f t="shared" ca="1" si="18"/>
        <v>V13</v>
      </c>
      <c r="C121" s="859" t="str">
        <f t="shared" ca="1" si="19"/>
        <v>V</v>
      </c>
      <c r="D121" s="859" t="s">
        <v>1374</v>
      </c>
      <c r="E121" s="918" t="s">
        <v>874</v>
      </c>
      <c r="F121" s="1409"/>
      <c r="G121" s="1409"/>
      <c r="H121" s="1409"/>
      <c r="I121" s="857" t="str">
        <f t="shared" si="12"/>
        <v/>
      </c>
      <c r="J121" s="1409"/>
      <c r="K121" s="1409" t="str">
        <f t="shared" si="13"/>
        <v/>
      </c>
      <c r="L121" s="896" t="s">
        <v>1446</v>
      </c>
      <c r="M121" s="1409">
        <v>191</v>
      </c>
      <c r="N121" s="1409"/>
      <c r="O121" s="1408"/>
      <c r="P121" s="1408"/>
      <c r="Q121" s="1408"/>
      <c r="R121" s="1408"/>
      <c r="S121" s="1408"/>
      <c r="T121" s="1408"/>
      <c r="U121" s="1408"/>
      <c r="V121" s="1408"/>
      <c r="W121" s="1408"/>
      <c r="X121" s="1408"/>
      <c r="Y121" s="1408"/>
      <c r="Z121" s="1408"/>
      <c r="AA121" s="1408"/>
    </row>
    <row r="122" spans="1:27" x14ac:dyDescent="0.25">
      <c r="A122" s="917" t="s">
        <v>1650</v>
      </c>
      <c r="B122" s="859" t="str">
        <f t="shared" ca="1" si="18"/>
        <v/>
      </c>
      <c r="C122" s="859" t="str">
        <f t="shared" ca="1" si="19"/>
        <v/>
      </c>
      <c r="D122" s="859" t="s">
        <v>1374</v>
      </c>
      <c r="E122" s="918" t="s">
        <v>874</v>
      </c>
      <c r="F122" s="1409"/>
      <c r="G122" s="1409"/>
      <c r="H122" s="1409"/>
      <c r="I122" s="857" t="str">
        <f t="shared" si="12"/>
        <v/>
      </c>
      <c r="J122" s="1409" t="str">
        <f>IF(M122&lt;&gt;"",Q$1&amp;M122,"")</f>
        <v/>
      </c>
      <c r="K122" s="1409" t="str">
        <f t="shared" si="13"/>
        <v/>
      </c>
      <c r="L122" s="896" t="s">
        <v>1650</v>
      </c>
      <c r="M122" s="1409"/>
      <c r="N122" s="1409"/>
      <c r="O122" s="1408"/>
      <c r="P122" s="1408"/>
      <c r="Q122" s="1408"/>
      <c r="R122" s="1408"/>
      <c r="S122" s="1408"/>
      <c r="T122" s="1408"/>
      <c r="U122" s="1408"/>
      <c r="V122" s="1408"/>
      <c r="W122" s="1408"/>
      <c r="X122" s="1408"/>
      <c r="Y122" s="1408"/>
      <c r="Z122" s="1408"/>
      <c r="AA122" s="1408"/>
    </row>
    <row r="123" spans="1:27" x14ac:dyDescent="0.25">
      <c r="A123" s="912" t="s">
        <v>1192</v>
      </c>
      <c r="B123" s="859" t="str">
        <f ca="1">_xlfn.IFNA(_xlfn.CONCAT(SUBSTITUTE(ADDRESS(1,MATCH(A123,INDIRECT("'"&amp;E123&amp;"'"&amp;"!A5:Z5"),0),4),1,""),14),"")</f>
        <v>H14</v>
      </c>
      <c r="C123" s="859" t="str">
        <f t="shared" ca="1" si="19"/>
        <v>H</v>
      </c>
      <c r="D123" s="859" t="s">
        <v>1374</v>
      </c>
      <c r="E123" s="918" t="s">
        <v>874</v>
      </c>
      <c r="F123" s="1409"/>
      <c r="G123" s="1409"/>
      <c r="H123" s="1409"/>
      <c r="I123" s="857" t="str">
        <f t="shared" si="12"/>
        <v>Pyramid Segment</v>
      </c>
      <c r="J123" s="1409" t="str">
        <f>IF(AND(P1229="",M123&lt;&gt;""),Q$1&amp;M123,"")</f>
        <v>F203</v>
      </c>
      <c r="K123" s="1409" t="str">
        <f t="shared" si="13"/>
        <v>Customer Inputs</v>
      </c>
      <c r="L123" s="859" t="s">
        <v>1192</v>
      </c>
      <c r="M123" s="1409">
        <v>203</v>
      </c>
      <c r="N123" s="1409"/>
      <c r="O123" s="1408"/>
      <c r="P123" s="1408"/>
      <c r="Q123" s="1408"/>
      <c r="R123" s="1408"/>
      <c r="S123" s="1408"/>
      <c r="T123" s="1408"/>
      <c r="U123" s="1408"/>
      <c r="V123" s="1408"/>
      <c r="W123" s="1408"/>
      <c r="X123" s="1408"/>
      <c r="Y123" s="1408"/>
      <c r="Z123" s="1408"/>
      <c r="AA123" s="1408"/>
    </row>
    <row r="124" spans="1:27" ht="30" x14ac:dyDescent="0.25">
      <c r="A124" s="913" t="s">
        <v>1274</v>
      </c>
      <c r="B124" s="859" t="str">
        <f t="shared" ref="B124:B132" ca="1" si="20">_xlfn.IFNA(_xlfn.CONCAT(SUBSTITUTE(ADDRESS(1,MATCH(A124,INDIRECT("'"&amp;E124&amp;"'"&amp;"!A5:Z5"),0),4),1,""),14),"")</f>
        <v>I14</v>
      </c>
      <c r="C124" s="859" t="str">
        <f t="shared" ca="1" si="19"/>
        <v>I</v>
      </c>
      <c r="D124" s="859" t="s">
        <v>1374</v>
      </c>
      <c r="E124" s="918" t="s">
        <v>874</v>
      </c>
      <c r="F124" s="1409"/>
      <c r="G124" s="1409"/>
      <c r="H124" s="1409"/>
      <c r="I124" s="857" t="str">
        <f t="shared" si="12"/>
        <v>Agreement Annual Purchase Commitment</v>
      </c>
      <c r="J124" s="1409" t="str">
        <f>Q$1&amp;IF(Q124&lt;&gt;"",M124,M126)</f>
        <v>F207</v>
      </c>
      <c r="K124" s="1409" t="str">
        <f t="shared" si="13"/>
        <v>Customer Inputs</v>
      </c>
      <c r="L124" s="52" t="s">
        <v>1274</v>
      </c>
      <c r="M124" s="1409">
        <v>205</v>
      </c>
      <c r="N124" s="1409"/>
      <c r="O124" s="1408"/>
      <c r="P124" s="1408"/>
      <c r="Q124" s="1408"/>
      <c r="R124" s="1408"/>
      <c r="S124" s="1408"/>
      <c r="T124" s="1408"/>
      <c r="U124" s="1408"/>
      <c r="V124" s="1408"/>
      <c r="W124" s="1408"/>
      <c r="X124" s="1408"/>
      <c r="Y124" s="1408"/>
      <c r="Z124" s="1408"/>
      <c r="AA124" s="1408"/>
    </row>
    <row r="125" spans="1:27" ht="30" x14ac:dyDescent="0.25">
      <c r="A125" s="912" t="s">
        <v>1275</v>
      </c>
      <c r="B125" s="859" t="str">
        <f t="shared" ca="1" si="20"/>
        <v>J14</v>
      </c>
      <c r="C125" s="859" t="str">
        <f t="shared" ca="1" si="19"/>
        <v>J</v>
      </c>
      <c r="D125" s="859" t="s">
        <v>1374</v>
      </c>
      <c r="E125" s="918" t="s">
        <v>874</v>
      </c>
      <c r="F125" s="1409"/>
      <c r="G125" s="1409"/>
      <c r="H125" s="1409"/>
      <c r="I125" s="857" t="str">
        <f t="shared" si="12"/>
        <v>Agreement Deliveries Per Customer Unit Per Week</v>
      </c>
      <c r="J125" s="1409" t="str">
        <f>Q$1&amp;IF(Q125&lt;&gt;"",M125,M127)</f>
        <v>F208</v>
      </c>
      <c r="K125" s="1409" t="str">
        <f t="shared" si="13"/>
        <v>Customer Inputs</v>
      </c>
      <c r="L125" s="859" t="s">
        <v>1275</v>
      </c>
      <c r="M125" s="1409">
        <v>206</v>
      </c>
      <c r="N125" s="1409"/>
      <c r="O125" s="1408"/>
      <c r="P125" s="1408"/>
      <c r="Q125" s="1408"/>
      <c r="R125" s="1408"/>
      <c r="S125" s="1408"/>
      <c r="T125" s="1408"/>
      <c r="U125" s="1408"/>
      <c r="V125" s="1408"/>
      <c r="W125" s="1408"/>
      <c r="X125" s="1408"/>
      <c r="Y125" s="1408"/>
      <c r="Z125" s="1408"/>
      <c r="AA125" s="1408"/>
    </row>
    <row r="126" spans="1:27" x14ac:dyDescent="0.25">
      <c r="A126" s="912" t="s">
        <v>1195</v>
      </c>
      <c r="B126" s="859" t="str">
        <f ca="1">IFERROR(_xlfn.CONCAT(IF('Customer Inputs'!$U$14="Existing",IF('Customer Inputs'!P14=0,SUBSTITUTE(ADDRESS(1,MATCH(O126,INDIRECT("'"&amp;E126&amp;"'"&amp;"!$A$5:$Z$5"),0),4),1,""),SUBSTITUTE(ADDRESS(1,MATCH(A126,INDIRECT("'"&amp;E126&amp;"'"&amp;"!A$5:Z$5"),0),4),1,"")),SUBSTITUTE(ADDRESS(1,MATCH(A126,INDIRECT("'"&amp;E126&amp;"'"&amp;"!A$5:Z$5"),0),4),1,"")),14),"")</f>
        <v>P14</v>
      </c>
      <c r="C126" s="859" t="str">
        <f ca="1">IFERROR(IF('Customer Inputs'!$U$14="Existing",IF('Customer Inputs'!P14=0,SUBSTITUTE(ADDRESS(1,MATCH(O126,INDIRECT("'"&amp;E126&amp;"'"&amp;"!$A$5:$Z$5"),0),4),1,""),SUBSTITUTE(ADDRESS(1,MATCH(A126,INDIRECT("'"&amp;E126&amp;"'"&amp;"!A$5:Z$5"),0),4),1,"")),SUBSTITUTE(ADDRESS(1,MATCH(A126,INDIRECT("'"&amp;E126&amp;"'"&amp;"!A$5:Z$5"),0),4),1,"")),"")</f>
        <v>P</v>
      </c>
      <c r="D126" s="859" t="s">
        <v>1374</v>
      </c>
      <c r="E126" s="918" t="s">
        <v>874</v>
      </c>
      <c r="F126" s="1409"/>
      <c r="G126" s="1409"/>
      <c r="H126" s="1409"/>
      <c r="I126" s="857" t="str">
        <f t="shared" si="12"/>
        <v/>
      </c>
      <c r="J126" s="1409"/>
      <c r="K126" s="1409" t="str">
        <f t="shared" si="13"/>
        <v/>
      </c>
      <c r="L126" s="859" t="s">
        <v>1195</v>
      </c>
      <c r="M126" s="1409">
        <v>207</v>
      </c>
      <c r="N126" s="1409"/>
      <c r="O126" s="1408" t="s">
        <v>872</v>
      </c>
      <c r="P126" s="1408"/>
      <c r="Q126" s="1408"/>
      <c r="R126" s="1408"/>
      <c r="S126" s="1408"/>
      <c r="T126" s="1408"/>
      <c r="U126" s="1408"/>
      <c r="V126" s="1408"/>
      <c r="W126" s="1408"/>
      <c r="X126" s="1408"/>
      <c r="Y126" s="1408"/>
      <c r="Z126" s="1408"/>
      <c r="AA126" s="1408"/>
    </row>
    <row r="127" spans="1:27" x14ac:dyDescent="0.25">
      <c r="A127" s="914" t="s">
        <v>1196</v>
      </c>
      <c r="B127" s="859" t="str">
        <f ca="1">IFERROR(_xlfn.CONCAT(IF('Customer Inputs'!$U$14="Existing",IF('Customer Inputs'!Q14=0,SUBSTITUTE(ADDRESS(1,MATCH(O127,INDIRECT("'"&amp;E127&amp;"'"&amp;"!$A$5:$Z$5"),0),4),1,""),SUBSTITUTE(ADDRESS(1,MATCH(A127,INDIRECT("'"&amp;E127&amp;"'"&amp;"!A$5:Z$5"),0),4),1,"")),SUBSTITUTE(ADDRESS(1,MATCH(A127,INDIRECT("'"&amp;E127&amp;"'"&amp;"!A$5:Z$5"),0),4),1,"")),14),"")</f>
        <v>Q14</v>
      </c>
      <c r="C127" s="859" t="str">
        <f ca="1">IFERROR(IF('Customer Inputs'!$U$14="Existing",IF('Customer Inputs'!Q14=0,SUBSTITUTE(ADDRESS(1,MATCH(O127,INDIRECT("'"&amp;E127&amp;"'"&amp;"!$A$5:$Z$5"),0),4),1,""),SUBSTITUTE(ADDRESS(1,MATCH(A127,INDIRECT("'"&amp;E127&amp;"'"&amp;"!A$5:Z$5"),0),4),1,"")),SUBSTITUTE(ADDRESS(1,MATCH(A127,INDIRECT("'"&amp;E127&amp;"'"&amp;"!A$5:Z$5"),0),4),1,"")),"")</f>
        <v>Q</v>
      </c>
      <c r="D127" s="859" t="s">
        <v>1374</v>
      </c>
      <c r="E127" s="918" t="s">
        <v>874</v>
      </c>
      <c r="F127" s="1409"/>
      <c r="G127" s="1409"/>
      <c r="H127" s="1409"/>
      <c r="I127" s="857" t="str">
        <f t="shared" si="12"/>
        <v/>
      </c>
      <c r="J127" s="1409"/>
      <c r="K127" s="1409" t="str">
        <f t="shared" si="13"/>
        <v/>
      </c>
      <c r="L127" s="896" t="s">
        <v>1196</v>
      </c>
      <c r="M127" s="1409">
        <v>208</v>
      </c>
      <c r="N127" s="1409"/>
      <c r="O127" s="1408" t="s">
        <v>1193</v>
      </c>
      <c r="P127" s="1408"/>
      <c r="Q127" s="1408"/>
      <c r="R127" s="1408"/>
      <c r="S127" s="1408"/>
      <c r="T127" s="1408"/>
      <c r="U127" s="1408"/>
      <c r="V127" s="1408"/>
      <c r="W127" s="1408"/>
      <c r="X127" s="1408"/>
      <c r="Y127" s="1408"/>
      <c r="Z127" s="1408"/>
      <c r="AA127" s="1408"/>
    </row>
    <row r="128" spans="1:27" x14ac:dyDescent="0.25">
      <c r="A128" s="914" t="s">
        <v>1197</v>
      </c>
      <c r="B128" s="859" t="str">
        <f ca="1">IFERROR(_xlfn.CONCAT(IF('Customer Inputs'!$U$14="Existing",IF('Customer Inputs'!R14=0,SUBSTITUTE(ADDRESS(1,MATCH(O128,INDIRECT("'"&amp;E128&amp;"'"&amp;"!$A$5:$Z$5"),0),4),1,""),SUBSTITUTE(ADDRESS(1,MATCH(A128,INDIRECT("'"&amp;E128&amp;"'"&amp;"!A$5:Z$5"),0),4),1,"")),SUBSTITUTE(ADDRESS(1,MATCH(A128,INDIRECT("'"&amp;E128&amp;"'"&amp;"!A$5:Z$5"),0),4),1,"")),14),"")</f>
        <v>R14</v>
      </c>
      <c r="C128" s="859" t="str">
        <f ca="1">IFERROR(IF('Customer Inputs'!$U$14="Existing",IF('Customer Inputs'!R14=0,SUBSTITUTE(ADDRESS(1,MATCH(O128,INDIRECT("'"&amp;E128&amp;"'"&amp;"!$A$5:$Z$5"),0),4),1,""),SUBSTITUTE(ADDRESS(1,MATCH(A128,INDIRECT("'"&amp;E128&amp;"'"&amp;"!A$5:Z$5"),0),4),1,"")),SUBSTITUTE(ADDRESS(1,MATCH(A128,INDIRECT("'"&amp;E128&amp;"'"&amp;"!A$5:Z$5"),0),4),1,"")),"")</f>
        <v>R</v>
      </c>
      <c r="D128" s="859" t="s">
        <v>1374</v>
      </c>
      <c r="E128" s="918" t="s">
        <v>874</v>
      </c>
      <c r="F128" s="1409"/>
      <c r="G128" s="1409"/>
      <c r="H128" s="1409"/>
      <c r="I128" s="857" t="str">
        <f t="shared" si="12"/>
        <v/>
      </c>
      <c r="J128" s="1409"/>
      <c r="K128" s="1409" t="str">
        <f t="shared" si="13"/>
        <v/>
      </c>
      <c r="L128" s="896" t="s">
        <v>1197</v>
      </c>
      <c r="M128" s="1409">
        <v>209</v>
      </c>
      <c r="N128" s="1409"/>
      <c r="O128" s="1408" t="s">
        <v>1200</v>
      </c>
      <c r="P128" s="1408"/>
      <c r="Q128" s="1408"/>
      <c r="R128" s="1408"/>
      <c r="S128" s="1408"/>
      <c r="T128" s="1408"/>
      <c r="U128" s="1408"/>
      <c r="V128" s="1408"/>
      <c r="W128" s="1408"/>
      <c r="X128" s="1408"/>
      <c r="Y128" s="1408"/>
      <c r="Z128" s="1408"/>
      <c r="AA128" s="1408"/>
    </row>
    <row r="129" spans="1:27" x14ac:dyDescent="0.25">
      <c r="A129" s="914" t="s">
        <v>1198</v>
      </c>
      <c r="B129" s="859" t="str">
        <f ca="1">IFERROR(_xlfn.CONCAT(IF('Customer Inputs'!$U$14="Existing",IF('Customer Inputs'!T14=0,SUBSTITUTE(ADDRESS(1,MATCH(O129,INDIRECT("'"&amp;E129&amp;"'"&amp;"!$A$5:$Z$5"),0),4),1,""),SUBSTITUTE(ADDRESS(1,MATCH(A129,INDIRECT("'"&amp;E129&amp;"'"&amp;"!A$5:Z$5"),0),4),1,"")),SUBSTITUTE(ADDRESS(1,MATCH(A129,INDIRECT("'"&amp;E129&amp;"'"&amp;"!A$5:Z$5"),0),4),1,"")),14),"")</f>
        <v>T14</v>
      </c>
      <c r="C129" s="859" t="str">
        <f ca="1">IFERROR(IF('Customer Inputs'!$U$14="Existing",IF('Customer Inputs'!T14=0,SUBSTITUTE(ADDRESS(1,MATCH(O129,INDIRECT("'"&amp;E129&amp;"'"&amp;"!$A$5:$Z$5"),0),4),1,""),SUBSTITUTE(ADDRESS(1,MATCH(A129,INDIRECT("'"&amp;E129&amp;"'"&amp;"!A$5:Z$5"),0),4),1,"")),SUBSTITUTE(ADDRESS(1,MATCH(A129,INDIRECT("'"&amp;E129&amp;"'"&amp;"!A$5:Z$5"),0),4),1,"")),"")</f>
        <v>T</v>
      </c>
      <c r="D129" s="859" t="s">
        <v>1374</v>
      </c>
      <c r="E129" s="918" t="s">
        <v>874</v>
      </c>
      <c r="F129" s="1409"/>
      <c r="G129" s="1409"/>
      <c r="H129" s="1409"/>
      <c r="I129" s="857" t="str">
        <f t="shared" si="12"/>
        <v/>
      </c>
      <c r="J129" s="1409"/>
      <c r="K129" s="1409" t="str">
        <f t="shared" si="13"/>
        <v/>
      </c>
      <c r="L129" s="896" t="s">
        <v>1198</v>
      </c>
      <c r="M129" s="1409">
        <v>210</v>
      </c>
      <c r="N129" s="1409"/>
      <c r="O129" s="1408" t="s">
        <v>1194</v>
      </c>
      <c r="P129" s="1408"/>
      <c r="Q129" s="1408"/>
      <c r="R129" s="1408"/>
      <c r="S129" s="1408"/>
      <c r="T129" s="1408"/>
      <c r="U129" s="1408"/>
      <c r="V129" s="1408"/>
      <c r="W129" s="1408"/>
      <c r="X129" s="1408"/>
      <c r="Y129" s="1408"/>
      <c r="Z129" s="1408"/>
      <c r="AA129" s="1408"/>
    </row>
    <row r="130" spans="1:27" x14ac:dyDescent="0.25">
      <c r="A130" s="914" t="s">
        <v>1199</v>
      </c>
      <c r="B130" s="859" t="str">
        <f t="shared" ca="1" si="20"/>
        <v>U14</v>
      </c>
      <c r="C130" s="859" t="str">
        <f t="shared" ca="1" si="19"/>
        <v>U</v>
      </c>
      <c r="D130" s="859" t="s">
        <v>1374</v>
      </c>
      <c r="E130" s="918" t="s">
        <v>874</v>
      </c>
      <c r="F130" s="1409"/>
      <c r="G130" s="1409"/>
      <c r="H130" s="1409"/>
      <c r="I130" s="857" t="str">
        <f t="shared" si="12"/>
        <v/>
      </c>
      <c r="J130" s="1409"/>
      <c r="K130" s="1409" t="str">
        <f t="shared" si="13"/>
        <v/>
      </c>
      <c r="L130" s="896" t="s">
        <v>1199</v>
      </c>
      <c r="M130" s="1409">
        <v>211</v>
      </c>
      <c r="N130" s="1409"/>
      <c r="O130" s="1408"/>
      <c r="P130" s="1408"/>
      <c r="Q130" s="1408"/>
      <c r="R130" s="1408"/>
      <c r="S130" s="1408"/>
      <c r="T130" s="1408"/>
      <c r="U130" s="1408"/>
      <c r="V130" s="1408"/>
      <c r="W130" s="1408"/>
      <c r="X130" s="1408"/>
      <c r="Y130" s="1408"/>
      <c r="Z130" s="1408"/>
      <c r="AA130" s="1408"/>
    </row>
    <row r="131" spans="1:27" x14ac:dyDescent="0.25">
      <c r="A131" s="914" t="s">
        <v>1356</v>
      </c>
      <c r="B131" s="859" t="str">
        <f t="shared" ca="1" si="20"/>
        <v>V14</v>
      </c>
      <c r="C131" s="859" t="str">
        <f t="shared" ca="1" si="19"/>
        <v>V</v>
      </c>
      <c r="D131" s="859" t="s">
        <v>1374</v>
      </c>
      <c r="E131" s="918" t="s">
        <v>874</v>
      </c>
      <c r="F131" s="1409"/>
      <c r="G131" s="1409"/>
      <c r="H131" s="1409"/>
      <c r="I131" s="857" t="str">
        <f t="shared" si="12"/>
        <v/>
      </c>
      <c r="J131" s="1409"/>
      <c r="K131" s="1409" t="str">
        <f t="shared" si="13"/>
        <v/>
      </c>
      <c r="L131" s="896" t="s">
        <v>1446</v>
      </c>
      <c r="M131" s="1409">
        <v>212</v>
      </c>
      <c r="N131" s="1409"/>
      <c r="O131" s="1408"/>
      <c r="P131" s="1408"/>
      <c r="Q131" s="1408"/>
      <c r="R131" s="1408"/>
      <c r="S131" s="1408"/>
      <c r="T131" s="1408"/>
      <c r="U131" s="1408"/>
      <c r="V131" s="1408"/>
      <c r="W131" s="1408"/>
      <c r="X131" s="1408"/>
      <c r="Y131" s="1408"/>
      <c r="Z131" s="1408"/>
      <c r="AA131" s="1408"/>
    </row>
    <row r="132" spans="1:27" x14ac:dyDescent="0.25">
      <c r="A132" s="914" t="s">
        <v>1650</v>
      </c>
      <c r="B132" s="859" t="str">
        <f t="shared" ca="1" si="20"/>
        <v/>
      </c>
      <c r="C132" s="859" t="str">
        <f t="shared" ca="1" si="19"/>
        <v/>
      </c>
      <c r="D132" s="859" t="s">
        <v>1374</v>
      </c>
      <c r="E132" s="918" t="s">
        <v>874</v>
      </c>
      <c r="F132" s="1409"/>
      <c r="G132" s="1409"/>
      <c r="H132" s="1409"/>
      <c r="I132" s="857" t="str">
        <f t="shared" ref="I132:I195" si="21">IF(J132&lt;&gt;"",A132,"")</f>
        <v/>
      </c>
      <c r="J132" s="1409" t="str">
        <f t="shared" ref="J132:J166" si="22">IF(M132&lt;&gt;"",Q$1&amp;M132,"")</f>
        <v/>
      </c>
      <c r="K132" s="1409" t="str">
        <f t="shared" ref="K132:K195" si="23">IF(J132&lt;&gt;"",E132,"")</f>
        <v/>
      </c>
      <c r="L132" s="896" t="s">
        <v>1650</v>
      </c>
      <c r="M132" s="1409"/>
      <c r="N132" s="1409"/>
      <c r="O132" s="1408"/>
      <c r="P132" s="1408"/>
      <c r="Q132" s="1408"/>
      <c r="R132" s="1408"/>
      <c r="S132" s="1408"/>
      <c r="T132" s="1408"/>
      <c r="U132" s="1408"/>
      <c r="V132" s="1408"/>
      <c r="W132" s="1408"/>
      <c r="X132" s="1408"/>
      <c r="Y132" s="1408"/>
      <c r="Z132" s="1408"/>
      <c r="AA132" s="1408"/>
    </row>
    <row r="133" spans="1:27" x14ac:dyDescent="0.25">
      <c r="A133" s="915" t="s">
        <v>1192</v>
      </c>
      <c r="B133" s="859" t="str">
        <f ca="1">_xlfn.IFNA(_xlfn.CONCAT(SUBSTITUTE(ADDRESS(1,MATCH(A133,INDIRECT("'"&amp;E133&amp;"'"&amp;"!A5:Z5"),0),4),1,""),15),"")</f>
        <v>H15</v>
      </c>
      <c r="C133" s="859" t="str">
        <f t="shared" ca="1" si="19"/>
        <v>H</v>
      </c>
      <c r="D133" s="859" t="s">
        <v>1374</v>
      </c>
      <c r="E133" s="918" t="s">
        <v>874</v>
      </c>
      <c r="F133" s="1409"/>
      <c r="G133" s="1409"/>
      <c r="H133" s="1409"/>
      <c r="I133" s="857" t="str">
        <f t="shared" si="21"/>
        <v>Pyramid Segment</v>
      </c>
      <c r="J133" s="1409" t="str">
        <f>IF(AND(P1230="",M133&lt;&gt;""),Q$1&amp;M133,"")</f>
        <v>F224</v>
      </c>
      <c r="K133" s="1409" t="str">
        <f t="shared" si="23"/>
        <v>Customer Inputs</v>
      </c>
      <c r="L133" s="859" t="s">
        <v>1192</v>
      </c>
      <c r="M133" s="1409">
        <v>224</v>
      </c>
      <c r="N133" s="1409"/>
      <c r="O133" s="1408"/>
      <c r="P133" s="1408"/>
      <c r="Q133" s="1408"/>
      <c r="R133" s="1408"/>
      <c r="S133" s="1408"/>
      <c r="T133" s="1408"/>
      <c r="U133" s="1408"/>
      <c r="V133" s="1408"/>
      <c r="W133" s="1408"/>
      <c r="X133" s="1408"/>
      <c r="Y133" s="1408"/>
      <c r="Z133" s="1408"/>
      <c r="AA133" s="1408"/>
    </row>
    <row r="134" spans="1:27" ht="30" x14ac:dyDescent="0.25">
      <c r="A134" s="916" t="s">
        <v>1274</v>
      </c>
      <c r="B134" s="859" t="str">
        <f t="shared" ref="B134:B135" ca="1" si="24">_xlfn.IFNA(_xlfn.CONCAT(SUBSTITUTE(ADDRESS(1,MATCH(A134,INDIRECT("'"&amp;E134&amp;"'"&amp;"!A5:Z5"),0),4),1,""),15),"")</f>
        <v>I15</v>
      </c>
      <c r="C134" s="859" t="str">
        <f t="shared" ca="1" si="19"/>
        <v>I</v>
      </c>
      <c r="D134" s="859" t="s">
        <v>1374</v>
      </c>
      <c r="E134" s="918" t="s">
        <v>874</v>
      </c>
      <c r="F134" s="1409"/>
      <c r="G134" s="1409"/>
      <c r="H134" s="1409"/>
      <c r="I134" s="857" t="str">
        <f t="shared" si="21"/>
        <v>Agreement Annual Purchase Commitment</v>
      </c>
      <c r="J134" s="1409" t="str">
        <f>Q$1&amp;IF(Q134&lt;&gt;"",M134,M136)</f>
        <v>F228</v>
      </c>
      <c r="K134" s="1409" t="str">
        <f t="shared" si="23"/>
        <v>Customer Inputs</v>
      </c>
      <c r="L134" s="52" t="s">
        <v>1274</v>
      </c>
      <c r="M134" s="1409">
        <v>226</v>
      </c>
      <c r="N134" s="1409"/>
      <c r="O134" s="1408"/>
      <c r="P134" s="1408"/>
      <c r="Q134" s="1408"/>
      <c r="R134" s="1408"/>
      <c r="S134" s="1408"/>
      <c r="T134" s="1408"/>
      <c r="U134" s="1408"/>
      <c r="V134" s="1408"/>
      <c r="W134" s="1408"/>
      <c r="X134" s="1408"/>
      <c r="Y134" s="1408"/>
      <c r="Z134" s="1408"/>
      <c r="AA134" s="1408"/>
    </row>
    <row r="135" spans="1:27" ht="30" x14ac:dyDescent="0.25">
      <c r="A135" s="915" t="s">
        <v>1275</v>
      </c>
      <c r="B135" s="859" t="str">
        <f t="shared" ca="1" si="24"/>
        <v>J15</v>
      </c>
      <c r="C135" s="859" t="str">
        <f t="shared" ca="1" si="19"/>
        <v>J</v>
      </c>
      <c r="D135" s="859" t="s">
        <v>1374</v>
      </c>
      <c r="E135" s="918" t="s">
        <v>874</v>
      </c>
      <c r="F135" s="1409"/>
      <c r="G135" s="1409"/>
      <c r="H135" s="1409"/>
      <c r="I135" s="857" t="str">
        <f t="shared" si="21"/>
        <v>Agreement Deliveries Per Customer Unit Per Week</v>
      </c>
      <c r="J135" s="1409" t="str">
        <f>Q$1&amp;IF(Q135&lt;&gt;"",M135,M137)</f>
        <v>F229</v>
      </c>
      <c r="K135" s="1409" t="str">
        <f t="shared" si="23"/>
        <v>Customer Inputs</v>
      </c>
      <c r="L135" s="859" t="s">
        <v>1275</v>
      </c>
      <c r="M135" s="1409">
        <v>227</v>
      </c>
      <c r="N135" s="1409"/>
      <c r="O135" s="1408"/>
      <c r="P135" s="1408"/>
      <c r="Q135" s="1408"/>
      <c r="R135" s="1408"/>
      <c r="S135" s="1408"/>
      <c r="T135" s="1408"/>
      <c r="U135" s="1408"/>
      <c r="V135" s="1408"/>
      <c r="W135" s="1408"/>
      <c r="X135" s="1408"/>
      <c r="Y135" s="1408"/>
      <c r="Z135" s="1408"/>
      <c r="AA135" s="1408"/>
    </row>
    <row r="136" spans="1:27" x14ac:dyDescent="0.25">
      <c r="A136" s="915" t="s">
        <v>1195</v>
      </c>
      <c r="B136" s="859" t="str">
        <f ca="1">IFERROR(_xlfn.CONCAT(IF('Customer Inputs'!$U$15="Existing",IF('Customer Inputs'!P15=0,SUBSTITUTE(ADDRESS(1,MATCH(O136,INDIRECT("'"&amp;E136&amp;"'"&amp;"!$A$5:$Z$5"),0),4),1,""),SUBSTITUTE(ADDRESS(1,MATCH(A136,INDIRECT("'"&amp;E136&amp;"'"&amp;"!A$5:Z$5"),0),4),1,"")),SUBSTITUTE(ADDRESS(1,MATCH(A136,INDIRECT("'"&amp;E136&amp;"'"&amp;"!A$5:Z$5"),0),4),1,"")),15),"")</f>
        <v>P15</v>
      </c>
      <c r="C136" s="859" t="str">
        <f ca="1">IFERROR(IF('Customer Inputs'!$U$15="Existing",IF('Customer Inputs'!P15=0,SUBSTITUTE(ADDRESS(1,MATCH(O136,INDIRECT("'"&amp;E136&amp;"'"&amp;"!$A$5:$Z$5"),0),4),1,""),SUBSTITUTE(ADDRESS(1,MATCH(A136,INDIRECT("'"&amp;E136&amp;"'"&amp;"!A$5:Z$5"),0),4),1,"")),SUBSTITUTE(ADDRESS(1,MATCH(A136,INDIRECT("'"&amp;E136&amp;"'"&amp;"!A$5:Z$5"),0),4),1,"")),"")</f>
        <v>P</v>
      </c>
      <c r="D136" s="859" t="s">
        <v>1374</v>
      </c>
      <c r="E136" s="918" t="s">
        <v>874</v>
      </c>
      <c r="F136" s="1409"/>
      <c r="G136" s="1409"/>
      <c r="H136" s="1409"/>
      <c r="I136" s="857" t="str">
        <f t="shared" si="21"/>
        <v/>
      </c>
      <c r="J136" s="1409"/>
      <c r="K136" s="1409" t="str">
        <f t="shared" si="23"/>
        <v/>
      </c>
      <c r="L136" s="859" t="s">
        <v>1195</v>
      </c>
      <c r="M136" s="1409">
        <v>228</v>
      </c>
      <c r="N136" s="1409"/>
      <c r="O136" s="1408" t="s">
        <v>872</v>
      </c>
      <c r="P136" s="1408"/>
      <c r="Q136" s="1408"/>
      <c r="R136" s="1408"/>
      <c r="S136" s="1408"/>
      <c r="T136" s="1408"/>
      <c r="U136" s="1408"/>
      <c r="V136" s="1408"/>
      <c r="W136" s="1408"/>
      <c r="X136" s="1408"/>
      <c r="Y136" s="1408"/>
      <c r="Z136" s="1408"/>
      <c r="AA136" s="1408"/>
    </row>
    <row r="137" spans="1:27" x14ac:dyDescent="0.25">
      <c r="A137" s="917" t="s">
        <v>1196</v>
      </c>
      <c r="B137" s="859" t="str">
        <f ca="1">IFERROR(_xlfn.CONCAT(IF('Customer Inputs'!$U$15="Existing",IF('Customer Inputs'!Q15=0,SUBSTITUTE(ADDRESS(1,MATCH(O137,INDIRECT("'"&amp;E137&amp;"'"&amp;"!$A$5:$Z$5"),0),4),1,""),SUBSTITUTE(ADDRESS(1,MATCH(A137,INDIRECT("'"&amp;E137&amp;"'"&amp;"!A$5:Z$5"),0),4),1,"")),SUBSTITUTE(ADDRESS(1,MATCH(A137,INDIRECT("'"&amp;E137&amp;"'"&amp;"!A$5:Z$5"),0),4),1,"")),15),"")</f>
        <v>Q15</v>
      </c>
      <c r="C137" s="859" t="str">
        <f ca="1">IFERROR(IF('Customer Inputs'!$U$15="Existing",IF('Customer Inputs'!Q15=0,SUBSTITUTE(ADDRESS(1,MATCH(O137,INDIRECT("'"&amp;E137&amp;"'"&amp;"!$A$5:$Z$5"),0),4),1,""),SUBSTITUTE(ADDRESS(1,MATCH(A137,INDIRECT("'"&amp;E137&amp;"'"&amp;"!A$5:Z$5"),0),4),1,"")),SUBSTITUTE(ADDRESS(1,MATCH(A137,INDIRECT("'"&amp;E137&amp;"'"&amp;"!A$5:Z$5"),0),4),1,"")),"")</f>
        <v>Q</v>
      </c>
      <c r="D137" s="859" t="s">
        <v>1374</v>
      </c>
      <c r="E137" s="918" t="s">
        <v>874</v>
      </c>
      <c r="F137" s="1409"/>
      <c r="G137" s="1409"/>
      <c r="H137" s="1409"/>
      <c r="I137" s="857" t="str">
        <f t="shared" si="21"/>
        <v/>
      </c>
      <c r="J137" s="1409"/>
      <c r="K137" s="1409" t="str">
        <f t="shared" si="23"/>
        <v/>
      </c>
      <c r="L137" s="896" t="s">
        <v>1196</v>
      </c>
      <c r="M137" s="1409">
        <v>229</v>
      </c>
      <c r="N137" s="1409"/>
      <c r="O137" s="1408" t="s">
        <v>1193</v>
      </c>
      <c r="P137" s="1408"/>
      <c r="Q137" s="1408"/>
      <c r="R137" s="1408"/>
      <c r="S137" s="1408"/>
      <c r="T137" s="1408"/>
      <c r="U137" s="1408"/>
      <c r="V137" s="1408"/>
      <c r="W137" s="1408"/>
      <c r="X137" s="1408"/>
      <c r="Y137" s="1408"/>
      <c r="Z137" s="1408"/>
      <c r="AA137" s="1408"/>
    </row>
    <row r="138" spans="1:27" x14ac:dyDescent="0.25">
      <c r="A138" s="917" t="s">
        <v>1197</v>
      </c>
      <c r="B138" s="859" t="str">
        <f ca="1">IFERROR(_xlfn.CONCAT(IF('Customer Inputs'!$U$15="Existing",IF('Customer Inputs'!R15=0,SUBSTITUTE(ADDRESS(1,MATCH(O138,INDIRECT("'"&amp;E138&amp;"'"&amp;"!$A$5:$Z$5"),0),4),1,""),SUBSTITUTE(ADDRESS(1,MATCH(A138,INDIRECT("'"&amp;E138&amp;"'"&amp;"!A$5:Z$5"),0),4),1,"")),SUBSTITUTE(ADDRESS(1,MATCH(A138,INDIRECT("'"&amp;E138&amp;"'"&amp;"!A$5:Z$5"),0),4),1,"")),15),"")</f>
        <v>R15</v>
      </c>
      <c r="C138" s="859" t="str">
        <f ca="1">IFERROR(IF('Customer Inputs'!$U$15="Existing",IF('Customer Inputs'!R15=0,SUBSTITUTE(ADDRESS(1,MATCH(O138,INDIRECT("'"&amp;E138&amp;"'"&amp;"!$A$5:$Z$5"),0),4),1,""),SUBSTITUTE(ADDRESS(1,MATCH(A138,INDIRECT("'"&amp;E138&amp;"'"&amp;"!A$5:Z$5"),0),4),1,"")),SUBSTITUTE(ADDRESS(1,MATCH(A138,INDIRECT("'"&amp;E138&amp;"'"&amp;"!A$5:Z$5"),0),4),1,"")),"")</f>
        <v>R</v>
      </c>
      <c r="D138" s="859" t="s">
        <v>1374</v>
      </c>
      <c r="E138" s="918" t="s">
        <v>874</v>
      </c>
      <c r="F138" s="1409"/>
      <c r="G138" s="1409"/>
      <c r="H138" s="1409"/>
      <c r="I138" s="857" t="str">
        <f t="shared" si="21"/>
        <v/>
      </c>
      <c r="J138" s="1409"/>
      <c r="K138" s="1409" t="str">
        <f t="shared" si="23"/>
        <v/>
      </c>
      <c r="L138" s="896" t="s">
        <v>1197</v>
      </c>
      <c r="M138" s="1409">
        <v>230</v>
      </c>
      <c r="N138" s="1409"/>
      <c r="O138" s="1408" t="s">
        <v>1200</v>
      </c>
      <c r="P138" s="1408"/>
      <c r="Q138" s="1408"/>
      <c r="R138" s="1408"/>
      <c r="S138" s="1408"/>
      <c r="T138" s="1408"/>
      <c r="U138" s="1408"/>
      <c r="V138" s="1408"/>
      <c r="W138" s="1408"/>
      <c r="X138" s="1408"/>
      <c r="Y138" s="1408"/>
      <c r="Z138" s="1408"/>
      <c r="AA138" s="1408"/>
    </row>
    <row r="139" spans="1:27" x14ac:dyDescent="0.25">
      <c r="A139" s="917" t="s">
        <v>1198</v>
      </c>
      <c r="B139" s="859" t="str">
        <f ca="1">IFERROR(_xlfn.CONCAT(IF('Customer Inputs'!$U$15="Existing",IF('Customer Inputs'!T15=0,SUBSTITUTE(ADDRESS(1,MATCH(O139,INDIRECT("'"&amp;E139&amp;"'"&amp;"!$A$5:$Z$5"),0),4),1,""),SUBSTITUTE(ADDRESS(1,MATCH(A139,INDIRECT("'"&amp;E139&amp;"'"&amp;"!A$5:Z$5"),0),4),1,"")),SUBSTITUTE(ADDRESS(1,MATCH(A139,INDIRECT("'"&amp;E139&amp;"'"&amp;"!A$5:Z$5"),0),4),1,"")),15),"")</f>
        <v>T15</v>
      </c>
      <c r="C139" s="859" t="str">
        <f ca="1">IFERROR(IF('Customer Inputs'!$U$15="Existing",IF('Customer Inputs'!T15=0,SUBSTITUTE(ADDRESS(1,MATCH(O139,INDIRECT("'"&amp;E139&amp;"'"&amp;"!$A$5:$Z$5"),0),4),1,""),SUBSTITUTE(ADDRESS(1,MATCH(A139,INDIRECT("'"&amp;E139&amp;"'"&amp;"!A$5:Z$5"),0),4),1,"")),SUBSTITUTE(ADDRESS(1,MATCH(A139,INDIRECT("'"&amp;E139&amp;"'"&amp;"!A$5:Z$5"),0),4),1,"")),"")</f>
        <v>T</v>
      </c>
      <c r="D139" s="859" t="s">
        <v>1374</v>
      </c>
      <c r="E139" s="918" t="s">
        <v>874</v>
      </c>
      <c r="F139" s="1409"/>
      <c r="G139" s="1409"/>
      <c r="H139" s="1409"/>
      <c r="I139" s="857" t="str">
        <f t="shared" si="21"/>
        <v/>
      </c>
      <c r="J139" s="1409"/>
      <c r="K139" s="1409" t="str">
        <f t="shared" si="23"/>
        <v/>
      </c>
      <c r="L139" s="896" t="s">
        <v>1198</v>
      </c>
      <c r="M139" s="1409">
        <v>231</v>
      </c>
      <c r="N139" s="1409"/>
      <c r="O139" s="1408" t="s">
        <v>1194</v>
      </c>
      <c r="P139" s="1408"/>
      <c r="Q139" s="1408"/>
      <c r="R139" s="1408"/>
      <c r="S139" s="1408"/>
      <c r="T139" s="1408"/>
      <c r="U139" s="1408"/>
      <c r="V139" s="1408"/>
      <c r="W139" s="1408"/>
      <c r="X139" s="1408"/>
      <c r="Y139" s="1408"/>
      <c r="Z139" s="1408"/>
      <c r="AA139" s="1408"/>
    </row>
    <row r="140" spans="1:27" x14ac:dyDescent="0.25">
      <c r="A140" s="917" t="s">
        <v>1199</v>
      </c>
      <c r="B140" s="859" t="str">
        <f t="shared" ref="B140:B142" ca="1" si="25">_xlfn.IFNA(_xlfn.CONCAT(SUBSTITUTE(ADDRESS(1,MATCH(A140,INDIRECT("'"&amp;E140&amp;"'"&amp;"!A5:Z5"),0),4),1,""),15),"")</f>
        <v>U15</v>
      </c>
      <c r="C140" s="859" t="str">
        <f t="shared" ref="C140:C142" ca="1" si="26">_xlfn.IFNA(SUBSTITUTE(ADDRESS(1,MATCH(A140,INDIRECT("'"&amp;E140&amp;"'"&amp;"!A5:Z5"),0),4),1,""),"")</f>
        <v>U</v>
      </c>
      <c r="D140" s="859" t="s">
        <v>1374</v>
      </c>
      <c r="E140" s="918" t="s">
        <v>874</v>
      </c>
      <c r="F140" s="1409"/>
      <c r="G140" s="1409"/>
      <c r="H140" s="1409"/>
      <c r="I140" s="857" t="str">
        <f t="shared" si="21"/>
        <v/>
      </c>
      <c r="J140" s="1409"/>
      <c r="K140" s="1409" t="str">
        <f t="shared" si="23"/>
        <v/>
      </c>
      <c r="L140" s="896" t="s">
        <v>1199</v>
      </c>
      <c r="M140" s="1409">
        <v>232</v>
      </c>
      <c r="N140" s="1409"/>
      <c r="O140" s="1408"/>
      <c r="P140" s="1408"/>
      <c r="Q140" s="1408"/>
      <c r="R140" s="1408"/>
      <c r="S140" s="1408"/>
      <c r="T140" s="1408"/>
      <c r="U140" s="1408"/>
      <c r="V140" s="1408"/>
      <c r="W140" s="1408"/>
      <c r="X140" s="1408"/>
      <c r="Y140" s="1408"/>
      <c r="Z140" s="1408"/>
      <c r="AA140" s="1408"/>
    </row>
    <row r="141" spans="1:27" x14ac:dyDescent="0.25">
      <c r="A141" s="917" t="s">
        <v>1356</v>
      </c>
      <c r="B141" s="859" t="str">
        <f t="shared" ca="1" si="25"/>
        <v>V15</v>
      </c>
      <c r="C141" s="859" t="str">
        <f t="shared" ca="1" si="26"/>
        <v>V</v>
      </c>
      <c r="D141" s="859" t="s">
        <v>1374</v>
      </c>
      <c r="E141" s="918" t="s">
        <v>874</v>
      </c>
      <c r="F141" s="1409"/>
      <c r="G141" s="1409"/>
      <c r="H141" s="1409"/>
      <c r="I141" s="857" t="str">
        <f t="shared" si="21"/>
        <v/>
      </c>
      <c r="J141" s="1409"/>
      <c r="K141" s="1409" t="str">
        <f t="shared" si="23"/>
        <v/>
      </c>
      <c r="L141" s="896" t="s">
        <v>1446</v>
      </c>
      <c r="M141" s="1409">
        <v>233</v>
      </c>
      <c r="N141" s="1409"/>
      <c r="O141" s="1408"/>
      <c r="P141" s="1408"/>
      <c r="Q141" s="1408"/>
      <c r="R141" s="1408"/>
      <c r="S141" s="1408"/>
      <c r="T141" s="1408"/>
      <c r="U141" s="1408"/>
      <c r="V141" s="1408"/>
      <c r="W141" s="1408"/>
      <c r="X141" s="1408"/>
      <c r="Y141" s="1408"/>
      <c r="Z141" s="1408"/>
      <c r="AA141" s="1408"/>
    </row>
    <row r="142" spans="1:27" x14ac:dyDescent="0.25">
      <c r="A142" s="917" t="s">
        <v>1650</v>
      </c>
      <c r="B142" s="859" t="str">
        <f t="shared" ca="1" si="25"/>
        <v/>
      </c>
      <c r="C142" s="859" t="str">
        <f t="shared" ca="1" si="26"/>
        <v/>
      </c>
      <c r="D142" s="859" t="s">
        <v>1374</v>
      </c>
      <c r="E142" s="918" t="s">
        <v>874</v>
      </c>
      <c r="F142" s="1409"/>
      <c r="G142" s="1409"/>
      <c r="H142" s="1409"/>
      <c r="I142" s="857" t="str">
        <f t="shared" si="21"/>
        <v/>
      </c>
      <c r="J142" s="1409" t="str">
        <f t="shared" si="22"/>
        <v/>
      </c>
      <c r="K142" s="1409" t="str">
        <f t="shared" si="23"/>
        <v/>
      </c>
      <c r="L142" s="896" t="s">
        <v>1650</v>
      </c>
      <c r="M142" s="1409"/>
      <c r="N142" s="1409"/>
      <c r="O142" s="1408"/>
      <c r="P142" s="1408"/>
      <c r="Q142" s="1408"/>
      <c r="R142" s="1408"/>
      <c r="S142" s="1408"/>
      <c r="T142" s="1408"/>
      <c r="U142" s="1408"/>
      <c r="V142" s="1408"/>
      <c r="W142" s="1408"/>
      <c r="X142" s="1408"/>
      <c r="Y142" s="1408"/>
      <c r="Z142" s="1408"/>
      <c r="AA142" s="1408"/>
    </row>
    <row r="143" spans="1:27" x14ac:dyDescent="0.25">
      <c r="A143" s="1174" t="s">
        <v>1226</v>
      </c>
      <c r="B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59" t="s">
        <v>1367</v>
      </c>
      <c r="E143" s="859" t="s">
        <v>1368</v>
      </c>
      <c r="F143" s="1409"/>
      <c r="G143" s="1409"/>
      <c r="H143" s="1409"/>
      <c r="I143" s="857" t="str">
        <f t="shared" si="21"/>
        <v>Minimum Delivery Selection</v>
      </c>
      <c r="J143" s="1409" t="str">
        <f t="shared" si="22"/>
        <v>F12</v>
      </c>
      <c r="K143" s="1409" t="str">
        <f t="shared" si="23"/>
        <v>Agreement Worksheet</v>
      </c>
      <c r="L143" s="1409" t="s">
        <v>1226</v>
      </c>
      <c r="M143" s="1409">
        <v>12</v>
      </c>
      <c r="N143" s="1409"/>
      <c r="O143" s="1408"/>
      <c r="P143" s="1408"/>
      <c r="Q143" s="1408"/>
      <c r="R143" s="1408"/>
      <c r="S143" s="1408"/>
      <c r="T143" s="1408"/>
      <c r="U143" s="1408"/>
      <c r="V143" s="1408"/>
      <c r="W143" s="1408"/>
      <c r="X143" s="1408"/>
      <c r="Y143" s="1408"/>
      <c r="Z143" s="1408"/>
      <c r="AA143" s="1408"/>
    </row>
    <row r="144" spans="1:27" x14ac:dyDescent="0.25">
      <c r="A144" s="919" t="s">
        <v>1230</v>
      </c>
      <c r="B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59" t="s">
        <v>1367</v>
      </c>
      <c r="E144" s="859" t="s">
        <v>1368</v>
      </c>
      <c r="F144" s="858" t="s">
        <v>1230</v>
      </c>
      <c r="G144" s="859" t="s">
        <v>1919</v>
      </c>
      <c r="H144" s="859" t="s">
        <v>1912</v>
      </c>
      <c r="I144" s="857" t="str">
        <f t="shared" si="21"/>
        <v>Fuel Surcharge Included</v>
      </c>
      <c r="J144" s="1409" t="str">
        <f t="shared" si="22"/>
        <v>F18</v>
      </c>
      <c r="K144" s="1409" t="str">
        <f t="shared" si="23"/>
        <v>Agreement Worksheet</v>
      </c>
      <c r="L144" s="919" t="s">
        <v>1230</v>
      </c>
      <c r="M144" s="1409">
        <v>18</v>
      </c>
      <c r="N144" s="1409"/>
      <c r="O144" s="1408"/>
      <c r="P144" s="1408"/>
      <c r="Q144" s="1408"/>
      <c r="R144" s="1408"/>
      <c r="S144" s="1408"/>
      <c r="T144" s="1408"/>
      <c r="U144" s="1408"/>
      <c r="V144" s="1408"/>
      <c r="W144" s="1408"/>
      <c r="X144" s="1408"/>
      <c r="Y144" s="1408"/>
      <c r="Z144" s="1408"/>
      <c r="AA144" s="1408"/>
    </row>
    <row r="145" spans="1:27" x14ac:dyDescent="0.25">
      <c r="A145" s="919" t="s">
        <v>1231</v>
      </c>
      <c r="B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59" t="s">
        <v>1367</v>
      </c>
      <c r="E145" s="859" t="s">
        <v>1368</v>
      </c>
      <c r="F145" s="858" t="s">
        <v>1231</v>
      </c>
      <c r="G145" s="859" t="s">
        <v>1920</v>
      </c>
      <c r="H145" s="859" t="s">
        <v>1912</v>
      </c>
      <c r="I145" s="857" t="str">
        <f t="shared" si="21"/>
        <v>Fuel Surcharge Per</v>
      </c>
      <c r="J145" s="1409" t="str">
        <f t="shared" si="22"/>
        <v>F19</v>
      </c>
      <c r="K145" s="1409" t="str">
        <f t="shared" si="23"/>
        <v>Agreement Worksheet</v>
      </c>
      <c r="L145" s="919" t="s">
        <v>1231</v>
      </c>
      <c r="M145" s="1409">
        <v>19</v>
      </c>
      <c r="N145" s="1409"/>
      <c r="O145" s="1408"/>
      <c r="P145" s="1408"/>
      <c r="Q145" s="1408"/>
      <c r="R145" s="1408"/>
      <c r="S145" s="1408"/>
      <c r="T145" s="1408"/>
      <c r="U145" s="1408"/>
      <c r="V145" s="1408"/>
      <c r="W145" s="1408"/>
      <c r="X145" s="1408"/>
      <c r="Y145" s="1408"/>
      <c r="Z145" s="1408"/>
      <c r="AA145" s="1408"/>
    </row>
    <row r="146" spans="1:27" x14ac:dyDescent="0.25">
      <c r="A146" s="919" t="s">
        <v>1254</v>
      </c>
      <c r="B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59" t="s">
        <v>1367</v>
      </c>
      <c r="E146" s="859" t="s">
        <v>1368</v>
      </c>
      <c r="F146" s="919" t="s">
        <v>1254</v>
      </c>
      <c r="G146" s="1409" t="s">
        <v>1370</v>
      </c>
      <c r="H146" s="1409" t="s">
        <v>1248</v>
      </c>
      <c r="I146" s="857" t="str">
        <f t="shared" si="21"/>
        <v>Audit Age of Invoices</v>
      </c>
      <c r="J146" s="1409" t="str">
        <f t="shared" si="22"/>
        <v>F509</v>
      </c>
      <c r="K146" s="1409" t="str">
        <f t="shared" si="23"/>
        <v>Agreement Worksheet</v>
      </c>
      <c r="L146" s="919" t="s">
        <v>1254</v>
      </c>
      <c r="M146" s="1409">
        <v>509</v>
      </c>
      <c r="N146" s="1409"/>
      <c r="O146" s="1408"/>
      <c r="P146" s="1408"/>
      <c r="Q146" s="1408"/>
      <c r="R146" s="1408"/>
      <c r="S146" s="1408"/>
      <c r="T146" s="1408"/>
      <c r="U146" s="1408"/>
      <c r="V146" s="1408"/>
      <c r="W146" s="1408"/>
      <c r="X146" s="1408"/>
      <c r="Y146" s="1408"/>
      <c r="Z146" s="1408"/>
      <c r="AA146" s="1408"/>
    </row>
    <row r="147" spans="1:27" x14ac:dyDescent="0.25">
      <c r="A147" s="919" t="s">
        <v>1250</v>
      </c>
      <c r="B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59" t="s">
        <v>1367</v>
      </c>
      <c r="E147" s="859" t="s">
        <v>1368</v>
      </c>
      <c r="F147" s="919" t="s">
        <v>1250</v>
      </c>
      <c r="G147" s="1409" t="s">
        <v>1372</v>
      </c>
      <c r="H147" s="1409" t="s">
        <v>1248</v>
      </c>
      <c r="I147" s="857" t="str">
        <f t="shared" si="21"/>
        <v>Audit Frequency Code</v>
      </c>
      <c r="J147" s="1409" t="str">
        <f t="shared" si="22"/>
        <v>F510</v>
      </c>
      <c r="K147" s="1409" t="str">
        <f t="shared" si="23"/>
        <v>Agreement Worksheet</v>
      </c>
      <c r="L147" s="919" t="s">
        <v>1250</v>
      </c>
      <c r="M147" s="1409">
        <v>510</v>
      </c>
      <c r="N147" s="1409"/>
      <c r="O147" s="1408"/>
      <c r="P147" s="1408"/>
      <c r="Q147" s="1408"/>
      <c r="R147" s="1408"/>
      <c r="S147" s="1408"/>
      <c r="T147" s="1408"/>
      <c r="U147" s="1408"/>
      <c r="V147" s="1408"/>
      <c r="W147" s="1408"/>
      <c r="X147" s="1408"/>
      <c r="Y147" s="1408"/>
      <c r="Z147" s="1408"/>
      <c r="AA147" s="1408"/>
    </row>
    <row r="148" spans="1:27" x14ac:dyDescent="0.25">
      <c r="A148" s="919" t="s">
        <v>1251</v>
      </c>
      <c r="B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59" t="s">
        <v>1367</v>
      </c>
      <c r="E148" s="859" t="s">
        <v>1368</v>
      </c>
      <c r="F148" s="919" t="s">
        <v>1251</v>
      </c>
      <c r="G148" s="1409" t="s">
        <v>1387</v>
      </c>
      <c r="H148" s="1409" t="s">
        <v>1248</v>
      </c>
      <c r="I148" s="857" t="str">
        <f t="shared" si="21"/>
        <v>Audit Nbr of Invoice Line Items</v>
      </c>
      <c r="J148" s="1409" t="str">
        <f t="shared" si="22"/>
        <v>F511</v>
      </c>
      <c r="K148" s="1409" t="str">
        <f t="shared" si="23"/>
        <v>Agreement Worksheet</v>
      </c>
      <c r="L148" s="919" t="s">
        <v>1251</v>
      </c>
      <c r="M148" s="1409">
        <v>511</v>
      </c>
      <c r="N148" s="1409"/>
      <c r="O148" s="1408"/>
      <c r="P148" s="1408"/>
      <c r="Q148" s="1408"/>
      <c r="R148" s="1408"/>
      <c r="S148" s="1408"/>
      <c r="T148" s="1408"/>
      <c r="U148" s="1408"/>
      <c r="V148" s="1408"/>
      <c r="W148" s="1408"/>
      <c r="X148" s="1408"/>
      <c r="Y148" s="1408"/>
      <c r="Z148" s="1408"/>
      <c r="AA148" s="1408"/>
    </row>
    <row r="149" spans="1:27" x14ac:dyDescent="0.25">
      <c r="A149" s="919" t="s">
        <v>1255</v>
      </c>
      <c r="B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59" t="s">
        <v>1367</v>
      </c>
      <c r="E149" s="859" t="s">
        <v>1368</v>
      </c>
      <c r="F149" s="919" t="s">
        <v>1255</v>
      </c>
      <c r="G149" s="1409" t="s">
        <v>657</v>
      </c>
      <c r="H149" s="1409" t="s">
        <v>1248</v>
      </c>
      <c r="I149" s="857" t="str">
        <f t="shared" si="21"/>
        <v>CPI ECI</v>
      </c>
      <c r="J149" s="1409" t="str">
        <f t="shared" si="22"/>
        <v>F512</v>
      </c>
      <c r="K149" s="1409" t="str">
        <f t="shared" si="23"/>
        <v>Agreement Worksheet</v>
      </c>
      <c r="L149" s="919" t="s">
        <v>1255</v>
      </c>
      <c r="M149" s="1409">
        <v>512</v>
      </c>
      <c r="N149" s="1409"/>
      <c r="O149" s="1408"/>
      <c r="P149" s="1408"/>
      <c r="Q149" s="1408"/>
      <c r="R149" s="1408"/>
      <c r="S149" s="1408"/>
      <c r="T149" s="1408"/>
      <c r="U149" s="1408"/>
      <c r="V149" s="1408"/>
      <c r="W149" s="1408"/>
      <c r="X149" s="1408"/>
      <c r="Y149" s="1408"/>
      <c r="Z149" s="1408"/>
      <c r="AA149" s="1408"/>
    </row>
    <row r="150" spans="1:27" x14ac:dyDescent="0.25">
      <c r="A150" s="919" t="s">
        <v>1252</v>
      </c>
      <c r="B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59" t="s">
        <v>1367</v>
      </c>
      <c r="E150" s="859" t="s">
        <v>1368</v>
      </c>
      <c r="F150" s="919" t="s">
        <v>1252</v>
      </c>
      <c r="G150" s="1409" t="s">
        <v>1373</v>
      </c>
      <c r="H150" s="1409" t="s">
        <v>1248</v>
      </c>
      <c r="I150" s="857" t="str">
        <f t="shared" si="21"/>
        <v>Margin Erosion Rate</v>
      </c>
      <c r="J150" s="1409" t="str">
        <f t="shared" si="22"/>
        <v>F513</v>
      </c>
      <c r="K150" s="1409" t="str">
        <f t="shared" si="23"/>
        <v>Agreement Worksheet</v>
      </c>
      <c r="L150" s="919" t="s">
        <v>1252</v>
      </c>
      <c r="M150" s="1409">
        <v>513</v>
      </c>
      <c r="N150" s="1409"/>
      <c r="O150" s="1408"/>
      <c r="P150" s="1408"/>
      <c r="Q150" s="1408"/>
      <c r="R150" s="1408"/>
      <c r="S150" s="1408"/>
      <c r="T150" s="1408"/>
      <c r="U150" s="1408"/>
      <c r="V150" s="1408"/>
      <c r="W150" s="1408"/>
      <c r="X150" s="1408"/>
      <c r="Y150" s="1408"/>
      <c r="Z150" s="1408"/>
      <c r="AA150" s="1408"/>
    </row>
    <row r="151" spans="1:27" x14ac:dyDescent="0.25">
      <c r="A151" s="919" t="s">
        <v>1213</v>
      </c>
      <c r="B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59" t="s">
        <v>1367</v>
      </c>
      <c r="E151" s="859" t="s">
        <v>1368</v>
      </c>
      <c r="F151" s="52" t="s">
        <v>1213</v>
      </c>
      <c r="G151" s="52" t="s">
        <v>1379</v>
      </c>
      <c r="H151" s="52" t="s">
        <v>1912</v>
      </c>
      <c r="I151" s="857" t="str">
        <f t="shared" si="21"/>
        <v>Standard Agreement</v>
      </c>
      <c r="J151" s="1409" t="str">
        <f t="shared" si="22"/>
        <v>F516</v>
      </c>
      <c r="K151" s="1409" t="str">
        <f t="shared" si="23"/>
        <v>Agreement Worksheet</v>
      </c>
      <c r="L151" s="919" t="s">
        <v>1213</v>
      </c>
      <c r="M151" s="1409">
        <v>516</v>
      </c>
      <c r="N151" s="1409"/>
      <c r="O151" s="1408"/>
      <c r="P151" s="1408"/>
      <c r="Q151" s="1408"/>
      <c r="R151" s="1408"/>
      <c r="S151" s="1408"/>
      <c r="T151" s="1408"/>
      <c r="U151" s="1408"/>
      <c r="V151" s="1408"/>
      <c r="W151" s="1408"/>
      <c r="X151" s="1408"/>
      <c r="Y151" s="1408"/>
      <c r="Z151" s="1408"/>
      <c r="AA151" s="1408"/>
    </row>
    <row r="152" spans="1:27" ht="30" x14ac:dyDescent="0.25">
      <c r="A152" s="919" t="s">
        <v>1274</v>
      </c>
      <c r="B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59" t="s">
        <v>1367</v>
      </c>
      <c r="E152" s="859" t="s">
        <v>1368</v>
      </c>
      <c r="F152" s="859" t="s">
        <v>1195</v>
      </c>
      <c r="G152" s="859" t="s">
        <v>1393</v>
      </c>
      <c r="H152" s="859" t="s">
        <v>1912</v>
      </c>
      <c r="I152" s="857" t="str">
        <f t="shared" si="21"/>
        <v>Agreement Annual Purchase Commitment</v>
      </c>
      <c r="J152" s="1409" t="str">
        <f t="shared" si="22"/>
        <v>F20</v>
      </c>
      <c r="K152" s="1409" t="str">
        <f t="shared" si="23"/>
        <v>Agreement Worksheet</v>
      </c>
      <c r="L152" s="895" t="s">
        <v>1274</v>
      </c>
      <c r="M152" s="1409">
        <v>20</v>
      </c>
      <c r="N152" s="1409"/>
      <c r="O152" s="1408"/>
      <c r="P152" s="1408"/>
      <c r="Q152" s="1408"/>
      <c r="R152" s="1408"/>
      <c r="S152" s="1408"/>
      <c r="T152" s="1408"/>
      <c r="U152" s="1408"/>
      <c r="V152" s="1408"/>
      <c r="W152" s="1408"/>
      <c r="X152" s="1408"/>
      <c r="Y152" s="1408"/>
      <c r="Z152" s="1408"/>
      <c r="AA152" s="1408"/>
    </row>
    <row r="153" spans="1:27" x14ac:dyDescent="0.25">
      <c r="A153" s="919" t="s">
        <v>1212</v>
      </c>
      <c r="B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59" t="s">
        <v>1367</v>
      </c>
      <c r="E153" s="859" t="s">
        <v>1368</v>
      </c>
      <c r="F153" s="1422" t="s">
        <v>1212</v>
      </c>
      <c r="G153" s="859" t="s">
        <v>1378</v>
      </c>
      <c r="H153" s="52" t="s">
        <v>1912</v>
      </c>
      <c r="I153" s="857" t="str">
        <f t="shared" si="21"/>
        <v>Multi Market Flag</v>
      </c>
      <c r="J153" s="1409" t="str">
        <f t="shared" si="22"/>
        <v>F21</v>
      </c>
      <c r="K153" s="1409" t="str">
        <f t="shared" si="23"/>
        <v>Agreement Worksheet</v>
      </c>
      <c r="L153" s="919" t="s">
        <v>1212</v>
      </c>
      <c r="M153" s="1409">
        <v>21</v>
      </c>
      <c r="N153" s="1409"/>
      <c r="O153" s="1408"/>
      <c r="P153" s="1408"/>
      <c r="Q153" s="1408"/>
      <c r="R153" s="1408"/>
      <c r="S153" s="1408"/>
      <c r="T153" s="1408"/>
      <c r="U153" s="1408"/>
      <c r="V153" s="1408"/>
      <c r="W153" s="1408"/>
      <c r="X153" s="1408"/>
      <c r="Y153" s="1408"/>
      <c r="Z153" s="1408"/>
      <c r="AA153" s="1408"/>
    </row>
    <row r="154" spans="1:27" x14ac:dyDescent="0.25">
      <c r="A154" s="919" t="s">
        <v>1210</v>
      </c>
      <c r="B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59" t="s">
        <v>1367</v>
      </c>
      <c r="E154" s="859" t="s">
        <v>1368</v>
      </c>
      <c r="F154" s="858" t="s">
        <v>1921</v>
      </c>
      <c r="G154" s="859" t="s">
        <v>1922</v>
      </c>
      <c r="H154" s="859" t="s">
        <v>1912</v>
      </c>
      <c r="I154" s="857" t="str">
        <f t="shared" si="21"/>
        <v>Lead Market</v>
      </c>
      <c r="J154" s="1409" t="str">
        <f t="shared" si="22"/>
        <v>F22</v>
      </c>
      <c r="K154" s="1409" t="str">
        <f t="shared" si="23"/>
        <v>Agreement Worksheet</v>
      </c>
      <c r="L154" s="919" t="s">
        <v>1210</v>
      </c>
      <c r="M154" s="1409">
        <v>22</v>
      </c>
      <c r="N154" s="1409"/>
      <c r="O154" s="1408"/>
      <c r="P154" s="1408"/>
      <c r="Q154" s="1408"/>
      <c r="R154" s="1408"/>
      <c r="S154" s="1408"/>
      <c r="T154" s="1408"/>
      <c r="U154" s="1408"/>
      <c r="V154" s="1408"/>
      <c r="W154" s="1408"/>
      <c r="X154" s="1408"/>
      <c r="Y154" s="1408"/>
      <c r="Z154" s="1408"/>
      <c r="AA154" s="1408"/>
    </row>
    <row r="155" spans="1:27" x14ac:dyDescent="0.25">
      <c r="A155" s="919" t="s">
        <v>1211</v>
      </c>
      <c r="B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59" t="s">
        <v>1367</v>
      </c>
      <c r="E155" s="859" t="s">
        <v>1368</v>
      </c>
      <c r="F155" s="52" t="s">
        <v>1211</v>
      </c>
      <c r="G155" s="52" t="s">
        <v>1372</v>
      </c>
      <c r="H155" s="52" t="s">
        <v>1912</v>
      </c>
      <c r="I155" s="857" t="str">
        <f t="shared" si="21"/>
        <v>Agreement Sub Classification</v>
      </c>
      <c r="J155" s="1409" t="str">
        <f t="shared" si="22"/>
        <v>F23</v>
      </c>
      <c r="K155" s="1409" t="str">
        <f t="shared" si="23"/>
        <v>Agreement Worksheet</v>
      </c>
      <c r="L155" s="919" t="s">
        <v>1211</v>
      </c>
      <c r="M155" s="1409">
        <v>23</v>
      </c>
      <c r="N155" s="1409"/>
      <c r="O155" s="1408"/>
      <c r="P155" s="1408"/>
      <c r="Q155" s="1408"/>
      <c r="R155" s="1408"/>
      <c r="S155" s="1408"/>
      <c r="T155" s="1408"/>
      <c r="U155" s="1408"/>
      <c r="V155" s="1408"/>
      <c r="W155" s="1408"/>
      <c r="X155" s="1408"/>
      <c r="Y155" s="1408"/>
      <c r="Z155" s="1408"/>
      <c r="AA155" s="1408"/>
    </row>
    <row r="156" spans="1:27" x14ac:dyDescent="0.25">
      <c r="A156" s="919" t="s">
        <v>1744</v>
      </c>
      <c r="B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59" t="s">
        <v>1367</v>
      </c>
      <c r="E156" s="859" t="s">
        <v>1368</v>
      </c>
      <c r="F156" s="858" t="s">
        <v>1744</v>
      </c>
      <c r="G156" s="859" t="s">
        <v>1923</v>
      </c>
      <c r="H156" s="859" t="s">
        <v>1912</v>
      </c>
      <c r="I156" s="857" t="str">
        <f t="shared" si="21"/>
        <v>Legacy Agreement Flag</v>
      </c>
      <c r="J156" s="1409" t="str">
        <f t="shared" si="22"/>
        <v>F24</v>
      </c>
      <c r="K156" s="1409" t="str">
        <f t="shared" si="23"/>
        <v>Agreement Worksheet</v>
      </c>
      <c r="L156" s="919" t="s">
        <v>1744</v>
      </c>
      <c r="M156" s="1409">
        <v>24</v>
      </c>
      <c r="N156" s="1409"/>
      <c r="O156" s="1408"/>
      <c r="P156" s="1408"/>
      <c r="Q156" s="1408"/>
      <c r="R156" s="1408"/>
      <c r="S156" s="1408"/>
      <c r="T156" s="1408"/>
      <c r="U156" s="1408"/>
      <c r="V156" s="1408"/>
      <c r="W156" s="1408"/>
      <c r="X156" s="1408"/>
      <c r="Y156" s="1408"/>
      <c r="Z156" s="1408"/>
      <c r="AA156" s="1408"/>
    </row>
    <row r="157" spans="1:27" x14ac:dyDescent="0.25">
      <c r="A157" s="919" t="s">
        <v>1742</v>
      </c>
      <c r="B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59" t="s">
        <v>1367</v>
      </c>
      <c r="E157" s="859" t="s">
        <v>1368</v>
      </c>
      <c r="F157" s="919" t="s">
        <v>1742</v>
      </c>
      <c r="G157" s="52" t="s">
        <v>1383</v>
      </c>
      <c r="H157" s="52" t="s">
        <v>1912</v>
      </c>
      <c r="I157" s="857" t="str">
        <f t="shared" si="21"/>
        <v>Agreement Calendar</v>
      </c>
      <c r="J157" s="1409" t="str">
        <f t="shared" si="22"/>
        <v>F25</v>
      </c>
      <c r="K157" s="1409" t="str">
        <f t="shared" si="23"/>
        <v>Agreement Worksheet</v>
      </c>
      <c r="L157" s="919" t="s">
        <v>1742</v>
      </c>
      <c r="M157" s="1409">
        <v>25</v>
      </c>
      <c r="N157" s="1409"/>
      <c r="O157" s="1408"/>
      <c r="P157" s="1408"/>
      <c r="Q157" s="1408"/>
      <c r="R157" s="1408"/>
      <c r="S157" s="1408"/>
      <c r="T157" s="1408"/>
      <c r="U157" s="1408"/>
      <c r="V157" s="1408"/>
      <c r="W157" s="1408"/>
      <c r="X157" s="1408"/>
      <c r="Y157" s="1408"/>
      <c r="Z157" s="1408"/>
      <c r="AA157" s="1408"/>
    </row>
    <row r="158" spans="1:27" x14ac:dyDescent="0.25">
      <c r="A158" s="859" t="s">
        <v>1185</v>
      </c>
      <c r="B158" s="859" t="str">
        <f>IFERROR(_xlfn.CONCAT("E",MATCH(A158,'Required Info to Submit'!E$1:E$19,0)),"")</f>
        <v>E14</v>
      </c>
      <c r="C158" s="859" t="str">
        <f>IFERROR(_xlfn.CONCAT("F",MATCH(A158,'Required Info to Submit'!E$1:E$19,0)),"")</f>
        <v>F14</v>
      </c>
      <c r="D158" s="859" t="s">
        <v>1367</v>
      </c>
      <c r="E158" s="859" t="s">
        <v>1418</v>
      </c>
      <c r="F158" s="859" t="s">
        <v>1437</v>
      </c>
      <c r="G158" s="52" t="s">
        <v>1387</v>
      </c>
      <c r="H158" s="52" t="s">
        <v>1912</v>
      </c>
      <c r="I158" s="857" t="str">
        <f t="shared" si="21"/>
        <v xml:space="preserve">Agreement Effective Date: </v>
      </c>
      <c r="J158" s="1409" t="str">
        <f t="shared" si="22"/>
        <v>F7</v>
      </c>
      <c r="K158" s="1409" t="str">
        <f t="shared" si="23"/>
        <v>Required Info To Submit</v>
      </c>
      <c r="L158" s="859" t="s">
        <v>1437</v>
      </c>
      <c r="M158" s="1409">
        <v>7</v>
      </c>
      <c r="N158" s="1409"/>
      <c r="O158" s="1408"/>
      <c r="P158" s="1408"/>
      <c r="Q158" s="1408"/>
      <c r="R158" s="1408"/>
      <c r="S158" s="1408"/>
      <c r="T158" s="1408"/>
      <c r="U158" s="1408"/>
      <c r="V158" s="1408"/>
      <c r="W158" s="1408"/>
      <c r="X158" s="1408"/>
      <c r="Y158" s="1408"/>
      <c r="Z158" s="1408"/>
      <c r="AA158" s="1408"/>
    </row>
    <row r="159" spans="1:27" x14ac:dyDescent="0.25">
      <c r="A159" s="859" t="s">
        <v>1186</v>
      </c>
      <c r="B159" s="859" t="str">
        <f>IFERROR(_xlfn.CONCAT("E",MATCH(A159,'Required Info to Submit'!E$1:E$19,0)),"")</f>
        <v>E17</v>
      </c>
      <c r="C159" s="859" t="str">
        <f>IFERROR(_xlfn.CONCAT("F",MATCH(A159,'Required Info to Submit'!E$1:E$19,0)),"")</f>
        <v>F17</v>
      </c>
      <c r="D159" s="859" t="s">
        <v>1367</v>
      </c>
      <c r="E159" s="859" t="s">
        <v>1418</v>
      </c>
      <c r="F159" s="859" t="s">
        <v>1438</v>
      </c>
      <c r="G159" s="52" t="s">
        <v>657</v>
      </c>
      <c r="H159" s="52" t="s">
        <v>1912</v>
      </c>
      <c r="I159" s="857" t="str">
        <f t="shared" si="21"/>
        <v>Agreement Expiration Date:</v>
      </c>
      <c r="J159" s="1409" t="str">
        <f t="shared" si="22"/>
        <v>F8</v>
      </c>
      <c r="K159" s="1409" t="str">
        <f t="shared" si="23"/>
        <v>Required Info To Submit</v>
      </c>
      <c r="L159" s="859" t="s">
        <v>1438</v>
      </c>
      <c r="M159" s="1409">
        <v>8</v>
      </c>
      <c r="N159" s="1409"/>
      <c r="O159" s="1408"/>
      <c r="P159" s="1408"/>
      <c r="Q159" s="1408"/>
      <c r="R159" s="1408"/>
      <c r="S159" s="1408"/>
      <c r="T159" s="1408"/>
      <c r="U159" s="1408"/>
      <c r="V159" s="1408"/>
      <c r="W159" s="1408"/>
      <c r="X159" s="1408"/>
      <c r="Y159" s="1408"/>
      <c r="Z159" s="1408"/>
      <c r="AA159" s="1408"/>
    </row>
    <row r="160" spans="1:27" x14ac:dyDescent="0.25">
      <c r="A160" s="919" t="s">
        <v>848</v>
      </c>
      <c r="B160" s="859" t="str">
        <f>IFERROR(_xlfn.CONCAT("E",MATCH(A160,'Required Info to Submit'!E$1:E$19,0)),"")</f>
        <v>E4</v>
      </c>
      <c r="C160" s="859" t="str">
        <f>IFERROR(_xlfn.CONCAT("F",MATCH(A160,'Required Info to Submit'!E$1:E$19,0)),"")</f>
        <v>F4</v>
      </c>
      <c r="D160" s="859" t="s">
        <v>1367</v>
      </c>
      <c r="E160" s="859" t="s">
        <v>1418</v>
      </c>
      <c r="F160" s="1409"/>
      <c r="G160" s="1409"/>
      <c r="H160" s="1409"/>
      <c r="I160" s="857" t="str">
        <f t="shared" si="21"/>
        <v xml:space="preserve">Market Contact: </v>
      </c>
      <c r="J160" s="1409" t="str">
        <f t="shared" si="22"/>
        <v>F502</v>
      </c>
      <c r="K160" s="1409" t="str">
        <f t="shared" si="23"/>
        <v>Required Info To Submit</v>
      </c>
      <c r="L160" s="919" t="s">
        <v>1465</v>
      </c>
      <c r="M160" s="1409">
        <v>502</v>
      </c>
      <c r="N160" s="1409"/>
      <c r="O160" s="1408"/>
      <c r="P160" s="1408"/>
      <c r="Q160" s="1408"/>
      <c r="R160" s="1408"/>
      <c r="S160" s="1408"/>
      <c r="T160" s="1408"/>
      <c r="U160" s="1408"/>
      <c r="V160" s="1408"/>
      <c r="W160" s="1408"/>
      <c r="X160" s="1408"/>
      <c r="Y160" s="1408"/>
      <c r="Z160" s="1408"/>
      <c r="AA160" s="1408"/>
    </row>
    <row r="161" spans="1:27" x14ac:dyDescent="0.25">
      <c r="A161" s="919" t="s">
        <v>1181</v>
      </c>
      <c r="B161" s="859" t="str">
        <f>IFERROR(_xlfn.CONCAT("E",MATCH(A161,'Required Info to Submit'!E$1:E$19,0)),"")</f>
        <v>E6</v>
      </c>
      <c r="C161" s="859" t="str">
        <f>IFERROR(_xlfn.CONCAT("F",MATCH(A161,'Required Info to Submit'!E$1:E$19,0)),"")</f>
        <v>F6</v>
      </c>
      <c r="D161" s="859" t="s">
        <v>1367</v>
      </c>
      <c r="E161" s="859" t="s">
        <v>1418</v>
      </c>
      <c r="F161" s="1409"/>
      <c r="G161" s="1409"/>
      <c r="H161" s="1409"/>
      <c r="I161" s="857" t="str">
        <f t="shared" si="21"/>
        <v xml:space="preserve">Legal Entity: </v>
      </c>
      <c r="J161" s="1409" t="str">
        <f t="shared" si="22"/>
        <v>F503</v>
      </c>
      <c r="K161" s="1409" t="str">
        <f t="shared" si="23"/>
        <v>Required Info To Submit</v>
      </c>
      <c r="L161" s="919" t="s">
        <v>1466</v>
      </c>
      <c r="M161" s="1409">
        <v>503</v>
      </c>
      <c r="N161" s="1409"/>
      <c r="O161" s="1408"/>
      <c r="P161" s="1408"/>
      <c r="Q161" s="1408"/>
      <c r="R161" s="1408"/>
      <c r="S161" s="1408"/>
      <c r="T161" s="1408"/>
      <c r="U161" s="1408"/>
      <c r="V161" s="1408"/>
      <c r="W161" s="1408"/>
      <c r="X161" s="1408"/>
      <c r="Y161" s="1408"/>
      <c r="Z161" s="1408"/>
      <c r="AA161" s="1408"/>
    </row>
    <row r="162" spans="1:27" x14ac:dyDescent="0.25">
      <c r="A162" s="919" t="s">
        <v>1182</v>
      </c>
      <c r="B162" s="859" t="str">
        <f>IFERROR(_xlfn.CONCAT("E",MATCH(A162,'Required Info to Submit'!E$1:E$19,0)),"")</f>
        <v>E8</v>
      </c>
      <c r="C162" s="859" t="str">
        <f>IFERROR(_xlfn.CONCAT("F",MATCH(A162,'Required Info to Submit'!E$1:E$19,0)),"")</f>
        <v>F8</v>
      </c>
      <c r="D162" s="859" t="s">
        <v>1367</v>
      </c>
      <c r="E162" s="859" t="s">
        <v>1418</v>
      </c>
      <c r="F162" s="52" t="s">
        <v>1468</v>
      </c>
      <c r="G162" s="52" t="s">
        <v>1924</v>
      </c>
      <c r="H162" s="52" t="s">
        <v>1912</v>
      </c>
      <c r="I162" s="857" t="str">
        <f t="shared" si="21"/>
        <v xml:space="preserve">DBA Name: </v>
      </c>
      <c r="J162" s="1409" t="str">
        <f t="shared" si="22"/>
        <v>F504</v>
      </c>
      <c r="K162" s="1409" t="str">
        <f t="shared" si="23"/>
        <v>Required Info To Submit</v>
      </c>
      <c r="L162" s="919" t="s">
        <v>1468</v>
      </c>
      <c r="M162" s="1409">
        <v>504</v>
      </c>
      <c r="N162" s="1409"/>
      <c r="O162" s="1408"/>
      <c r="P162" s="1408"/>
      <c r="Q162" s="1408"/>
      <c r="R162" s="1408"/>
      <c r="S162" s="1408"/>
      <c r="T162" s="1408"/>
      <c r="U162" s="1408"/>
      <c r="V162" s="1408"/>
      <c r="W162" s="1408"/>
      <c r="X162" s="1408"/>
      <c r="Y162" s="1408"/>
      <c r="Z162" s="1408"/>
      <c r="AA162" s="1408"/>
    </row>
    <row r="163" spans="1:27" x14ac:dyDescent="0.25">
      <c r="A163" s="919" t="s">
        <v>1183</v>
      </c>
      <c r="B163" s="859" t="str">
        <f>IFERROR(_xlfn.CONCAT("E",MATCH(A163,'Required Info to Submit'!E$1:E$19,0)),"")</f>
        <v>E9</v>
      </c>
      <c r="C163" s="859" t="str">
        <f>IFERROR(_xlfn.CONCAT("F",MATCH(A163,'Required Info to Submit'!E$1:E$19,0)),"")</f>
        <v>F9</v>
      </c>
      <c r="D163" s="859" t="s">
        <v>1367</v>
      </c>
      <c r="E163" s="859" t="s">
        <v>1418</v>
      </c>
      <c r="F163" s="1409"/>
      <c r="G163" s="1409"/>
      <c r="H163" s="1409"/>
      <c r="I163" s="857" t="str">
        <f t="shared" si="21"/>
        <v xml:space="preserve">Legal Entity Address: </v>
      </c>
      <c r="J163" s="1409" t="str">
        <f t="shared" si="22"/>
        <v>F505</v>
      </c>
      <c r="K163" s="1409" t="str">
        <f t="shared" si="23"/>
        <v>Required Info To Submit</v>
      </c>
      <c r="L163" s="919" t="s">
        <v>1469</v>
      </c>
      <c r="M163" s="1409">
        <v>505</v>
      </c>
      <c r="N163" s="1409"/>
      <c r="O163" s="1408"/>
      <c r="P163" s="1408"/>
      <c r="Q163" s="1408"/>
      <c r="R163" s="1408"/>
      <c r="S163" s="1408"/>
      <c r="T163" s="1408"/>
      <c r="U163" s="1408"/>
      <c r="V163" s="1408"/>
      <c r="W163" s="1408"/>
      <c r="X163" s="1408"/>
      <c r="Y163" s="1408"/>
      <c r="Z163" s="1408"/>
      <c r="AA163" s="1408"/>
    </row>
    <row r="164" spans="1:27" x14ac:dyDescent="0.25">
      <c r="A164" s="919" t="s">
        <v>840</v>
      </c>
      <c r="B164" s="859" t="str">
        <f>IFERROR(_xlfn.CONCAT("E",MATCH(A164,'Required Info to Submit'!E$1:E$19,0)),"")</f>
        <v>E10</v>
      </c>
      <c r="C164" s="859" t="str">
        <f>IFERROR(_xlfn.CONCAT("F",MATCH(A164,'Required Info to Submit'!E$1:E$19,0)),"")</f>
        <v>F10</v>
      </c>
      <c r="D164" s="859" t="s">
        <v>1367</v>
      </c>
      <c r="E164" s="859" t="s">
        <v>1418</v>
      </c>
      <c r="F164" s="1409"/>
      <c r="G164" s="1409"/>
      <c r="H164" s="1409"/>
      <c r="I164" s="857" t="str">
        <f t="shared" si="21"/>
        <v xml:space="preserve">Attention: </v>
      </c>
      <c r="J164" s="1409" t="str">
        <f t="shared" si="22"/>
        <v>F506</v>
      </c>
      <c r="K164" s="1409" t="str">
        <f t="shared" si="23"/>
        <v>Required Info To Submit</v>
      </c>
      <c r="L164" s="919" t="s">
        <v>1470</v>
      </c>
      <c r="M164" s="1409">
        <v>506</v>
      </c>
      <c r="N164" s="1409"/>
      <c r="O164" s="1408"/>
      <c r="P164" s="1408"/>
      <c r="Q164" s="1408"/>
      <c r="R164" s="1408"/>
      <c r="S164" s="1408"/>
      <c r="T164" s="1408"/>
      <c r="U164" s="1408"/>
      <c r="V164" s="1408"/>
      <c r="W164" s="1408"/>
      <c r="X164" s="1408"/>
      <c r="Y164" s="1408"/>
      <c r="Z164" s="1408"/>
      <c r="AA164" s="1408"/>
    </row>
    <row r="165" spans="1:27" x14ac:dyDescent="0.25">
      <c r="A165" s="919" t="s">
        <v>799</v>
      </c>
      <c r="B165" s="859" t="str">
        <f>IFERROR(_xlfn.CONCAT("E",MATCH(A165,'Required Info to Submit'!E$1:E$19,0)),"")</f>
        <v>E11</v>
      </c>
      <c r="C165" s="859" t="str">
        <f>IFERROR(_xlfn.CONCAT("F",MATCH(A165,'Required Info to Submit'!E$1:E$19,0)),"")</f>
        <v>F11</v>
      </c>
      <c r="D165" s="859" t="s">
        <v>1367</v>
      </c>
      <c r="E165" s="859" t="s">
        <v>1418</v>
      </c>
      <c r="F165" s="1409"/>
      <c r="G165" s="1409"/>
      <c r="H165" s="1409"/>
      <c r="I165" s="857" t="str">
        <f t="shared" si="21"/>
        <v xml:space="preserve">Phone Number: </v>
      </c>
      <c r="J165" s="1409" t="str">
        <f t="shared" si="22"/>
        <v>F507</v>
      </c>
      <c r="K165" s="1409" t="str">
        <f t="shared" si="23"/>
        <v>Required Info To Submit</v>
      </c>
      <c r="L165" s="919" t="s">
        <v>1471</v>
      </c>
      <c r="M165" s="1409">
        <v>507</v>
      </c>
      <c r="N165" s="1409"/>
      <c r="O165" s="1408"/>
      <c r="P165" s="1408"/>
      <c r="Q165" s="1408"/>
      <c r="R165" s="1408"/>
      <c r="S165" s="1408"/>
      <c r="T165" s="1408"/>
      <c r="U165" s="1408"/>
      <c r="V165" s="1408"/>
      <c r="W165" s="1408"/>
      <c r="X165" s="1408"/>
      <c r="Y165" s="1408"/>
      <c r="Z165" s="1408"/>
      <c r="AA165" s="1408"/>
    </row>
    <row r="166" spans="1:27" x14ac:dyDescent="0.25">
      <c r="A166" s="919" t="s">
        <v>1184</v>
      </c>
      <c r="B166" s="859" t="str">
        <f>IFERROR(_xlfn.CONCAT("E",MATCH(A166,'Required Info to Submit'!E$1:E$19,0)),"")</f>
        <v>E12</v>
      </c>
      <c r="C166" s="859" t="str">
        <f>IFERROR(_xlfn.CONCAT("F",MATCH(A166,'Required Info to Submit'!E$1:E$19,0)),"")</f>
        <v>F12</v>
      </c>
      <c r="D166" s="859" t="s">
        <v>1367</v>
      </c>
      <c r="E166" s="859" t="s">
        <v>1418</v>
      </c>
      <c r="F166" s="1409"/>
      <c r="G166" s="1409"/>
      <c r="H166" s="1409"/>
      <c r="I166" s="857" t="str">
        <f t="shared" si="21"/>
        <v xml:space="preserve">Legal Entity City, State, Zip: </v>
      </c>
      <c r="J166" s="1409" t="str">
        <f t="shared" si="22"/>
        <v>F508</v>
      </c>
      <c r="K166" s="1409" t="str">
        <f t="shared" si="23"/>
        <v>Required Info To Submit</v>
      </c>
      <c r="L166" s="919" t="s">
        <v>1472</v>
      </c>
      <c r="M166" s="1409">
        <v>508</v>
      </c>
      <c r="N166" s="1409"/>
      <c r="O166" s="1408"/>
      <c r="P166" s="1408"/>
      <c r="Q166" s="1408"/>
      <c r="R166" s="1408"/>
      <c r="S166" s="1408"/>
      <c r="T166" s="1408"/>
      <c r="U166" s="1408"/>
      <c r="V166" s="1408"/>
      <c r="W166" s="1408"/>
      <c r="X166" s="1408"/>
      <c r="Y166" s="1408"/>
      <c r="Z166" s="1408"/>
      <c r="AA166" s="1408"/>
    </row>
    <row r="167" spans="1:27" x14ac:dyDescent="0.25">
      <c r="A167" s="920" t="s">
        <v>1188</v>
      </c>
      <c r="B167" s="859" t="str">
        <f ca="1">_xlfn.IFNA(_xlfn.CONCAT(SUBSTITUTE(ADDRESS(1,MATCH(A167,INDIRECT("'"&amp;E167&amp;"'"&amp;"!A22:Z22"),0),4),1,""),23),"")</f>
        <v>E23</v>
      </c>
      <c r="C167" s="859" t="str">
        <f ca="1">_xlfn.IFNA(SUBSTITUTE(ADDRESS(1,MATCH(A167,INDIRECT("'"&amp;E167&amp;"'"&amp;"!A22:Z22"),0),4),1,""),"")</f>
        <v>E</v>
      </c>
      <c r="D167" s="1174" t="s">
        <v>1374</v>
      </c>
      <c r="E167" s="859" t="s">
        <v>1418</v>
      </c>
      <c r="F167" s="1409"/>
      <c r="G167" s="1409"/>
      <c r="H167" s="1409"/>
      <c r="I167" s="857" t="str">
        <f t="shared" si="21"/>
        <v/>
      </c>
      <c r="J167" s="1409"/>
      <c r="K167" s="1409" t="str">
        <f t="shared" si="23"/>
        <v/>
      </c>
      <c r="L167" s="895" t="s">
        <v>1188</v>
      </c>
      <c r="M167" s="1409">
        <v>34</v>
      </c>
      <c r="N167" s="1409"/>
      <c r="O167" s="1408"/>
      <c r="P167" s="1409" t="str">
        <f>IFERROR(VLOOKUP(Q$167,'Existing Customers'!$A:$F,1,FALSE),"")</f>
        <v/>
      </c>
      <c r="Q167" s="1409">
        <v>2467</v>
      </c>
      <c r="R167" s="1408"/>
      <c r="S167" s="1408"/>
      <c r="T167" s="1408"/>
      <c r="U167" s="1408"/>
      <c r="V167" s="1408"/>
      <c r="W167" s="1408"/>
      <c r="X167" s="1408"/>
      <c r="Y167" s="1408"/>
      <c r="Z167" s="1408"/>
      <c r="AA167" s="1408"/>
    </row>
    <row r="168" spans="1:27" x14ac:dyDescent="0.25">
      <c r="A168" s="921" t="s">
        <v>767</v>
      </c>
      <c r="B168" s="859" t="str">
        <f t="shared" ref="B168:B177" ca="1" si="27">_xlfn.IFNA(_xlfn.CONCAT(SUBSTITUTE(ADDRESS(1,MATCH(A168,INDIRECT("'"&amp;E168&amp;"'"&amp;"!A22:Z22"),0),4),1,""),23),"")</f>
        <v>F23</v>
      </c>
      <c r="C168" s="859" t="str">
        <f t="shared" ref="C168:C231" ca="1" si="28">_xlfn.IFNA(SUBSTITUTE(ADDRESS(1,MATCH(A168,INDIRECT("'"&amp;E168&amp;"'"&amp;"!A22:Z22"),0),4),1,""),"")</f>
        <v>F</v>
      </c>
      <c r="D168" s="1174" t="s">
        <v>1374</v>
      </c>
      <c r="E168" s="859" t="s">
        <v>1418</v>
      </c>
      <c r="F168" s="1409"/>
      <c r="G168" s="1409"/>
      <c r="H168" s="1409"/>
      <c r="I168" s="857" t="str">
        <f t="shared" si="21"/>
        <v>Name</v>
      </c>
      <c r="J168" s="1409" t="str">
        <f>IF(P167="",Q$1&amp;M168,"")</f>
        <v>F36</v>
      </c>
      <c r="K168" s="1409" t="str">
        <f t="shared" si="23"/>
        <v>Required Info To Submit</v>
      </c>
      <c r="L168" s="895" t="s">
        <v>767</v>
      </c>
      <c r="M168" s="1409">
        <v>36</v>
      </c>
      <c r="N168" s="1409"/>
      <c r="O168" s="1408"/>
      <c r="P168" s="1408"/>
      <c r="Q168" s="1408"/>
      <c r="R168" s="1408"/>
      <c r="S168" s="1408"/>
      <c r="T168" s="1408"/>
      <c r="U168" s="1408"/>
      <c r="V168" s="1408"/>
      <c r="W168" s="1408"/>
      <c r="X168" s="1408"/>
      <c r="Y168" s="1408"/>
      <c r="Z168" s="1408"/>
      <c r="AA168" s="1408"/>
    </row>
    <row r="169" spans="1:27" x14ac:dyDescent="0.25">
      <c r="A169" s="921" t="s">
        <v>766</v>
      </c>
      <c r="B169" s="859" t="str">
        <f t="shared" ca="1" si="27"/>
        <v>K23</v>
      </c>
      <c r="C169" s="859" t="str">
        <f t="shared" ca="1" si="28"/>
        <v>K</v>
      </c>
      <c r="D169" s="1174" t="s">
        <v>1374</v>
      </c>
      <c r="E169" s="859" t="s">
        <v>1418</v>
      </c>
      <c r="F169" s="1409"/>
      <c r="G169" s="1409"/>
      <c r="H169" s="1409"/>
      <c r="I169" s="857" t="str">
        <f t="shared" si="21"/>
        <v/>
      </c>
      <c r="J169" s="1409"/>
      <c r="K169" s="1409" t="str">
        <f t="shared" si="23"/>
        <v/>
      </c>
      <c r="L169" s="895" t="s">
        <v>766</v>
      </c>
      <c r="M169" s="1409">
        <v>46</v>
      </c>
      <c r="N169" s="1409"/>
      <c r="O169" s="1408"/>
      <c r="P169" s="1408"/>
      <c r="Q169" s="1408"/>
      <c r="R169" s="1408"/>
      <c r="S169" s="1408"/>
      <c r="T169" s="1408"/>
      <c r="U169" s="1408"/>
      <c r="V169" s="1408"/>
      <c r="W169" s="1408"/>
      <c r="X169" s="1408"/>
      <c r="Y169" s="1408"/>
      <c r="Z169" s="1408"/>
      <c r="AA169" s="1408"/>
    </row>
    <row r="170" spans="1:27" x14ac:dyDescent="0.25">
      <c r="A170" s="921" t="s">
        <v>1189</v>
      </c>
      <c r="B170" s="859" t="str">
        <f t="shared" ca="1" si="27"/>
        <v>L23</v>
      </c>
      <c r="C170" s="859" t="str">
        <f t="shared" ca="1" si="28"/>
        <v>L</v>
      </c>
      <c r="D170" s="1174" t="s">
        <v>1374</v>
      </c>
      <c r="E170" s="859" t="s">
        <v>1418</v>
      </c>
      <c r="F170" s="1409"/>
      <c r="G170" s="1409"/>
      <c r="H170" s="1409"/>
      <c r="I170" s="857" t="str">
        <f t="shared" si="21"/>
        <v/>
      </c>
      <c r="J170" s="1409"/>
      <c r="K170" s="1409" t="str">
        <f t="shared" si="23"/>
        <v/>
      </c>
      <c r="L170" s="895" t="s">
        <v>1189</v>
      </c>
      <c r="M170" s="1409">
        <v>47</v>
      </c>
      <c r="N170" s="1409"/>
      <c r="O170" s="1408"/>
      <c r="P170" s="1408"/>
      <c r="Q170" s="1408"/>
      <c r="R170" s="1408"/>
      <c r="S170" s="1408"/>
      <c r="T170" s="1408"/>
      <c r="U170" s="1408"/>
      <c r="V170" s="1408"/>
      <c r="W170" s="1408"/>
      <c r="X170" s="1408"/>
      <c r="Y170" s="1408"/>
      <c r="Z170" s="1408"/>
      <c r="AA170" s="1408"/>
    </row>
    <row r="171" spans="1:27" x14ac:dyDescent="0.25">
      <c r="A171" s="921" t="s">
        <v>1190</v>
      </c>
      <c r="B171" s="859" t="str">
        <f t="shared" ca="1" si="27"/>
        <v>M23</v>
      </c>
      <c r="C171" s="859" t="str">
        <f t="shared" ca="1" si="28"/>
        <v>M</v>
      </c>
      <c r="D171" s="1174" t="s">
        <v>1374</v>
      </c>
      <c r="E171" s="859" t="s">
        <v>1418</v>
      </c>
      <c r="F171" s="1409"/>
      <c r="G171" s="1409"/>
      <c r="H171" s="1409"/>
      <c r="I171" s="857" t="str">
        <f t="shared" si="21"/>
        <v>Secondary or Internal Customer</v>
      </c>
      <c r="J171" s="1409" t="str">
        <f>IF(M171&lt;&gt;"",Q$1&amp;M171,"")</f>
        <v>F48</v>
      </c>
      <c r="K171" s="1409" t="str">
        <f t="shared" si="23"/>
        <v>Required Info To Submit</v>
      </c>
      <c r="L171" s="895" t="s">
        <v>1190</v>
      </c>
      <c r="M171" s="1409">
        <v>48</v>
      </c>
      <c r="N171" s="1409"/>
      <c r="O171" s="1408"/>
      <c r="P171" s="1408"/>
      <c r="Q171" s="1408"/>
      <c r="R171" s="1408"/>
      <c r="S171" s="1408"/>
      <c r="T171" s="1408"/>
      <c r="U171" s="1408"/>
      <c r="V171" s="1408"/>
      <c r="W171" s="1408"/>
      <c r="X171" s="1408"/>
      <c r="Y171" s="1408"/>
      <c r="Z171" s="1408"/>
      <c r="AA171" s="1408"/>
    </row>
    <row r="172" spans="1:27" x14ac:dyDescent="0.25">
      <c r="A172" s="921" t="s">
        <v>1191</v>
      </c>
      <c r="B172" s="859" t="str">
        <f t="shared" ca="1" si="27"/>
        <v>N23</v>
      </c>
      <c r="C172" s="859" t="str">
        <f t="shared" ca="1" si="28"/>
        <v>N</v>
      </c>
      <c r="D172" s="1174" t="s">
        <v>1374</v>
      </c>
      <c r="E172" s="859" t="s">
        <v>1418</v>
      </c>
      <c r="F172" s="1409"/>
      <c r="G172" s="1409"/>
      <c r="H172" s="1409"/>
      <c r="I172" s="857" t="str">
        <f t="shared" si="21"/>
        <v>Fuel Surcharge Applied</v>
      </c>
      <c r="J172" s="1409" t="str">
        <f>IF(M172&lt;&gt;"",Q$1&amp;M172,"")</f>
        <v>F49</v>
      </c>
      <c r="K172" s="1409" t="str">
        <f t="shared" si="23"/>
        <v>Required Info To Submit</v>
      </c>
      <c r="L172" s="895" t="s">
        <v>1384</v>
      </c>
      <c r="M172" s="1409">
        <v>49</v>
      </c>
      <c r="N172" s="1409"/>
      <c r="O172" s="1408"/>
      <c r="P172" s="1408"/>
      <c r="Q172" s="1408"/>
      <c r="R172" s="1408"/>
      <c r="S172" s="1408"/>
      <c r="T172" s="1408"/>
      <c r="U172" s="1408"/>
      <c r="V172" s="1408"/>
      <c r="W172" s="1408"/>
      <c r="X172" s="1408"/>
      <c r="Y172" s="1408"/>
      <c r="Z172" s="1408"/>
      <c r="AA172" s="1408"/>
    </row>
    <row r="173" spans="1:27" ht="30" x14ac:dyDescent="0.25">
      <c r="A173" s="921" t="s">
        <v>1309</v>
      </c>
      <c r="B173" s="859" t="str">
        <f t="shared" ca="1" si="27"/>
        <v>O23</v>
      </c>
      <c r="C173" s="859" t="str">
        <f t="shared" ca="1" si="28"/>
        <v>O</v>
      </c>
      <c r="D173" s="1174" t="s">
        <v>1374</v>
      </c>
      <c r="E173" s="859" t="s">
        <v>1418</v>
      </c>
      <c r="F173" s="1409"/>
      <c r="G173" s="1409"/>
      <c r="H173" s="1409"/>
      <c r="I173" s="857" t="str">
        <f t="shared" si="21"/>
        <v>Minimum Delivery Charge Applied Flag</v>
      </c>
      <c r="J173" s="1409" t="str">
        <f>IF(M173&lt;&gt;"",Q$1&amp;M173,"")</f>
        <v>F50</v>
      </c>
      <c r="K173" s="1409" t="str">
        <f t="shared" si="23"/>
        <v>Required Info To Submit</v>
      </c>
      <c r="L173" s="895" t="s">
        <v>1309</v>
      </c>
      <c r="M173" s="1409">
        <v>50</v>
      </c>
      <c r="N173" s="1409"/>
      <c r="O173" s="1408"/>
      <c r="P173" s="1408"/>
      <c r="Q173" s="1408"/>
      <c r="R173" s="1408"/>
      <c r="S173" s="1408"/>
      <c r="T173" s="1408"/>
      <c r="U173" s="1408"/>
      <c r="V173" s="1408"/>
      <c r="W173" s="1408"/>
      <c r="X173" s="1408"/>
      <c r="Y173" s="1408"/>
      <c r="Z173" s="1408"/>
      <c r="AA173" s="1408"/>
    </row>
    <row r="174" spans="1:27" x14ac:dyDescent="0.25">
      <c r="A174" s="921" t="s">
        <v>768</v>
      </c>
      <c r="B174" s="859" t="str">
        <f t="shared" ca="1" si="27"/>
        <v>G23</v>
      </c>
      <c r="C174" s="859" t="str">
        <f t="shared" ca="1" si="28"/>
        <v>G</v>
      </c>
      <c r="D174" s="1174" t="s">
        <v>1374</v>
      </c>
      <c r="E174" s="859" t="s">
        <v>1418</v>
      </c>
      <c r="F174" s="1409"/>
      <c r="G174" s="1409"/>
      <c r="H174" s="1409"/>
      <c r="I174" s="857" t="str">
        <f t="shared" si="21"/>
        <v>Address</v>
      </c>
      <c r="J174" s="1409" t="str">
        <f>IF(P167="",Q$1&amp;M174,"")</f>
        <v>F51</v>
      </c>
      <c r="K174" s="1409" t="str">
        <f t="shared" si="23"/>
        <v>Required Info To Submit</v>
      </c>
      <c r="L174" s="895" t="s">
        <v>768</v>
      </c>
      <c r="M174" s="1409">
        <v>51</v>
      </c>
      <c r="N174" s="1409"/>
      <c r="O174" s="1408"/>
      <c r="P174" s="1408"/>
      <c r="Q174" s="1408"/>
      <c r="R174" s="1408"/>
      <c r="S174" s="1408"/>
      <c r="T174" s="1408"/>
      <c r="U174" s="1408"/>
      <c r="V174" s="1408"/>
      <c r="W174" s="1408"/>
      <c r="X174" s="1408"/>
      <c r="Y174" s="1408"/>
      <c r="Z174" s="1408"/>
      <c r="AA174" s="1408"/>
    </row>
    <row r="175" spans="1:27" x14ac:dyDescent="0.25">
      <c r="A175" s="921" t="s">
        <v>769</v>
      </c>
      <c r="B175" s="859" t="str">
        <f t="shared" ca="1" si="27"/>
        <v>H23</v>
      </c>
      <c r="C175" s="859" t="str">
        <f t="shared" ca="1" si="28"/>
        <v>H</v>
      </c>
      <c r="D175" s="1174" t="s">
        <v>1374</v>
      </c>
      <c r="E175" s="859" t="s">
        <v>1418</v>
      </c>
      <c r="F175" s="1409"/>
      <c r="G175" s="1409"/>
      <c r="H175" s="1409"/>
      <c r="I175" s="857" t="str">
        <f t="shared" si="21"/>
        <v>City</v>
      </c>
      <c r="J175" s="1409" t="str">
        <f>IF(P167="",Q$1&amp;M175,"")</f>
        <v>F52</v>
      </c>
      <c r="K175" s="1409" t="str">
        <f t="shared" si="23"/>
        <v>Required Info To Submit</v>
      </c>
      <c r="L175" s="895" t="s">
        <v>769</v>
      </c>
      <c r="M175" s="1409">
        <v>52</v>
      </c>
      <c r="N175" s="1409"/>
      <c r="O175" s="1408"/>
      <c r="P175" s="1408"/>
      <c r="Q175" s="1408"/>
      <c r="R175" s="1408"/>
      <c r="S175" s="1408"/>
      <c r="T175" s="1408"/>
      <c r="U175" s="1408"/>
      <c r="V175" s="1408"/>
      <c r="W175" s="1408"/>
      <c r="X175" s="1408"/>
      <c r="Y175" s="1408"/>
      <c r="Z175" s="1408"/>
      <c r="AA175" s="1408"/>
    </row>
    <row r="176" spans="1:27" x14ac:dyDescent="0.25">
      <c r="A176" s="921" t="s">
        <v>770</v>
      </c>
      <c r="B176" s="859" t="str">
        <f t="shared" ca="1" si="27"/>
        <v>I23</v>
      </c>
      <c r="C176" s="859" t="str">
        <f t="shared" ca="1" si="28"/>
        <v>I</v>
      </c>
      <c r="D176" s="1174" t="s">
        <v>1374</v>
      </c>
      <c r="E176" s="859" t="s">
        <v>1418</v>
      </c>
      <c r="F176" s="1409"/>
      <c r="G176" s="1409"/>
      <c r="H176" s="1409"/>
      <c r="I176" s="857" t="str">
        <f t="shared" si="21"/>
        <v>State</v>
      </c>
      <c r="J176" s="1409" t="str">
        <f>IF(P167="",Q$1&amp;M176,"")</f>
        <v>F53</v>
      </c>
      <c r="K176" s="1409" t="str">
        <f t="shared" si="23"/>
        <v>Required Info To Submit</v>
      </c>
      <c r="L176" s="895" t="s">
        <v>770</v>
      </c>
      <c r="M176" s="1409">
        <v>53</v>
      </c>
      <c r="N176" s="1409"/>
      <c r="O176" s="1408"/>
      <c r="P176" s="1408"/>
      <c r="Q176" s="1408"/>
      <c r="R176" s="1408"/>
      <c r="S176" s="1408"/>
      <c r="T176" s="1408"/>
      <c r="U176" s="1408"/>
      <c r="V176" s="1408"/>
      <c r="W176" s="1408"/>
      <c r="X176" s="1408"/>
      <c r="Y176" s="1408"/>
      <c r="Z176" s="1408"/>
      <c r="AA176" s="1408"/>
    </row>
    <row r="177" spans="1:27" x14ac:dyDescent="0.25">
      <c r="A177" s="921" t="s">
        <v>204</v>
      </c>
      <c r="B177" s="859" t="str">
        <f t="shared" ca="1" si="27"/>
        <v>J23</v>
      </c>
      <c r="C177" s="859" t="str">
        <f t="shared" ca="1" si="28"/>
        <v>J</v>
      </c>
      <c r="D177" s="1174" t="s">
        <v>1374</v>
      </c>
      <c r="E177" s="859" t="s">
        <v>1418</v>
      </c>
      <c r="F177" s="1409"/>
      <c r="G177" s="1409"/>
      <c r="H177" s="1409"/>
      <c r="I177" s="857" t="str">
        <f t="shared" si="21"/>
        <v>Zip Code</v>
      </c>
      <c r="J177" s="1409" t="str">
        <f>IF(P167="",Q$1&amp;M177,"")</f>
        <v>F54</v>
      </c>
      <c r="K177" s="1409" t="str">
        <f t="shared" si="23"/>
        <v>Required Info To Submit</v>
      </c>
      <c r="L177" s="895" t="s">
        <v>204</v>
      </c>
      <c r="M177" s="1409">
        <v>54</v>
      </c>
      <c r="N177" s="1409"/>
      <c r="O177" s="1408"/>
      <c r="P177" s="1408"/>
      <c r="Q177" s="1408"/>
      <c r="R177" s="1408"/>
      <c r="S177" s="1408"/>
      <c r="T177" s="1408"/>
      <c r="U177" s="1408"/>
      <c r="V177" s="1408"/>
      <c r="W177" s="1408"/>
      <c r="X177" s="1408"/>
      <c r="Y177" s="1408"/>
      <c r="Z177" s="1408"/>
      <c r="AA177" s="1408"/>
    </row>
    <row r="178" spans="1:27" x14ac:dyDescent="0.25">
      <c r="A178" s="922" t="s">
        <v>1188</v>
      </c>
      <c r="B178" s="859" t="str">
        <f ca="1">_xlfn.IFNA(_xlfn.CONCAT(SUBSTITUTE(ADDRESS(1,MATCH(A178,INDIRECT("'"&amp;E178&amp;"'"&amp;"!A22:Z22"),0),4),1,""),24),"")</f>
        <v>E24</v>
      </c>
      <c r="C178" s="859" t="str">
        <f t="shared" ca="1" si="28"/>
        <v>E</v>
      </c>
      <c r="D178" s="1174" t="s">
        <v>1374</v>
      </c>
      <c r="E178" s="859" t="s">
        <v>1418</v>
      </c>
      <c r="F178" s="1409"/>
      <c r="G178" s="1409"/>
      <c r="H178" s="1409"/>
      <c r="I178" s="857" t="str">
        <f t="shared" si="21"/>
        <v/>
      </c>
      <c r="J178" s="1409"/>
      <c r="K178" s="1409" t="str">
        <f t="shared" si="23"/>
        <v/>
      </c>
      <c r="L178" s="895" t="s">
        <v>1188</v>
      </c>
      <c r="M178" s="1409">
        <v>55</v>
      </c>
      <c r="N178" s="1409"/>
      <c r="O178" s="1408"/>
      <c r="P178" s="1409" t="str">
        <f>IFERROR(VLOOKUP(Q$178,'Existing Customers'!$A:$F,1,FALSE),"")</f>
        <v/>
      </c>
      <c r="Q178" s="1409">
        <v>256</v>
      </c>
      <c r="R178" s="1408"/>
      <c r="S178" s="1408"/>
      <c r="T178" s="1408"/>
      <c r="U178" s="1408"/>
      <c r="V178" s="1408"/>
      <c r="W178" s="1408"/>
      <c r="X178" s="1408"/>
      <c r="Y178" s="1408"/>
      <c r="Z178" s="1408"/>
      <c r="AA178" s="1408"/>
    </row>
    <row r="179" spans="1:27" x14ac:dyDescent="0.25">
      <c r="A179" s="923" t="s">
        <v>767</v>
      </c>
      <c r="B179" s="859" t="str">
        <f t="shared" ref="B179:B188" ca="1" si="29">_xlfn.IFNA(_xlfn.CONCAT(SUBSTITUTE(ADDRESS(1,MATCH(A179,INDIRECT("'"&amp;E179&amp;"'"&amp;"!A22:Z22"),0),4),1,""),24),"")</f>
        <v>F24</v>
      </c>
      <c r="C179" s="859" t="str">
        <f t="shared" ca="1" si="28"/>
        <v>F</v>
      </c>
      <c r="D179" s="1174" t="s">
        <v>1374</v>
      </c>
      <c r="E179" s="859" t="s">
        <v>1418</v>
      </c>
      <c r="F179" s="1409"/>
      <c r="G179" s="1409"/>
      <c r="H179" s="1409"/>
      <c r="I179" s="857" t="str">
        <f t="shared" si="21"/>
        <v>Name</v>
      </c>
      <c r="J179" s="1409" t="str">
        <f>IF(P178="",Q$1&amp;M179,"")</f>
        <v>F57</v>
      </c>
      <c r="K179" s="1409" t="str">
        <f t="shared" si="23"/>
        <v>Required Info To Submit</v>
      </c>
      <c r="L179" s="895" t="s">
        <v>767</v>
      </c>
      <c r="M179" s="1409">
        <v>57</v>
      </c>
      <c r="N179" s="1409"/>
      <c r="O179" s="1408"/>
      <c r="P179" s="1408"/>
      <c r="Q179" s="1408"/>
      <c r="R179" s="1408"/>
      <c r="S179" s="1408"/>
      <c r="T179" s="1408"/>
      <c r="U179" s="1408"/>
      <c r="V179" s="1408"/>
      <c r="W179" s="1408"/>
      <c r="X179" s="1408"/>
      <c r="Y179" s="1408"/>
      <c r="Z179" s="1408"/>
      <c r="AA179" s="1408"/>
    </row>
    <row r="180" spans="1:27" x14ac:dyDescent="0.25">
      <c r="A180" s="923" t="s">
        <v>766</v>
      </c>
      <c r="B180" s="859" t="str">
        <f t="shared" ca="1" si="29"/>
        <v>K24</v>
      </c>
      <c r="C180" s="859" t="str">
        <f t="shared" ca="1" si="28"/>
        <v>K</v>
      </c>
      <c r="D180" s="1174" t="s">
        <v>1374</v>
      </c>
      <c r="E180" s="859" t="s">
        <v>1418</v>
      </c>
      <c r="F180" s="1409"/>
      <c r="G180" s="1409"/>
      <c r="H180" s="1409"/>
      <c r="I180" s="857" t="str">
        <f t="shared" si="21"/>
        <v/>
      </c>
      <c r="J180" s="1409"/>
      <c r="K180" s="1409" t="str">
        <f t="shared" si="23"/>
        <v/>
      </c>
      <c r="L180" s="895" t="s">
        <v>766</v>
      </c>
      <c r="M180" s="1409">
        <v>67</v>
      </c>
      <c r="N180" s="1409"/>
      <c r="O180" s="1408"/>
      <c r="P180" s="1408"/>
      <c r="Q180" s="1408"/>
      <c r="R180" s="1408"/>
      <c r="S180" s="1408"/>
      <c r="T180" s="1408"/>
      <c r="U180" s="1408"/>
      <c r="V180" s="1408"/>
      <c r="W180" s="1408"/>
      <c r="X180" s="1408"/>
      <c r="Y180" s="1408"/>
      <c r="Z180" s="1408"/>
      <c r="AA180" s="1408"/>
    </row>
    <row r="181" spans="1:27" x14ac:dyDescent="0.25">
      <c r="A181" s="923" t="s">
        <v>1189</v>
      </c>
      <c r="B181" s="859" t="str">
        <f t="shared" ca="1" si="29"/>
        <v>L24</v>
      </c>
      <c r="C181" s="859" t="str">
        <f t="shared" ca="1" si="28"/>
        <v>L</v>
      </c>
      <c r="D181" s="1174" t="s">
        <v>1374</v>
      </c>
      <c r="E181" s="859" t="s">
        <v>1418</v>
      </c>
      <c r="F181" s="1409"/>
      <c r="G181" s="1409"/>
      <c r="H181" s="1409"/>
      <c r="I181" s="857" t="str">
        <f t="shared" si="21"/>
        <v/>
      </c>
      <c r="J181" s="1409"/>
      <c r="K181" s="1409" t="str">
        <f t="shared" si="23"/>
        <v/>
      </c>
      <c r="L181" s="895" t="s">
        <v>1189</v>
      </c>
      <c r="M181" s="1409">
        <v>68</v>
      </c>
      <c r="N181" s="1409"/>
      <c r="O181" s="1408"/>
      <c r="P181" s="1408"/>
      <c r="Q181" s="1408"/>
      <c r="R181" s="1408"/>
      <c r="S181" s="1408"/>
      <c r="T181" s="1408"/>
      <c r="U181" s="1408"/>
      <c r="V181" s="1408"/>
      <c r="W181" s="1408"/>
      <c r="X181" s="1408"/>
      <c r="Y181" s="1408"/>
      <c r="Z181" s="1408"/>
      <c r="AA181" s="1408"/>
    </row>
    <row r="182" spans="1:27" x14ac:dyDescent="0.25">
      <c r="A182" s="923" t="s">
        <v>1190</v>
      </c>
      <c r="B182" s="859" t="str">
        <f t="shared" ca="1" si="29"/>
        <v>M24</v>
      </c>
      <c r="C182" s="859" t="str">
        <f t="shared" ca="1" si="28"/>
        <v>M</v>
      </c>
      <c r="D182" s="1174" t="s">
        <v>1374</v>
      </c>
      <c r="E182" s="859" t="s">
        <v>1418</v>
      </c>
      <c r="F182" s="1409"/>
      <c r="G182" s="1409"/>
      <c r="H182" s="1409"/>
      <c r="I182" s="857" t="str">
        <f t="shared" si="21"/>
        <v>Secondary or Internal Customer</v>
      </c>
      <c r="J182" s="1409" t="str">
        <f>IF(M182&lt;&gt;"",Q$1&amp;M182,"")</f>
        <v>F69</v>
      </c>
      <c r="K182" s="1409" t="str">
        <f t="shared" si="23"/>
        <v>Required Info To Submit</v>
      </c>
      <c r="L182" s="895" t="s">
        <v>1190</v>
      </c>
      <c r="M182" s="1409">
        <v>69</v>
      </c>
      <c r="N182" s="1409"/>
      <c r="O182" s="1408"/>
      <c r="P182" s="1408"/>
      <c r="Q182" s="1408"/>
      <c r="R182" s="1408"/>
      <c r="S182" s="1408"/>
      <c r="T182" s="1408"/>
      <c r="U182" s="1408"/>
      <c r="V182" s="1408"/>
      <c r="W182" s="1408"/>
      <c r="X182" s="1408"/>
      <c r="Y182" s="1408"/>
      <c r="Z182" s="1408"/>
      <c r="AA182" s="1408"/>
    </row>
    <row r="183" spans="1:27" x14ac:dyDescent="0.25">
      <c r="A183" s="923" t="s">
        <v>1191</v>
      </c>
      <c r="B183" s="859" t="str">
        <f t="shared" ca="1" si="29"/>
        <v>N24</v>
      </c>
      <c r="C183" s="859" t="str">
        <f t="shared" ca="1" si="28"/>
        <v>N</v>
      </c>
      <c r="D183" s="1174" t="s">
        <v>1374</v>
      </c>
      <c r="E183" s="859" t="s">
        <v>1418</v>
      </c>
      <c r="F183" s="1409"/>
      <c r="G183" s="1409"/>
      <c r="H183" s="1409"/>
      <c r="I183" s="857" t="str">
        <f t="shared" si="21"/>
        <v>Fuel Surcharge Applied</v>
      </c>
      <c r="J183" s="1409" t="str">
        <f>IF(M183&lt;&gt;"",Q$1&amp;M183,"")</f>
        <v>F70</v>
      </c>
      <c r="K183" s="1409" t="str">
        <f t="shared" si="23"/>
        <v>Required Info To Submit</v>
      </c>
      <c r="L183" s="895" t="s">
        <v>1384</v>
      </c>
      <c r="M183" s="1409">
        <v>70</v>
      </c>
      <c r="N183" s="1409"/>
      <c r="O183" s="1408"/>
      <c r="P183" s="1408"/>
      <c r="Q183" s="1408"/>
      <c r="R183" s="1408"/>
      <c r="S183" s="1408"/>
      <c r="T183" s="1408"/>
      <c r="U183" s="1408"/>
      <c r="V183" s="1408"/>
      <c r="W183" s="1408"/>
      <c r="X183" s="1408"/>
      <c r="Y183" s="1408"/>
      <c r="Z183" s="1408"/>
      <c r="AA183" s="1408"/>
    </row>
    <row r="184" spans="1:27" ht="30" x14ac:dyDescent="0.25">
      <c r="A184" s="923" t="s">
        <v>1309</v>
      </c>
      <c r="B184" s="859" t="str">
        <f t="shared" ca="1" si="29"/>
        <v>O24</v>
      </c>
      <c r="C184" s="859" t="str">
        <f t="shared" ca="1" si="28"/>
        <v>O</v>
      </c>
      <c r="D184" s="1174" t="s">
        <v>1374</v>
      </c>
      <c r="E184" s="859" t="s">
        <v>1418</v>
      </c>
      <c r="F184" s="1409"/>
      <c r="G184" s="1409"/>
      <c r="H184" s="1409"/>
      <c r="I184" s="857" t="str">
        <f t="shared" si="21"/>
        <v>Minimum Delivery Charge Applied Flag</v>
      </c>
      <c r="J184" s="1409" t="str">
        <f>IF(M184&lt;&gt;"",Q$1&amp;M184,"")</f>
        <v>F71</v>
      </c>
      <c r="K184" s="1409" t="str">
        <f t="shared" si="23"/>
        <v>Required Info To Submit</v>
      </c>
      <c r="L184" s="895" t="s">
        <v>1309</v>
      </c>
      <c r="M184" s="1409">
        <v>71</v>
      </c>
      <c r="N184" s="1409"/>
      <c r="O184" s="1408"/>
      <c r="P184" s="1408"/>
      <c r="Q184" s="1408"/>
      <c r="R184" s="1408"/>
      <c r="S184" s="1408"/>
      <c r="T184" s="1408"/>
      <c r="U184" s="1408"/>
      <c r="V184" s="1408"/>
      <c r="W184" s="1408"/>
      <c r="X184" s="1408"/>
      <c r="Y184" s="1408"/>
      <c r="Z184" s="1408"/>
      <c r="AA184" s="1408"/>
    </row>
    <row r="185" spans="1:27" x14ac:dyDescent="0.25">
      <c r="A185" s="923" t="s">
        <v>768</v>
      </c>
      <c r="B185" s="859" t="str">
        <f t="shared" ca="1" si="29"/>
        <v>G24</v>
      </c>
      <c r="C185" s="859" t="str">
        <f t="shared" ca="1" si="28"/>
        <v>G</v>
      </c>
      <c r="D185" s="1174" t="s">
        <v>1374</v>
      </c>
      <c r="E185" s="859" t="s">
        <v>1418</v>
      </c>
      <c r="F185" s="1409"/>
      <c r="G185" s="1409"/>
      <c r="H185" s="1409"/>
      <c r="I185" s="857" t="str">
        <f t="shared" si="21"/>
        <v>Address</v>
      </c>
      <c r="J185" s="1409" t="str">
        <f>IF(P178="",Q$1&amp;M185,"")</f>
        <v>F72</v>
      </c>
      <c r="K185" s="1409" t="str">
        <f t="shared" si="23"/>
        <v>Required Info To Submit</v>
      </c>
      <c r="L185" s="895" t="s">
        <v>768</v>
      </c>
      <c r="M185" s="1409">
        <v>72</v>
      </c>
      <c r="N185" s="1409"/>
      <c r="O185" s="1408"/>
      <c r="P185" s="1408"/>
      <c r="Q185" s="1408"/>
      <c r="R185" s="1408"/>
      <c r="S185" s="1408"/>
      <c r="T185" s="1408"/>
      <c r="U185" s="1408"/>
      <c r="V185" s="1408"/>
      <c r="W185" s="1408"/>
      <c r="X185" s="1408"/>
      <c r="Y185" s="1408"/>
      <c r="Z185" s="1408"/>
      <c r="AA185" s="1408"/>
    </row>
    <row r="186" spans="1:27" x14ac:dyDescent="0.25">
      <c r="A186" s="923" t="s">
        <v>769</v>
      </c>
      <c r="B186" s="859" t="str">
        <f t="shared" ca="1" si="29"/>
        <v>H24</v>
      </c>
      <c r="C186" s="859" t="str">
        <f t="shared" ca="1" si="28"/>
        <v>H</v>
      </c>
      <c r="D186" s="1174" t="s">
        <v>1374</v>
      </c>
      <c r="E186" s="859" t="s">
        <v>1418</v>
      </c>
      <c r="F186" s="1409"/>
      <c r="G186" s="1409"/>
      <c r="H186" s="1409"/>
      <c r="I186" s="857" t="str">
        <f t="shared" si="21"/>
        <v>City</v>
      </c>
      <c r="J186" s="1409" t="str">
        <f>IF(P178="",Q$1&amp;M186,"")</f>
        <v>F73</v>
      </c>
      <c r="K186" s="1409" t="str">
        <f t="shared" si="23"/>
        <v>Required Info To Submit</v>
      </c>
      <c r="L186" s="895" t="s">
        <v>769</v>
      </c>
      <c r="M186" s="1409">
        <v>73</v>
      </c>
      <c r="N186" s="1409"/>
      <c r="O186" s="1408"/>
      <c r="P186" s="1408"/>
      <c r="Q186" s="1408"/>
      <c r="R186" s="1408"/>
      <c r="S186" s="1408"/>
      <c r="T186" s="1408"/>
      <c r="U186" s="1408"/>
      <c r="V186" s="1408"/>
      <c r="W186" s="1408"/>
      <c r="X186" s="1408"/>
      <c r="Y186" s="1408"/>
      <c r="Z186" s="1408"/>
      <c r="AA186" s="1408"/>
    </row>
    <row r="187" spans="1:27" x14ac:dyDescent="0.25">
      <c r="A187" s="923" t="s">
        <v>770</v>
      </c>
      <c r="B187" s="859" t="str">
        <f t="shared" ca="1" si="29"/>
        <v>I24</v>
      </c>
      <c r="C187" s="859" t="str">
        <f t="shared" ca="1" si="28"/>
        <v>I</v>
      </c>
      <c r="D187" s="1174" t="s">
        <v>1374</v>
      </c>
      <c r="E187" s="859" t="s">
        <v>1418</v>
      </c>
      <c r="F187" s="1409"/>
      <c r="G187" s="1409"/>
      <c r="H187" s="1409"/>
      <c r="I187" s="857" t="str">
        <f t="shared" si="21"/>
        <v>State</v>
      </c>
      <c r="J187" s="1409" t="str">
        <f>IF(P178="",Q$1&amp;M187,"")</f>
        <v>F74</v>
      </c>
      <c r="K187" s="1409" t="str">
        <f t="shared" si="23"/>
        <v>Required Info To Submit</v>
      </c>
      <c r="L187" s="895" t="s">
        <v>770</v>
      </c>
      <c r="M187" s="1409">
        <v>74</v>
      </c>
      <c r="N187" s="1409"/>
      <c r="O187" s="1408"/>
      <c r="P187" s="1408"/>
      <c r="Q187" s="1408"/>
      <c r="R187" s="1408"/>
      <c r="S187" s="1408"/>
      <c r="T187" s="1408"/>
      <c r="U187" s="1408"/>
      <c r="V187" s="1408"/>
      <c r="W187" s="1408"/>
      <c r="X187" s="1408"/>
      <c r="Y187" s="1408"/>
      <c r="Z187" s="1408"/>
      <c r="AA187" s="1408"/>
    </row>
    <row r="188" spans="1:27" x14ac:dyDescent="0.25">
      <c r="A188" s="923" t="s">
        <v>204</v>
      </c>
      <c r="B188" s="859" t="str">
        <f t="shared" ca="1" si="29"/>
        <v>J24</v>
      </c>
      <c r="C188" s="859" t="str">
        <f t="shared" ca="1" si="28"/>
        <v>J</v>
      </c>
      <c r="D188" s="1174" t="s">
        <v>1374</v>
      </c>
      <c r="E188" s="859" t="s">
        <v>1418</v>
      </c>
      <c r="F188" s="1409"/>
      <c r="G188" s="1409"/>
      <c r="H188" s="1409"/>
      <c r="I188" s="857" t="str">
        <f t="shared" si="21"/>
        <v>Zip Code</v>
      </c>
      <c r="J188" s="1409" t="str">
        <f>IF(P178="",Q$1&amp;M188,"")</f>
        <v>F75</v>
      </c>
      <c r="K188" s="1409" t="str">
        <f t="shared" si="23"/>
        <v>Required Info To Submit</v>
      </c>
      <c r="L188" s="895" t="s">
        <v>204</v>
      </c>
      <c r="M188" s="1409">
        <v>75</v>
      </c>
      <c r="N188" s="1409"/>
      <c r="O188" s="1408"/>
      <c r="P188" s="1408"/>
      <c r="Q188" s="1408"/>
      <c r="R188" s="1408"/>
      <c r="S188" s="1408"/>
      <c r="T188" s="1408"/>
      <c r="U188" s="1408"/>
      <c r="V188" s="1408"/>
      <c r="W188" s="1408"/>
      <c r="X188" s="1408"/>
      <c r="Y188" s="1408"/>
      <c r="Z188" s="1408"/>
      <c r="AA188" s="1408"/>
    </row>
    <row r="189" spans="1:27" x14ac:dyDescent="0.25">
      <c r="A189" s="920" t="s">
        <v>1188</v>
      </c>
      <c r="B189" s="859" t="str">
        <f ca="1">_xlfn.IFNA(_xlfn.CONCAT(SUBSTITUTE(ADDRESS(1,MATCH(A189,INDIRECT("'"&amp;E189&amp;"'"&amp;"!A22:Z22"),0),4),1,""),25),"")</f>
        <v>E25</v>
      </c>
      <c r="C189" s="859" t="str">
        <f t="shared" ca="1" si="28"/>
        <v>E</v>
      </c>
      <c r="D189" s="1174" t="s">
        <v>1374</v>
      </c>
      <c r="E189" s="859" t="s">
        <v>1418</v>
      </c>
      <c r="F189" s="1409"/>
      <c r="G189" s="1409"/>
      <c r="H189" s="1409"/>
      <c r="I189" s="857" t="str">
        <f t="shared" si="21"/>
        <v/>
      </c>
      <c r="J189" s="1409"/>
      <c r="K189" s="1409" t="str">
        <f t="shared" si="23"/>
        <v/>
      </c>
      <c r="L189" s="895" t="s">
        <v>1188</v>
      </c>
      <c r="M189" s="1409">
        <v>76</v>
      </c>
      <c r="N189" s="1409"/>
      <c r="O189" s="1408"/>
      <c r="P189" s="1409" t="str">
        <f>IFERROR(VLOOKUP(Q$189,'Existing Customers'!$A:$F,1,FALSE),"")</f>
        <v/>
      </c>
      <c r="Q189" s="1409">
        <v>265326</v>
      </c>
      <c r="R189" s="1408"/>
      <c r="S189" s="1408"/>
      <c r="T189" s="1408"/>
      <c r="U189" s="1408"/>
      <c r="V189" s="1408"/>
      <c r="W189" s="1408"/>
      <c r="X189" s="1408"/>
      <c r="Y189" s="1408"/>
      <c r="Z189" s="1408"/>
      <c r="AA189" s="1408"/>
    </row>
    <row r="190" spans="1:27" x14ac:dyDescent="0.25">
      <c r="A190" s="921" t="s">
        <v>767</v>
      </c>
      <c r="B190" s="859" t="str">
        <f t="shared" ref="B190:B199" ca="1" si="30">_xlfn.IFNA(_xlfn.CONCAT(SUBSTITUTE(ADDRESS(1,MATCH(A190,INDIRECT("'"&amp;E190&amp;"'"&amp;"!A22:Z22"),0),4),1,""),25),"")</f>
        <v>F25</v>
      </c>
      <c r="C190" s="859" t="str">
        <f t="shared" ca="1" si="28"/>
        <v>F</v>
      </c>
      <c r="D190" s="1174" t="s">
        <v>1374</v>
      </c>
      <c r="E190" s="859" t="s">
        <v>1418</v>
      </c>
      <c r="F190" s="1409"/>
      <c r="G190" s="1409"/>
      <c r="H190" s="1409"/>
      <c r="I190" s="857" t="str">
        <f t="shared" si="21"/>
        <v>Name</v>
      </c>
      <c r="J190" s="1409" t="str">
        <f>IF(P189="",Q$1&amp;M190,"")</f>
        <v>F78</v>
      </c>
      <c r="K190" s="1409" t="str">
        <f t="shared" si="23"/>
        <v>Required Info To Submit</v>
      </c>
      <c r="L190" s="895" t="s">
        <v>767</v>
      </c>
      <c r="M190" s="1409">
        <v>78</v>
      </c>
      <c r="N190" s="1409"/>
      <c r="O190" s="1408"/>
      <c r="P190" s="1408"/>
      <c r="Q190" s="1408"/>
      <c r="R190" s="1408"/>
      <c r="S190" s="1408"/>
      <c r="T190" s="1408"/>
      <c r="U190" s="1408"/>
      <c r="V190" s="1408"/>
      <c r="W190" s="1408"/>
      <c r="X190" s="1408"/>
      <c r="Y190" s="1408"/>
      <c r="Z190" s="1408"/>
      <c r="AA190" s="1408"/>
    </row>
    <row r="191" spans="1:27" x14ac:dyDescent="0.25">
      <c r="A191" s="921" t="s">
        <v>766</v>
      </c>
      <c r="B191" s="859" t="str">
        <f t="shared" ca="1" si="30"/>
        <v>K25</v>
      </c>
      <c r="C191" s="859" t="str">
        <f t="shared" ca="1" si="28"/>
        <v>K</v>
      </c>
      <c r="D191" s="1174" t="s">
        <v>1374</v>
      </c>
      <c r="E191" s="859" t="s">
        <v>1418</v>
      </c>
      <c r="F191" s="1409"/>
      <c r="G191" s="1409"/>
      <c r="H191" s="1409"/>
      <c r="I191" s="857" t="str">
        <f t="shared" si="21"/>
        <v/>
      </c>
      <c r="J191" s="1409"/>
      <c r="K191" s="1409" t="str">
        <f t="shared" si="23"/>
        <v/>
      </c>
      <c r="L191" s="895" t="s">
        <v>766</v>
      </c>
      <c r="M191" s="1409">
        <v>88</v>
      </c>
      <c r="N191" s="1409"/>
      <c r="O191" s="1408"/>
      <c r="P191" s="1408"/>
      <c r="Q191" s="1408"/>
      <c r="R191" s="1408"/>
      <c r="S191" s="1408"/>
      <c r="T191" s="1408"/>
      <c r="U191" s="1408"/>
      <c r="V191" s="1408"/>
      <c r="W191" s="1408"/>
      <c r="X191" s="1408"/>
      <c r="Y191" s="1408"/>
      <c r="Z191" s="1408"/>
      <c r="AA191" s="1408"/>
    </row>
    <row r="192" spans="1:27" x14ac:dyDescent="0.25">
      <c r="A192" s="921" t="s">
        <v>1189</v>
      </c>
      <c r="B192" s="859" t="str">
        <f t="shared" ca="1" si="30"/>
        <v>L25</v>
      </c>
      <c r="C192" s="859" t="str">
        <f t="shared" ca="1" si="28"/>
        <v>L</v>
      </c>
      <c r="D192" s="1174" t="s">
        <v>1374</v>
      </c>
      <c r="E192" s="859" t="s">
        <v>1418</v>
      </c>
      <c r="F192" s="1409"/>
      <c r="G192" s="1409"/>
      <c r="H192" s="1409"/>
      <c r="I192" s="857" t="str">
        <f t="shared" si="21"/>
        <v/>
      </c>
      <c r="J192" s="1409"/>
      <c r="K192" s="1409" t="str">
        <f t="shared" si="23"/>
        <v/>
      </c>
      <c r="L192" s="895" t="s">
        <v>1189</v>
      </c>
      <c r="M192" s="1409">
        <v>89</v>
      </c>
      <c r="N192" s="1409"/>
      <c r="O192" s="1408"/>
      <c r="P192" s="1408"/>
      <c r="Q192" s="1408"/>
      <c r="R192" s="1408"/>
      <c r="S192" s="1408"/>
      <c r="T192" s="1408"/>
      <c r="U192" s="1408"/>
      <c r="V192" s="1408"/>
      <c r="W192" s="1408"/>
      <c r="X192" s="1408"/>
      <c r="Y192" s="1408"/>
      <c r="Z192" s="1408"/>
      <c r="AA192" s="1408"/>
    </row>
    <row r="193" spans="1:27" x14ac:dyDescent="0.25">
      <c r="A193" s="921" t="s">
        <v>1190</v>
      </c>
      <c r="B193" s="859" t="str">
        <f t="shared" ca="1" si="30"/>
        <v>M25</v>
      </c>
      <c r="C193" s="859" t="str">
        <f t="shared" ca="1" si="28"/>
        <v>M</v>
      </c>
      <c r="D193" s="1174" t="s">
        <v>1374</v>
      </c>
      <c r="E193" s="859" t="s">
        <v>1418</v>
      </c>
      <c r="F193" s="1409"/>
      <c r="G193" s="1409"/>
      <c r="H193" s="1409"/>
      <c r="I193" s="857" t="str">
        <f t="shared" si="21"/>
        <v>Secondary or Internal Customer</v>
      </c>
      <c r="J193" s="1409" t="str">
        <f>IF(M193&lt;&gt;"",Q$1&amp;M193,"")</f>
        <v>F90</v>
      </c>
      <c r="K193" s="1409" t="str">
        <f t="shared" si="23"/>
        <v>Required Info To Submit</v>
      </c>
      <c r="L193" s="895" t="s">
        <v>1190</v>
      </c>
      <c r="M193" s="1409">
        <v>90</v>
      </c>
      <c r="N193" s="1409"/>
      <c r="O193" s="1408"/>
      <c r="P193" s="1408"/>
      <c r="Q193" s="1408"/>
      <c r="R193" s="1408"/>
      <c r="S193" s="1408"/>
      <c r="T193" s="1408"/>
      <c r="U193" s="1408"/>
      <c r="V193" s="1408"/>
      <c r="W193" s="1408"/>
      <c r="X193" s="1408"/>
      <c r="Y193" s="1408"/>
      <c r="Z193" s="1408"/>
      <c r="AA193" s="1408"/>
    </row>
    <row r="194" spans="1:27" x14ac:dyDescent="0.25">
      <c r="A194" s="921" t="s">
        <v>1191</v>
      </c>
      <c r="B194" s="859" t="str">
        <f t="shared" ca="1" si="30"/>
        <v>N25</v>
      </c>
      <c r="C194" s="859" t="str">
        <f t="shared" ca="1" si="28"/>
        <v>N</v>
      </c>
      <c r="D194" s="1174" t="s">
        <v>1374</v>
      </c>
      <c r="E194" s="859" t="s">
        <v>1418</v>
      </c>
      <c r="F194" s="1409"/>
      <c r="G194" s="1409"/>
      <c r="H194" s="1409"/>
      <c r="I194" s="857" t="str">
        <f t="shared" si="21"/>
        <v>Fuel Surcharge Applied</v>
      </c>
      <c r="J194" s="1409" t="str">
        <f>IF(M194&lt;&gt;"",Q$1&amp;M194,"")</f>
        <v>F91</v>
      </c>
      <c r="K194" s="1409" t="str">
        <f t="shared" si="23"/>
        <v>Required Info To Submit</v>
      </c>
      <c r="L194" s="895" t="s">
        <v>1384</v>
      </c>
      <c r="M194" s="1409">
        <v>91</v>
      </c>
      <c r="N194" s="1409"/>
      <c r="O194" s="1408"/>
      <c r="P194" s="1408"/>
      <c r="Q194" s="1408"/>
      <c r="R194" s="1408"/>
      <c r="S194" s="1408"/>
      <c r="T194" s="1408"/>
      <c r="U194" s="1408"/>
      <c r="V194" s="1408"/>
      <c r="W194" s="1408"/>
      <c r="X194" s="1408"/>
      <c r="Y194" s="1408"/>
      <c r="Z194" s="1408"/>
      <c r="AA194" s="1408"/>
    </row>
    <row r="195" spans="1:27" ht="30" x14ac:dyDescent="0.25">
      <c r="A195" s="921" t="s">
        <v>1309</v>
      </c>
      <c r="B195" s="859" t="str">
        <f t="shared" ca="1" si="30"/>
        <v>O25</v>
      </c>
      <c r="C195" s="859" t="str">
        <f t="shared" ca="1" si="28"/>
        <v>O</v>
      </c>
      <c r="D195" s="1174" t="s">
        <v>1374</v>
      </c>
      <c r="E195" s="859" t="s">
        <v>1418</v>
      </c>
      <c r="F195" s="1409"/>
      <c r="G195" s="1409"/>
      <c r="H195" s="1409"/>
      <c r="I195" s="857" t="str">
        <f t="shared" si="21"/>
        <v>Minimum Delivery Charge Applied Flag</v>
      </c>
      <c r="J195" s="1409" t="str">
        <f>IF(M195&lt;&gt;"",Q$1&amp;M195,"")</f>
        <v>F92</v>
      </c>
      <c r="K195" s="1409" t="str">
        <f t="shared" si="23"/>
        <v>Required Info To Submit</v>
      </c>
      <c r="L195" s="895" t="s">
        <v>1309</v>
      </c>
      <c r="M195" s="1409">
        <v>92</v>
      </c>
      <c r="N195" s="1409"/>
      <c r="O195" s="1408"/>
      <c r="P195" s="1408"/>
      <c r="Q195" s="1408"/>
      <c r="R195" s="1408"/>
      <c r="S195" s="1408"/>
      <c r="T195" s="1408"/>
      <c r="U195" s="1408"/>
      <c r="V195" s="1408"/>
      <c r="W195" s="1408"/>
      <c r="X195" s="1408"/>
      <c r="Y195" s="1408"/>
      <c r="Z195" s="1408"/>
      <c r="AA195" s="1408"/>
    </row>
    <row r="196" spans="1:27" x14ac:dyDescent="0.25">
      <c r="A196" s="921" t="s">
        <v>768</v>
      </c>
      <c r="B196" s="859" t="str">
        <f t="shared" ca="1" si="30"/>
        <v>G25</v>
      </c>
      <c r="C196" s="859" t="str">
        <f t="shared" ca="1" si="28"/>
        <v>G</v>
      </c>
      <c r="D196" s="1174" t="s">
        <v>1374</v>
      </c>
      <c r="E196" s="859" t="s">
        <v>1418</v>
      </c>
      <c r="F196" s="1409"/>
      <c r="G196" s="1409"/>
      <c r="H196" s="1409"/>
      <c r="I196" s="857" t="str">
        <f t="shared" ref="I196:I259" si="31">IF(J196&lt;&gt;"",A196,"")</f>
        <v>Address</v>
      </c>
      <c r="J196" s="1409" t="str">
        <f>IF(P189="",Q$1&amp;M196,"")</f>
        <v>F93</v>
      </c>
      <c r="K196" s="1409" t="str">
        <f t="shared" ref="K196:K259" si="32">IF(J196&lt;&gt;"",E196,"")</f>
        <v>Required Info To Submit</v>
      </c>
      <c r="L196" s="895" t="s">
        <v>768</v>
      </c>
      <c r="M196" s="1409">
        <v>93</v>
      </c>
      <c r="N196" s="1409"/>
      <c r="O196" s="1408"/>
      <c r="P196" s="1408"/>
      <c r="Q196" s="1408"/>
      <c r="R196" s="1408"/>
      <c r="S196" s="1408"/>
      <c r="T196" s="1408"/>
      <c r="U196" s="1408"/>
      <c r="V196" s="1408"/>
      <c r="W196" s="1408"/>
      <c r="X196" s="1408"/>
      <c r="Y196" s="1408"/>
      <c r="Z196" s="1408"/>
      <c r="AA196" s="1408"/>
    </row>
    <row r="197" spans="1:27" x14ac:dyDescent="0.25">
      <c r="A197" s="921" t="s">
        <v>769</v>
      </c>
      <c r="B197" s="859" t="str">
        <f t="shared" ca="1" si="30"/>
        <v>H25</v>
      </c>
      <c r="C197" s="859" t="str">
        <f t="shared" ca="1" si="28"/>
        <v>H</v>
      </c>
      <c r="D197" s="1174" t="s">
        <v>1374</v>
      </c>
      <c r="E197" s="859" t="s">
        <v>1418</v>
      </c>
      <c r="F197" s="1409"/>
      <c r="G197" s="1409"/>
      <c r="H197" s="1409"/>
      <c r="I197" s="857" t="str">
        <f t="shared" si="31"/>
        <v>City</v>
      </c>
      <c r="J197" s="1409" t="str">
        <f>IF(P189="",Q$1&amp;M197,"")</f>
        <v>F94</v>
      </c>
      <c r="K197" s="1409" t="str">
        <f t="shared" si="32"/>
        <v>Required Info To Submit</v>
      </c>
      <c r="L197" s="895" t="s">
        <v>769</v>
      </c>
      <c r="M197" s="1409">
        <v>94</v>
      </c>
      <c r="N197" s="1409"/>
      <c r="O197" s="1408"/>
      <c r="P197" s="1408"/>
      <c r="Q197" s="1408"/>
      <c r="R197" s="1408"/>
      <c r="S197" s="1408"/>
      <c r="T197" s="1408"/>
      <c r="U197" s="1408"/>
      <c r="V197" s="1408"/>
      <c r="W197" s="1408"/>
      <c r="X197" s="1408"/>
      <c r="Y197" s="1408"/>
      <c r="Z197" s="1408"/>
      <c r="AA197" s="1408"/>
    </row>
    <row r="198" spans="1:27" x14ac:dyDescent="0.25">
      <c r="A198" s="921" t="s">
        <v>770</v>
      </c>
      <c r="B198" s="859" t="str">
        <f t="shared" ca="1" si="30"/>
        <v>I25</v>
      </c>
      <c r="C198" s="859" t="str">
        <f t="shared" ca="1" si="28"/>
        <v>I</v>
      </c>
      <c r="D198" s="1174" t="s">
        <v>1374</v>
      </c>
      <c r="E198" s="859" t="s">
        <v>1418</v>
      </c>
      <c r="F198" s="1409"/>
      <c r="G198" s="1409"/>
      <c r="H198" s="1409"/>
      <c r="I198" s="857" t="str">
        <f t="shared" si="31"/>
        <v>State</v>
      </c>
      <c r="J198" s="1409" t="str">
        <f>IF(P189="",Q$1&amp;M198,"")</f>
        <v>F95</v>
      </c>
      <c r="K198" s="1409" t="str">
        <f t="shared" si="32"/>
        <v>Required Info To Submit</v>
      </c>
      <c r="L198" s="895" t="s">
        <v>770</v>
      </c>
      <c r="M198" s="1409">
        <v>95</v>
      </c>
      <c r="N198" s="1409"/>
      <c r="O198" s="1408"/>
      <c r="P198" s="1408"/>
      <c r="Q198" s="1408"/>
      <c r="R198" s="1408"/>
      <c r="S198" s="1408"/>
      <c r="T198" s="1408"/>
      <c r="U198" s="1408"/>
      <c r="V198" s="1408"/>
      <c r="W198" s="1408"/>
      <c r="X198" s="1408"/>
      <c r="Y198" s="1408"/>
      <c r="Z198" s="1408"/>
      <c r="AA198" s="1408"/>
    </row>
    <row r="199" spans="1:27" x14ac:dyDescent="0.25">
      <c r="A199" s="921" t="s">
        <v>204</v>
      </c>
      <c r="B199" s="859" t="str">
        <f t="shared" ca="1" si="30"/>
        <v>J25</v>
      </c>
      <c r="C199" s="859" t="str">
        <f t="shared" ca="1" si="28"/>
        <v>J</v>
      </c>
      <c r="D199" s="1174" t="s">
        <v>1374</v>
      </c>
      <c r="E199" s="859" t="s">
        <v>1418</v>
      </c>
      <c r="F199" s="1409"/>
      <c r="G199" s="1409"/>
      <c r="H199" s="1409"/>
      <c r="I199" s="857" t="str">
        <f t="shared" si="31"/>
        <v>Zip Code</v>
      </c>
      <c r="J199" s="1409" t="str">
        <f>IF(P189="",Q$1&amp;M199,"")</f>
        <v>F96</v>
      </c>
      <c r="K199" s="1409" t="str">
        <f t="shared" si="32"/>
        <v>Required Info To Submit</v>
      </c>
      <c r="L199" s="895" t="s">
        <v>204</v>
      </c>
      <c r="M199" s="1409">
        <v>96</v>
      </c>
      <c r="N199" s="1409"/>
      <c r="O199" s="1408"/>
      <c r="P199" s="1408"/>
      <c r="Q199" s="1408"/>
      <c r="R199" s="1408"/>
      <c r="S199" s="1408"/>
      <c r="T199" s="1408"/>
      <c r="U199" s="1408"/>
      <c r="V199" s="1408"/>
      <c r="W199" s="1408"/>
      <c r="X199" s="1408"/>
      <c r="Y199" s="1408"/>
      <c r="Z199" s="1408"/>
      <c r="AA199" s="1408"/>
    </row>
    <row r="200" spans="1:27" x14ac:dyDescent="0.25">
      <c r="A200" s="922" t="s">
        <v>1188</v>
      </c>
      <c r="B200" s="859" t="str">
        <f ca="1">_xlfn.IFNA(_xlfn.CONCAT(SUBSTITUTE(ADDRESS(1,MATCH(A200,INDIRECT("'"&amp;E200&amp;"'"&amp;"!A22:Z22"),0),4),1,""),26),"")</f>
        <v>E26</v>
      </c>
      <c r="C200" s="859" t="str">
        <f t="shared" ca="1" si="28"/>
        <v>E</v>
      </c>
      <c r="D200" s="1174" t="s">
        <v>1374</v>
      </c>
      <c r="E200" s="859" t="s">
        <v>1418</v>
      </c>
      <c r="F200" s="1409"/>
      <c r="G200" s="1409"/>
      <c r="H200" s="1409"/>
      <c r="I200" s="857" t="str">
        <f t="shared" si="31"/>
        <v/>
      </c>
      <c r="J200" s="1409"/>
      <c r="K200" s="1409" t="str">
        <f t="shared" si="32"/>
        <v/>
      </c>
      <c r="L200" s="895" t="s">
        <v>1188</v>
      </c>
      <c r="M200" s="1409">
        <v>97</v>
      </c>
      <c r="N200" s="1409"/>
      <c r="O200" s="1408"/>
      <c r="P200" s="1409" t="str">
        <f>IFERROR(VLOOKUP(Q$200,'Existing Customers'!$A:$F,1,FALSE),"")</f>
        <v/>
      </c>
      <c r="Q200" s="1409"/>
      <c r="R200" s="1408"/>
      <c r="S200" s="1408"/>
      <c r="T200" s="1408"/>
      <c r="U200" s="1408"/>
      <c r="V200" s="1408"/>
      <c r="W200" s="1408"/>
      <c r="X200" s="1408"/>
      <c r="Y200" s="1408"/>
      <c r="Z200" s="1408"/>
      <c r="AA200" s="1408"/>
    </row>
    <row r="201" spans="1:27" x14ac:dyDescent="0.25">
      <c r="A201" s="923" t="s">
        <v>767</v>
      </c>
      <c r="B201" s="859" t="str">
        <f t="shared" ref="B201:B210" ca="1" si="33">_xlfn.IFNA(_xlfn.CONCAT(SUBSTITUTE(ADDRESS(1,MATCH(A201,INDIRECT("'"&amp;E201&amp;"'"&amp;"!A22:Z22"),0),4),1,""),26),"")</f>
        <v>F26</v>
      </c>
      <c r="C201" s="859" t="str">
        <f t="shared" ca="1" si="28"/>
        <v>F</v>
      </c>
      <c r="D201" s="1174" t="s">
        <v>1374</v>
      </c>
      <c r="E201" s="859" t="s">
        <v>1418</v>
      </c>
      <c r="F201" s="1409"/>
      <c r="G201" s="1409"/>
      <c r="H201" s="1409"/>
      <c r="I201" s="857" t="str">
        <f t="shared" si="31"/>
        <v>Name</v>
      </c>
      <c r="J201" s="1409" t="str">
        <f>IF(P200="",Q$1&amp;M201,"")</f>
        <v>F99</v>
      </c>
      <c r="K201" s="1409" t="str">
        <f t="shared" si="32"/>
        <v>Required Info To Submit</v>
      </c>
      <c r="L201" s="895" t="s">
        <v>767</v>
      </c>
      <c r="M201" s="1409">
        <v>99</v>
      </c>
      <c r="N201" s="1409"/>
      <c r="O201" s="1408"/>
      <c r="P201" s="1408"/>
      <c r="Q201" s="1408"/>
      <c r="R201" s="1408"/>
      <c r="S201" s="1408"/>
      <c r="T201" s="1408"/>
      <c r="U201" s="1408"/>
      <c r="V201" s="1408"/>
      <c r="W201" s="1408"/>
      <c r="X201" s="1408"/>
      <c r="Y201" s="1408"/>
      <c r="Z201" s="1408"/>
      <c r="AA201" s="1408"/>
    </row>
    <row r="202" spans="1:27" x14ac:dyDescent="0.25">
      <c r="A202" s="923" t="s">
        <v>766</v>
      </c>
      <c r="B202" s="859" t="str">
        <f t="shared" ca="1" si="33"/>
        <v>K26</v>
      </c>
      <c r="C202" s="859" t="str">
        <f t="shared" ca="1" si="28"/>
        <v>K</v>
      </c>
      <c r="D202" s="1174" t="s">
        <v>1374</v>
      </c>
      <c r="E202" s="859" t="s">
        <v>1418</v>
      </c>
      <c r="F202" s="1409"/>
      <c r="G202" s="1409"/>
      <c r="H202" s="1409"/>
      <c r="I202" s="857" t="str">
        <f t="shared" si="31"/>
        <v/>
      </c>
      <c r="J202" s="1409"/>
      <c r="K202" s="1409" t="str">
        <f t="shared" si="32"/>
        <v/>
      </c>
      <c r="L202" s="895" t="s">
        <v>766</v>
      </c>
      <c r="M202" s="1409">
        <v>109</v>
      </c>
      <c r="N202" s="1409"/>
      <c r="O202" s="1408"/>
      <c r="P202" s="1408"/>
      <c r="Q202" s="1408"/>
      <c r="R202" s="1408"/>
      <c r="S202" s="1408"/>
      <c r="T202" s="1408"/>
      <c r="U202" s="1408"/>
      <c r="V202" s="1408"/>
      <c r="W202" s="1408"/>
      <c r="X202" s="1408"/>
      <c r="Y202" s="1408"/>
      <c r="Z202" s="1408"/>
      <c r="AA202" s="1408"/>
    </row>
    <row r="203" spans="1:27" x14ac:dyDescent="0.25">
      <c r="A203" s="923" t="s">
        <v>1189</v>
      </c>
      <c r="B203" s="859" t="str">
        <f t="shared" ca="1" si="33"/>
        <v>L26</v>
      </c>
      <c r="C203" s="859" t="str">
        <f t="shared" ca="1" si="28"/>
        <v>L</v>
      </c>
      <c r="D203" s="1174" t="s">
        <v>1374</v>
      </c>
      <c r="E203" s="859" t="s">
        <v>1418</v>
      </c>
      <c r="F203" s="1409"/>
      <c r="G203" s="1409"/>
      <c r="H203" s="1409"/>
      <c r="I203" s="857" t="str">
        <f t="shared" si="31"/>
        <v/>
      </c>
      <c r="J203" s="1409"/>
      <c r="K203" s="1409" t="str">
        <f t="shared" si="32"/>
        <v/>
      </c>
      <c r="L203" s="895" t="s">
        <v>1189</v>
      </c>
      <c r="M203" s="1409">
        <v>110</v>
      </c>
      <c r="N203" s="1409"/>
      <c r="O203" s="1408"/>
      <c r="P203" s="1408"/>
      <c r="Q203" s="1408"/>
      <c r="R203" s="1408"/>
      <c r="S203" s="1408"/>
      <c r="T203" s="1408"/>
      <c r="U203" s="1408"/>
      <c r="V203" s="1408"/>
      <c r="W203" s="1408"/>
      <c r="X203" s="1408"/>
      <c r="Y203" s="1408"/>
      <c r="Z203" s="1408"/>
      <c r="AA203" s="1408"/>
    </row>
    <row r="204" spans="1:27" x14ac:dyDescent="0.25">
      <c r="A204" s="923" t="s">
        <v>1190</v>
      </c>
      <c r="B204" s="859" t="str">
        <f t="shared" ca="1" si="33"/>
        <v>M26</v>
      </c>
      <c r="C204" s="859" t="str">
        <f t="shared" ca="1" si="28"/>
        <v>M</v>
      </c>
      <c r="D204" s="1174" t="s">
        <v>1374</v>
      </c>
      <c r="E204" s="859" t="s">
        <v>1418</v>
      </c>
      <c r="F204" s="1409"/>
      <c r="G204" s="1409"/>
      <c r="H204" s="1409"/>
      <c r="I204" s="857" t="str">
        <f t="shared" si="31"/>
        <v>Secondary or Internal Customer</v>
      </c>
      <c r="J204" s="1409" t="str">
        <f>IF(M204&lt;&gt;"",Q$1&amp;M204,"")</f>
        <v>F111</v>
      </c>
      <c r="K204" s="1409" t="str">
        <f t="shared" si="32"/>
        <v>Required Info To Submit</v>
      </c>
      <c r="L204" s="895" t="s">
        <v>1190</v>
      </c>
      <c r="M204" s="1409">
        <v>111</v>
      </c>
      <c r="N204" s="1409"/>
      <c r="O204" s="1408"/>
      <c r="P204" s="1408"/>
      <c r="Q204" s="1408"/>
      <c r="R204" s="1408"/>
      <c r="S204" s="1408"/>
      <c r="T204" s="1408"/>
      <c r="U204" s="1408"/>
      <c r="V204" s="1408"/>
      <c r="W204" s="1408"/>
      <c r="X204" s="1408"/>
      <c r="Y204" s="1408"/>
      <c r="Z204" s="1408"/>
      <c r="AA204" s="1408"/>
    </row>
    <row r="205" spans="1:27" x14ac:dyDescent="0.25">
      <c r="A205" s="923" t="s">
        <v>1191</v>
      </c>
      <c r="B205" s="859" t="str">
        <f t="shared" ca="1" si="33"/>
        <v>N26</v>
      </c>
      <c r="C205" s="859" t="str">
        <f t="shared" ca="1" si="28"/>
        <v>N</v>
      </c>
      <c r="D205" s="1174" t="s">
        <v>1374</v>
      </c>
      <c r="E205" s="859" t="s">
        <v>1418</v>
      </c>
      <c r="F205" s="1409"/>
      <c r="G205" s="1409"/>
      <c r="H205" s="1409"/>
      <c r="I205" s="857" t="str">
        <f t="shared" si="31"/>
        <v>Fuel Surcharge Applied</v>
      </c>
      <c r="J205" s="1409" t="str">
        <f>IF(M205&lt;&gt;"",Q$1&amp;M205,"")</f>
        <v>F112</v>
      </c>
      <c r="K205" s="1409" t="str">
        <f t="shared" si="32"/>
        <v>Required Info To Submit</v>
      </c>
      <c r="L205" s="895" t="s">
        <v>1384</v>
      </c>
      <c r="M205" s="1409">
        <v>112</v>
      </c>
      <c r="N205" s="1409"/>
      <c r="O205" s="1408"/>
      <c r="P205" s="1408"/>
      <c r="Q205" s="1408"/>
      <c r="R205" s="1408"/>
      <c r="S205" s="1408"/>
      <c r="T205" s="1408"/>
      <c r="U205" s="1408"/>
      <c r="V205" s="1408"/>
      <c r="W205" s="1408"/>
      <c r="X205" s="1408"/>
      <c r="Y205" s="1408"/>
      <c r="Z205" s="1408"/>
      <c r="AA205" s="1408"/>
    </row>
    <row r="206" spans="1:27" ht="30" x14ac:dyDescent="0.25">
      <c r="A206" s="923" t="s">
        <v>1309</v>
      </c>
      <c r="B206" s="859" t="str">
        <f t="shared" ca="1" si="33"/>
        <v>O26</v>
      </c>
      <c r="C206" s="859" t="str">
        <f t="shared" ca="1" si="28"/>
        <v>O</v>
      </c>
      <c r="D206" s="1174" t="s">
        <v>1374</v>
      </c>
      <c r="E206" s="859" t="s">
        <v>1418</v>
      </c>
      <c r="F206" s="1409"/>
      <c r="G206" s="1409"/>
      <c r="H206" s="1409"/>
      <c r="I206" s="857" t="str">
        <f t="shared" si="31"/>
        <v>Minimum Delivery Charge Applied Flag</v>
      </c>
      <c r="J206" s="1409" t="str">
        <f>IF(M206&lt;&gt;"",Q$1&amp;M206,"")</f>
        <v>F113</v>
      </c>
      <c r="K206" s="1409" t="str">
        <f t="shared" si="32"/>
        <v>Required Info To Submit</v>
      </c>
      <c r="L206" s="895" t="s">
        <v>1309</v>
      </c>
      <c r="M206" s="1409">
        <v>113</v>
      </c>
      <c r="N206" s="1409"/>
      <c r="O206" s="1408"/>
      <c r="P206" s="1408"/>
      <c r="Q206" s="1408"/>
      <c r="R206" s="1408"/>
      <c r="S206" s="1408"/>
      <c r="T206" s="1408"/>
      <c r="U206" s="1408"/>
      <c r="V206" s="1408"/>
      <c r="W206" s="1408"/>
      <c r="X206" s="1408"/>
      <c r="Y206" s="1408"/>
      <c r="Z206" s="1408"/>
      <c r="AA206" s="1408"/>
    </row>
    <row r="207" spans="1:27" x14ac:dyDescent="0.25">
      <c r="A207" s="923" t="s">
        <v>768</v>
      </c>
      <c r="B207" s="859" t="str">
        <f t="shared" ca="1" si="33"/>
        <v>G26</v>
      </c>
      <c r="C207" s="859" t="str">
        <f t="shared" ca="1" si="28"/>
        <v>G</v>
      </c>
      <c r="D207" s="1174" t="s">
        <v>1374</v>
      </c>
      <c r="E207" s="859" t="s">
        <v>1418</v>
      </c>
      <c r="F207" s="1409"/>
      <c r="G207" s="1409"/>
      <c r="H207" s="1409"/>
      <c r="I207" s="857" t="str">
        <f t="shared" si="31"/>
        <v>Address</v>
      </c>
      <c r="J207" s="1409" t="str">
        <f>IF(P200="",Q$1&amp;M207,"")</f>
        <v>F114</v>
      </c>
      <c r="K207" s="1409" t="str">
        <f t="shared" si="32"/>
        <v>Required Info To Submit</v>
      </c>
      <c r="L207" s="895" t="s">
        <v>768</v>
      </c>
      <c r="M207" s="1409">
        <v>114</v>
      </c>
      <c r="N207" s="1409"/>
      <c r="O207" s="1408"/>
      <c r="P207" s="1408"/>
      <c r="Q207" s="1408"/>
      <c r="R207" s="1408"/>
      <c r="S207" s="1408"/>
      <c r="T207" s="1408"/>
      <c r="U207" s="1408"/>
      <c r="V207" s="1408"/>
      <c r="W207" s="1408"/>
      <c r="X207" s="1408"/>
      <c r="Y207" s="1408"/>
      <c r="Z207" s="1408"/>
      <c r="AA207" s="1408"/>
    </row>
    <row r="208" spans="1:27" x14ac:dyDescent="0.25">
      <c r="A208" s="923" t="s">
        <v>769</v>
      </c>
      <c r="B208" s="859" t="str">
        <f t="shared" ca="1" si="33"/>
        <v>H26</v>
      </c>
      <c r="C208" s="859" t="str">
        <f t="shared" ca="1" si="28"/>
        <v>H</v>
      </c>
      <c r="D208" s="1174" t="s">
        <v>1374</v>
      </c>
      <c r="E208" s="859" t="s">
        <v>1418</v>
      </c>
      <c r="F208" s="1409"/>
      <c r="G208" s="1409"/>
      <c r="H208" s="1409"/>
      <c r="I208" s="857" t="str">
        <f t="shared" si="31"/>
        <v>City</v>
      </c>
      <c r="J208" s="1409" t="str">
        <f>IF(P200="",Q$1&amp;M208,"")</f>
        <v>F115</v>
      </c>
      <c r="K208" s="1409" t="str">
        <f t="shared" si="32"/>
        <v>Required Info To Submit</v>
      </c>
      <c r="L208" s="895" t="s">
        <v>769</v>
      </c>
      <c r="M208" s="1409">
        <v>115</v>
      </c>
      <c r="N208" s="1409"/>
      <c r="O208" s="1408"/>
      <c r="P208" s="1408"/>
      <c r="Q208" s="1408"/>
      <c r="R208" s="1408"/>
      <c r="S208" s="1408"/>
      <c r="T208" s="1408"/>
      <c r="U208" s="1408"/>
      <c r="V208" s="1408"/>
      <c r="W208" s="1408"/>
      <c r="X208" s="1408"/>
      <c r="Y208" s="1408"/>
      <c r="Z208" s="1408"/>
      <c r="AA208" s="1408"/>
    </row>
    <row r="209" spans="1:27" x14ac:dyDescent="0.25">
      <c r="A209" s="923" t="s">
        <v>770</v>
      </c>
      <c r="B209" s="859" t="str">
        <f t="shared" ca="1" si="33"/>
        <v>I26</v>
      </c>
      <c r="C209" s="859" t="str">
        <f t="shared" ca="1" si="28"/>
        <v>I</v>
      </c>
      <c r="D209" s="1174" t="s">
        <v>1374</v>
      </c>
      <c r="E209" s="859" t="s">
        <v>1418</v>
      </c>
      <c r="F209" s="1409"/>
      <c r="G209" s="1409"/>
      <c r="H209" s="1409"/>
      <c r="I209" s="857" t="str">
        <f t="shared" si="31"/>
        <v>State</v>
      </c>
      <c r="J209" s="1409" t="str">
        <f>IF(P200="",Q$1&amp;M209,"")</f>
        <v>F116</v>
      </c>
      <c r="K209" s="1409" t="str">
        <f t="shared" si="32"/>
        <v>Required Info To Submit</v>
      </c>
      <c r="L209" s="895" t="s">
        <v>770</v>
      </c>
      <c r="M209" s="1409">
        <v>116</v>
      </c>
      <c r="N209" s="1409"/>
      <c r="O209" s="1408"/>
      <c r="P209" s="1408"/>
      <c r="Q209" s="1408"/>
      <c r="R209" s="1408"/>
      <c r="S209" s="1408"/>
      <c r="T209" s="1408"/>
      <c r="U209" s="1408"/>
      <c r="V209" s="1408"/>
      <c r="W209" s="1408"/>
      <c r="X209" s="1408"/>
      <c r="Y209" s="1408"/>
      <c r="Z209" s="1408"/>
      <c r="AA209" s="1408"/>
    </row>
    <row r="210" spans="1:27" x14ac:dyDescent="0.25">
      <c r="A210" s="923" t="s">
        <v>204</v>
      </c>
      <c r="B210" s="859" t="str">
        <f t="shared" ca="1" si="33"/>
        <v>J26</v>
      </c>
      <c r="C210" s="859" t="str">
        <f t="shared" ca="1" si="28"/>
        <v>J</v>
      </c>
      <c r="D210" s="1174" t="s">
        <v>1374</v>
      </c>
      <c r="E210" s="859" t="s">
        <v>1418</v>
      </c>
      <c r="F210" s="1409"/>
      <c r="G210" s="1409"/>
      <c r="H210" s="1409"/>
      <c r="I210" s="857" t="str">
        <f t="shared" si="31"/>
        <v>Zip Code</v>
      </c>
      <c r="J210" s="1409" t="str">
        <f>IF(P200="",Q$1&amp;M210,"")</f>
        <v>F117</v>
      </c>
      <c r="K210" s="1409" t="str">
        <f t="shared" si="32"/>
        <v>Required Info To Submit</v>
      </c>
      <c r="L210" s="895" t="s">
        <v>204</v>
      </c>
      <c r="M210" s="1409">
        <v>117</v>
      </c>
      <c r="N210" s="1409"/>
      <c r="O210" s="1408"/>
      <c r="P210" s="1408"/>
      <c r="Q210" s="1408"/>
      <c r="R210" s="1408"/>
      <c r="S210" s="1408"/>
      <c r="T210" s="1408"/>
      <c r="U210" s="1408"/>
      <c r="V210" s="1408"/>
      <c r="W210" s="1408"/>
      <c r="X210" s="1408"/>
      <c r="Y210" s="1408"/>
      <c r="Z210" s="1408"/>
      <c r="AA210" s="1408"/>
    </row>
    <row r="211" spans="1:27" x14ac:dyDescent="0.25">
      <c r="A211" s="920" t="s">
        <v>1188</v>
      </c>
      <c r="B211" s="859" t="str">
        <f ca="1">_xlfn.IFNA(_xlfn.CONCAT(SUBSTITUTE(ADDRESS(1,MATCH(A211,INDIRECT("'"&amp;E211&amp;"'"&amp;"!A22:Z22"),0),4),1,""),27),"")</f>
        <v>E27</v>
      </c>
      <c r="C211" s="859" t="str">
        <f t="shared" ca="1" si="28"/>
        <v>E</v>
      </c>
      <c r="D211" s="1174" t="s">
        <v>1374</v>
      </c>
      <c r="E211" s="859" t="s">
        <v>1418</v>
      </c>
      <c r="F211" s="1409"/>
      <c r="G211" s="1409"/>
      <c r="H211" s="1409"/>
      <c r="I211" s="857" t="str">
        <f t="shared" si="31"/>
        <v/>
      </c>
      <c r="J211" s="1409"/>
      <c r="K211" s="1409" t="str">
        <f t="shared" si="32"/>
        <v/>
      </c>
      <c r="L211" s="895" t="s">
        <v>1188</v>
      </c>
      <c r="M211" s="1409">
        <v>118</v>
      </c>
      <c r="N211" s="1409"/>
      <c r="O211" s="1408"/>
      <c r="P211" s="1409" t="str">
        <f>IFERROR(VLOOKUP(Q$211,'Existing Customers'!$A:$F,1,FALSE),"")</f>
        <v/>
      </c>
      <c r="Q211" s="1409"/>
      <c r="R211" s="1408"/>
      <c r="S211" s="1408"/>
      <c r="T211" s="1408"/>
      <c r="U211" s="1408"/>
      <c r="V211" s="1408"/>
      <c r="W211" s="1408"/>
      <c r="X211" s="1408"/>
      <c r="Y211" s="1408"/>
      <c r="Z211" s="1408"/>
      <c r="AA211" s="1408"/>
    </row>
    <row r="212" spans="1:27" x14ac:dyDescent="0.25">
      <c r="A212" s="921" t="s">
        <v>767</v>
      </c>
      <c r="B212" s="859" t="str">
        <f t="shared" ref="B212:B221" ca="1" si="34">_xlfn.IFNA(_xlfn.CONCAT(SUBSTITUTE(ADDRESS(1,MATCH(A212,INDIRECT("'"&amp;E212&amp;"'"&amp;"!A22:Z22"),0),4),1,""),27),"")</f>
        <v>F27</v>
      </c>
      <c r="C212" s="859" t="str">
        <f t="shared" ca="1" si="28"/>
        <v>F</v>
      </c>
      <c r="D212" s="1174" t="s">
        <v>1374</v>
      </c>
      <c r="E212" s="859" t="s">
        <v>1418</v>
      </c>
      <c r="F212" s="1409"/>
      <c r="G212" s="1409"/>
      <c r="H212" s="1409"/>
      <c r="I212" s="857" t="str">
        <f t="shared" si="31"/>
        <v>Name</v>
      </c>
      <c r="J212" s="1409" t="str">
        <f>IF(P211="",Q$1&amp;M212,"")</f>
        <v>F120</v>
      </c>
      <c r="K212" s="1409" t="str">
        <f t="shared" si="32"/>
        <v>Required Info To Submit</v>
      </c>
      <c r="L212" s="895" t="s">
        <v>767</v>
      </c>
      <c r="M212" s="1409">
        <v>120</v>
      </c>
      <c r="N212" s="1409"/>
      <c r="O212" s="1408"/>
      <c r="P212" s="1408"/>
      <c r="Q212" s="1408"/>
      <c r="R212" s="1408"/>
      <c r="S212" s="1408"/>
      <c r="T212" s="1408"/>
      <c r="U212" s="1408"/>
      <c r="V212" s="1408"/>
      <c r="W212" s="1408"/>
      <c r="X212" s="1408"/>
      <c r="Y212" s="1408"/>
      <c r="Z212" s="1408"/>
      <c r="AA212" s="1408"/>
    </row>
    <row r="213" spans="1:27" x14ac:dyDescent="0.25">
      <c r="A213" s="921" t="s">
        <v>766</v>
      </c>
      <c r="B213" s="859" t="str">
        <f t="shared" ca="1" si="34"/>
        <v>K27</v>
      </c>
      <c r="C213" s="859" t="str">
        <f t="shared" ca="1" si="28"/>
        <v>K</v>
      </c>
      <c r="D213" s="1174" t="s">
        <v>1374</v>
      </c>
      <c r="E213" s="859" t="s">
        <v>1418</v>
      </c>
      <c r="F213" s="1409"/>
      <c r="G213" s="1409"/>
      <c r="H213" s="1409"/>
      <c r="I213" s="857" t="str">
        <f t="shared" si="31"/>
        <v/>
      </c>
      <c r="J213" s="1409"/>
      <c r="K213" s="1409" t="str">
        <f t="shared" si="32"/>
        <v/>
      </c>
      <c r="L213" s="895" t="s">
        <v>766</v>
      </c>
      <c r="M213" s="1409">
        <v>130</v>
      </c>
      <c r="N213" s="1409"/>
      <c r="O213" s="1408"/>
      <c r="P213" s="1408"/>
      <c r="Q213" s="1408"/>
      <c r="R213" s="1408"/>
      <c r="S213" s="1408"/>
      <c r="T213" s="1408"/>
      <c r="U213" s="1408"/>
      <c r="V213" s="1408"/>
      <c r="W213" s="1408"/>
      <c r="X213" s="1408"/>
      <c r="Y213" s="1408"/>
      <c r="Z213" s="1408"/>
      <c r="AA213" s="1408"/>
    </row>
    <row r="214" spans="1:27" x14ac:dyDescent="0.25">
      <c r="A214" s="921" t="s">
        <v>1189</v>
      </c>
      <c r="B214" s="859" t="str">
        <f t="shared" ca="1" si="34"/>
        <v>L27</v>
      </c>
      <c r="C214" s="859" t="str">
        <f t="shared" ca="1" si="28"/>
        <v>L</v>
      </c>
      <c r="D214" s="1174" t="s">
        <v>1374</v>
      </c>
      <c r="E214" s="859" t="s">
        <v>1418</v>
      </c>
      <c r="F214" s="1409"/>
      <c r="G214" s="1409"/>
      <c r="H214" s="1409"/>
      <c r="I214" s="857" t="str">
        <f t="shared" si="31"/>
        <v/>
      </c>
      <c r="J214" s="1409"/>
      <c r="K214" s="1409" t="str">
        <f t="shared" si="32"/>
        <v/>
      </c>
      <c r="L214" s="895" t="s">
        <v>1189</v>
      </c>
      <c r="M214" s="1409">
        <v>131</v>
      </c>
      <c r="N214" s="1409"/>
      <c r="O214" s="1408"/>
      <c r="P214" s="1408"/>
      <c r="Q214" s="1408"/>
      <c r="R214" s="1408"/>
      <c r="S214" s="1408"/>
      <c r="T214" s="1408"/>
      <c r="U214" s="1408"/>
      <c r="V214" s="1408"/>
      <c r="W214" s="1408"/>
      <c r="X214" s="1408"/>
      <c r="Y214" s="1408"/>
      <c r="Z214" s="1408"/>
      <c r="AA214" s="1408"/>
    </row>
    <row r="215" spans="1:27" x14ac:dyDescent="0.25">
      <c r="A215" s="921" t="s">
        <v>1190</v>
      </c>
      <c r="B215" s="859" t="str">
        <f t="shared" ca="1" si="34"/>
        <v>M27</v>
      </c>
      <c r="C215" s="859" t="str">
        <f t="shared" ca="1" si="28"/>
        <v>M</v>
      </c>
      <c r="D215" s="1174" t="s">
        <v>1374</v>
      </c>
      <c r="E215" s="859" t="s">
        <v>1418</v>
      </c>
      <c r="F215" s="1409"/>
      <c r="G215" s="1409"/>
      <c r="H215" s="1409"/>
      <c r="I215" s="857" t="str">
        <f t="shared" si="31"/>
        <v>Secondary or Internal Customer</v>
      </c>
      <c r="J215" s="1409" t="str">
        <f>IF(M215&lt;&gt;"",Q$1&amp;M215,"")</f>
        <v>F132</v>
      </c>
      <c r="K215" s="1409" t="str">
        <f t="shared" si="32"/>
        <v>Required Info To Submit</v>
      </c>
      <c r="L215" s="895" t="s">
        <v>1190</v>
      </c>
      <c r="M215" s="1409">
        <v>132</v>
      </c>
      <c r="N215" s="1409"/>
      <c r="O215" s="1408"/>
      <c r="P215" s="1408"/>
      <c r="Q215" s="1408"/>
      <c r="R215" s="1408"/>
      <c r="S215" s="1408"/>
      <c r="T215" s="1408"/>
      <c r="U215" s="1408"/>
      <c r="V215" s="1408"/>
      <c r="W215" s="1408"/>
      <c r="X215" s="1408"/>
      <c r="Y215" s="1408"/>
      <c r="Z215" s="1408"/>
      <c r="AA215" s="1408"/>
    </row>
    <row r="216" spans="1:27" x14ac:dyDescent="0.25">
      <c r="A216" s="921" t="s">
        <v>1191</v>
      </c>
      <c r="B216" s="859" t="str">
        <f t="shared" ca="1" si="34"/>
        <v>N27</v>
      </c>
      <c r="C216" s="859" t="str">
        <f t="shared" ca="1" si="28"/>
        <v>N</v>
      </c>
      <c r="D216" s="1174" t="s">
        <v>1374</v>
      </c>
      <c r="E216" s="859" t="s">
        <v>1418</v>
      </c>
      <c r="F216" s="1409"/>
      <c r="G216" s="1409"/>
      <c r="H216" s="1409"/>
      <c r="I216" s="857" t="str">
        <f t="shared" si="31"/>
        <v>Fuel Surcharge Applied</v>
      </c>
      <c r="J216" s="1409" t="str">
        <f>IF(M216&lt;&gt;"",Q$1&amp;M216,"")</f>
        <v>F133</v>
      </c>
      <c r="K216" s="1409" t="str">
        <f t="shared" si="32"/>
        <v>Required Info To Submit</v>
      </c>
      <c r="L216" s="895" t="s">
        <v>1384</v>
      </c>
      <c r="M216" s="1409">
        <v>133</v>
      </c>
      <c r="N216" s="1409"/>
      <c r="O216" s="1408"/>
      <c r="P216" s="1408"/>
      <c r="Q216" s="1408"/>
      <c r="R216" s="1408"/>
      <c r="S216" s="1408"/>
      <c r="T216" s="1408"/>
      <c r="U216" s="1408"/>
      <c r="V216" s="1408"/>
      <c r="W216" s="1408"/>
      <c r="X216" s="1408"/>
      <c r="Y216" s="1408"/>
      <c r="Z216" s="1408"/>
      <c r="AA216" s="1408"/>
    </row>
    <row r="217" spans="1:27" ht="30" x14ac:dyDescent="0.25">
      <c r="A217" s="921" t="s">
        <v>1309</v>
      </c>
      <c r="B217" s="859" t="str">
        <f t="shared" ca="1" si="34"/>
        <v>O27</v>
      </c>
      <c r="C217" s="859" t="str">
        <f t="shared" ca="1" si="28"/>
        <v>O</v>
      </c>
      <c r="D217" s="1174" t="s">
        <v>1374</v>
      </c>
      <c r="E217" s="859" t="s">
        <v>1418</v>
      </c>
      <c r="F217" s="1409"/>
      <c r="G217" s="1409"/>
      <c r="H217" s="1409"/>
      <c r="I217" s="857" t="str">
        <f t="shared" si="31"/>
        <v>Minimum Delivery Charge Applied Flag</v>
      </c>
      <c r="J217" s="1409" t="str">
        <f>IF(M217&lt;&gt;"",Q$1&amp;M217,"")</f>
        <v>F134</v>
      </c>
      <c r="K217" s="1409" t="str">
        <f t="shared" si="32"/>
        <v>Required Info To Submit</v>
      </c>
      <c r="L217" s="895" t="s">
        <v>1309</v>
      </c>
      <c r="M217" s="1409">
        <v>134</v>
      </c>
      <c r="N217" s="1409"/>
      <c r="O217" s="1408"/>
      <c r="P217" s="1408"/>
      <c r="Q217" s="1408"/>
      <c r="R217" s="1408"/>
      <c r="S217" s="1408"/>
      <c r="T217" s="1408"/>
      <c r="U217" s="1408"/>
      <c r="V217" s="1408"/>
      <c r="W217" s="1408"/>
      <c r="X217" s="1408"/>
      <c r="Y217" s="1408"/>
      <c r="Z217" s="1408"/>
      <c r="AA217" s="1408"/>
    </row>
    <row r="218" spans="1:27" x14ac:dyDescent="0.25">
      <c r="A218" s="921" t="s">
        <v>768</v>
      </c>
      <c r="B218" s="859" t="str">
        <f t="shared" ca="1" si="34"/>
        <v>G27</v>
      </c>
      <c r="C218" s="859" t="str">
        <f t="shared" ca="1" si="28"/>
        <v>G</v>
      </c>
      <c r="D218" s="1174" t="s">
        <v>1374</v>
      </c>
      <c r="E218" s="859" t="s">
        <v>1418</v>
      </c>
      <c r="F218" s="1409"/>
      <c r="G218" s="1409"/>
      <c r="H218" s="1409"/>
      <c r="I218" s="857" t="str">
        <f t="shared" si="31"/>
        <v>Address</v>
      </c>
      <c r="J218" s="1409" t="str">
        <f>IF(P211="",Q$1&amp;M218,"")</f>
        <v>F135</v>
      </c>
      <c r="K218" s="1409" t="str">
        <f t="shared" si="32"/>
        <v>Required Info To Submit</v>
      </c>
      <c r="L218" s="895" t="s">
        <v>768</v>
      </c>
      <c r="M218" s="1409">
        <v>135</v>
      </c>
      <c r="N218" s="1409"/>
      <c r="O218" s="1408"/>
      <c r="P218" s="1408"/>
      <c r="Q218" s="1408"/>
      <c r="R218" s="1408"/>
      <c r="S218" s="1408"/>
      <c r="T218" s="1408"/>
      <c r="U218" s="1408"/>
      <c r="V218" s="1408"/>
      <c r="W218" s="1408"/>
      <c r="X218" s="1408"/>
      <c r="Y218" s="1408"/>
      <c r="Z218" s="1408"/>
      <c r="AA218" s="1408"/>
    </row>
    <row r="219" spans="1:27" x14ac:dyDescent="0.25">
      <c r="A219" s="921" t="s">
        <v>769</v>
      </c>
      <c r="B219" s="859" t="str">
        <f t="shared" ca="1" si="34"/>
        <v>H27</v>
      </c>
      <c r="C219" s="859" t="str">
        <f t="shared" ca="1" si="28"/>
        <v>H</v>
      </c>
      <c r="D219" s="1174" t="s">
        <v>1374</v>
      </c>
      <c r="E219" s="859" t="s">
        <v>1418</v>
      </c>
      <c r="F219" s="1409"/>
      <c r="G219" s="1409"/>
      <c r="H219" s="1409"/>
      <c r="I219" s="857" t="str">
        <f t="shared" si="31"/>
        <v>City</v>
      </c>
      <c r="J219" s="1409" t="str">
        <f>IF(P211="",Q$1&amp;M219,"")</f>
        <v>F136</v>
      </c>
      <c r="K219" s="1409" t="str">
        <f t="shared" si="32"/>
        <v>Required Info To Submit</v>
      </c>
      <c r="L219" s="895" t="s">
        <v>769</v>
      </c>
      <c r="M219" s="1409">
        <v>136</v>
      </c>
      <c r="N219" s="1409"/>
      <c r="O219" s="1408"/>
      <c r="P219" s="1408"/>
      <c r="Q219" s="1408"/>
      <c r="R219" s="1408"/>
      <c r="S219" s="1408"/>
      <c r="T219" s="1408"/>
      <c r="U219" s="1408"/>
      <c r="V219" s="1408"/>
      <c r="W219" s="1408"/>
      <c r="X219" s="1408"/>
      <c r="Y219" s="1408"/>
      <c r="Z219" s="1408"/>
      <c r="AA219" s="1408"/>
    </row>
    <row r="220" spans="1:27" x14ac:dyDescent="0.25">
      <c r="A220" s="921" t="s">
        <v>770</v>
      </c>
      <c r="B220" s="859" t="str">
        <f t="shared" ca="1" si="34"/>
        <v>I27</v>
      </c>
      <c r="C220" s="859" t="str">
        <f t="shared" ca="1" si="28"/>
        <v>I</v>
      </c>
      <c r="D220" s="1174" t="s">
        <v>1374</v>
      </c>
      <c r="E220" s="859" t="s">
        <v>1418</v>
      </c>
      <c r="F220" s="1409"/>
      <c r="G220" s="1409"/>
      <c r="H220" s="1409"/>
      <c r="I220" s="857" t="str">
        <f t="shared" si="31"/>
        <v>State</v>
      </c>
      <c r="J220" s="1409" t="str">
        <f>IF(P211="",Q$1&amp;M220,"")</f>
        <v>F137</v>
      </c>
      <c r="K220" s="1409" t="str">
        <f t="shared" si="32"/>
        <v>Required Info To Submit</v>
      </c>
      <c r="L220" s="895" t="s">
        <v>770</v>
      </c>
      <c r="M220" s="1409">
        <v>137</v>
      </c>
      <c r="N220" s="1409"/>
      <c r="O220" s="1408"/>
      <c r="P220" s="1408"/>
      <c r="Q220" s="1408"/>
      <c r="R220" s="1408"/>
      <c r="S220" s="1408"/>
      <c r="T220" s="1408"/>
      <c r="U220" s="1408"/>
      <c r="V220" s="1408"/>
      <c r="W220" s="1408"/>
      <c r="X220" s="1408"/>
      <c r="Y220" s="1408"/>
      <c r="Z220" s="1408"/>
      <c r="AA220" s="1408"/>
    </row>
    <row r="221" spans="1:27" x14ac:dyDescent="0.25">
      <c r="A221" s="921" t="s">
        <v>204</v>
      </c>
      <c r="B221" s="859" t="str">
        <f t="shared" ca="1" si="34"/>
        <v>J27</v>
      </c>
      <c r="C221" s="859" t="str">
        <f t="shared" ca="1" si="28"/>
        <v>J</v>
      </c>
      <c r="D221" s="1174" t="s">
        <v>1374</v>
      </c>
      <c r="E221" s="859" t="s">
        <v>1418</v>
      </c>
      <c r="F221" s="1409"/>
      <c r="G221" s="1409"/>
      <c r="H221" s="1409"/>
      <c r="I221" s="857" t="str">
        <f t="shared" si="31"/>
        <v>Zip Code</v>
      </c>
      <c r="J221" s="1409" t="str">
        <f>IF(P211="",Q$1&amp;M221,"")</f>
        <v>F138</v>
      </c>
      <c r="K221" s="1409" t="str">
        <f t="shared" si="32"/>
        <v>Required Info To Submit</v>
      </c>
      <c r="L221" s="895" t="s">
        <v>204</v>
      </c>
      <c r="M221" s="1409">
        <v>138</v>
      </c>
      <c r="N221" s="1409"/>
      <c r="O221" s="1408"/>
      <c r="P221" s="1408"/>
      <c r="Q221" s="1408"/>
      <c r="R221" s="1408"/>
      <c r="S221" s="1408"/>
      <c r="T221" s="1408"/>
      <c r="U221" s="1408"/>
      <c r="V221" s="1408"/>
      <c r="W221" s="1408"/>
      <c r="X221" s="1408"/>
      <c r="Y221" s="1408"/>
      <c r="Z221" s="1408"/>
      <c r="AA221" s="1408"/>
    </row>
    <row r="222" spans="1:27" x14ac:dyDescent="0.25">
      <c r="A222" s="922" t="s">
        <v>1188</v>
      </c>
      <c r="B222" s="859" t="str">
        <f ca="1">_xlfn.IFNA(_xlfn.CONCAT(SUBSTITUTE(ADDRESS(1,MATCH(A222,INDIRECT("'"&amp;E222&amp;"'"&amp;"!A22:Z22"),0),4),1,""),28),"")</f>
        <v>E28</v>
      </c>
      <c r="C222" s="859" t="str">
        <f t="shared" ca="1" si="28"/>
        <v>E</v>
      </c>
      <c r="D222" s="1174" t="s">
        <v>1374</v>
      </c>
      <c r="E222" s="859" t="s">
        <v>1418</v>
      </c>
      <c r="F222" s="1409"/>
      <c r="G222" s="1409"/>
      <c r="H222" s="1409"/>
      <c r="I222" s="857" t="str">
        <f t="shared" si="31"/>
        <v/>
      </c>
      <c r="J222" s="1409"/>
      <c r="K222" s="1409" t="str">
        <f t="shared" si="32"/>
        <v/>
      </c>
      <c r="L222" s="895" t="s">
        <v>1188</v>
      </c>
      <c r="M222" s="1409">
        <v>139</v>
      </c>
      <c r="N222" s="1409"/>
      <c r="O222" s="1408"/>
      <c r="P222" s="1409" t="str">
        <f>IFERROR(VLOOKUP(Q$222,'Existing Customers'!$A:$F,1,FALSE),"")</f>
        <v/>
      </c>
      <c r="Q222" s="1409"/>
      <c r="R222" s="1408"/>
      <c r="S222" s="1408"/>
      <c r="T222" s="1408"/>
      <c r="U222" s="1408"/>
      <c r="V222" s="1408"/>
      <c r="W222" s="1408"/>
      <c r="X222" s="1408"/>
      <c r="Y222" s="1408"/>
      <c r="Z222" s="1408"/>
      <c r="AA222" s="1408"/>
    </row>
    <row r="223" spans="1:27" x14ac:dyDescent="0.25">
      <c r="A223" s="923" t="s">
        <v>767</v>
      </c>
      <c r="B223" s="859" t="str">
        <f t="shared" ref="B223:B232" ca="1" si="35">_xlfn.IFNA(_xlfn.CONCAT(SUBSTITUTE(ADDRESS(1,MATCH(A223,INDIRECT("'"&amp;E223&amp;"'"&amp;"!A22:Z22"),0),4),1,""),28),"")</f>
        <v>F28</v>
      </c>
      <c r="C223" s="859" t="str">
        <f t="shared" ca="1" si="28"/>
        <v>F</v>
      </c>
      <c r="D223" s="1174" t="s">
        <v>1374</v>
      </c>
      <c r="E223" s="859" t="s">
        <v>1418</v>
      </c>
      <c r="F223" s="1409"/>
      <c r="G223" s="1409"/>
      <c r="H223" s="1409"/>
      <c r="I223" s="857" t="str">
        <f t="shared" si="31"/>
        <v>Name</v>
      </c>
      <c r="J223" s="1409" t="str">
        <f>IF(P222="",Q$1&amp;M223,"")</f>
        <v>F141</v>
      </c>
      <c r="K223" s="1409" t="str">
        <f t="shared" si="32"/>
        <v>Required Info To Submit</v>
      </c>
      <c r="L223" s="895" t="s">
        <v>767</v>
      </c>
      <c r="M223" s="1409">
        <v>141</v>
      </c>
      <c r="N223" s="1409"/>
      <c r="O223" s="1408"/>
      <c r="P223" s="1408"/>
      <c r="Q223" s="1408"/>
      <c r="R223" s="1408"/>
      <c r="S223" s="1408"/>
      <c r="T223" s="1408"/>
      <c r="U223" s="1408"/>
      <c r="V223" s="1408"/>
      <c r="W223" s="1408"/>
      <c r="X223" s="1408"/>
      <c r="Y223" s="1408"/>
      <c r="Z223" s="1408"/>
      <c r="AA223" s="1408"/>
    </row>
    <row r="224" spans="1:27" x14ac:dyDescent="0.25">
      <c r="A224" s="923" t="s">
        <v>766</v>
      </c>
      <c r="B224" s="859" t="str">
        <f t="shared" ca="1" si="35"/>
        <v>K28</v>
      </c>
      <c r="C224" s="859" t="str">
        <f t="shared" ca="1" si="28"/>
        <v>K</v>
      </c>
      <c r="D224" s="1174" t="s">
        <v>1374</v>
      </c>
      <c r="E224" s="859" t="s">
        <v>1418</v>
      </c>
      <c r="F224" s="1409"/>
      <c r="G224" s="1409"/>
      <c r="H224" s="1409"/>
      <c r="I224" s="857" t="str">
        <f t="shared" si="31"/>
        <v/>
      </c>
      <c r="J224" s="1409"/>
      <c r="K224" s="1409" t="str">
        <f t="shared" si="32"/>
        <v/>
      </c>
      <c r="L224" s="895" t="s">
        <v>766</v>
      </c>
      <c r="M224" s="1409">
        <v>151</v>
      </c>
      <c r="N224" s="1409"/>
      <c r="O224" s="1408"/>
      <c r="P224" s="1408"/>
      <c r="Q224" s="1408"/>
      <c r="R224" s="1408"/>
      <c r="S224" s="1408"/>
      <c r="T224" s="1408"/>
      <c r="U224" s="1408"/>
      <c r="V224" s="1408"/>
      <c r="W224" s="1408"/>
      <c r="X224" s="1408"/>
      <c r="Y224" s="1408"/>
      <c r="Z224" s="1408"/>
      <c r="AA224" s="1408"/>
    </row>
    <row r="225" spans="1:27" x14ac:dyDescent="0.25">
      <c r="A225" s="923" t="s">
        <v>1189</v>
      </c>
      <c r="B225" s="859" t="str">
        <f t="shared" ca="1" si="35"/>
        <v>L28</v>
      </c>
      <c r="C225" s="859" t="str">
        <f t="shared" ca="1" si="28"/>
        <v>L</v>
      </c>
      <c r="D225" s="1174" t="s">
        <v>1374</v>
      </c>
      <c r="E225" s="859" t="s">
        <v>1418</v>
      </c>
      <c r="F225" s="1409"/>
      <c r="G225" s="1409"/>
      <c r="H225" s="1409"/>
      <c r="I225" s="857" t="str">
        <f t="shared" si="31"/>
        <v/>
      </c>
      <c r="J225" s="1409"/>
      <c r="K225" s="1409" t="str">
        <f t="shared" si="32"/>
        <v/>
      </c>
      <c r="L225" s="895" t="s">
        <v>1189</v>
      </c>
      <c r="M225" s="1409">
        <v>152</v>
      </c>
      <c r="N225" s="1409"/>
      <c r="O225" s="1408"/>
      <c r="P225" s="1408"/>
      <c r="Q225" s="1408"/>
      <c r="R225" s="1408"/>
      <c r="S225" s="1408"/>
      <c r="T225" s="1408"/>
      <c r="U225" s="1408"/>
      <c r="V225" s="1408"/>
      <c r="W225" s="1408"/>
      <c r="X225" s="1408"/>
      <c r="Y225" s="1408"/>
      <c r="Z225" s="1408"/>
      <c r="AA225" s="1408"/>
    </row>
    <row r="226" spans="1:27" x14ac:dyDescent="0.25">
      <c r="A226" s="923" t="s">
        <v>1190</v>
      </c>
      <c r="B226" s="859" t="str">
        <f t="shared" ca="1" si="35"/>
        <v>M28</v>
      </c>
      <c r="C226" s="859" t="str">
        <f t="shared" ca="1" si="28"/>
        <v>M</v>
      </c>
      <c r="D226" s="1174" t="s">
        <v>1374</v>
      </c>
      <c r="E226" s="859" t="s">
        <v>1418</v>
      </c>
      <c r="F226" s="1409"/>
      <c r="G226" s="1409"/>
      <c r="H226" s="1409"/>
      <c r="I226" s="857" t="str">
        <f t="shared" si="31"/>
        <v>Secondary or Internal Customer</v>
      </c>
      <c r="J226" s="1409" t="str">
        <f>IF(M226&lt;&gt;"",Q$1&amp;M226,"")</f>
        <v>F153</v>
      </c>
      <c r="K226" s="1409" t="str">
        <f t="shared" si="32"/>
        <v>Required Info To Submit</v>
      </c>
      <c r="L226" s="895" t="s">
        <v>1190</v>
      </c>
      <c r="M226" s="1409">
        <v>153</v>
      </c>
      <c r="N226" s="1409"/>
      <c r="O226" s="1408"/>
      <c r="P226" s="1408"/>
      <c r="Q226" s="1408"/>
      <c r="R226" s="1408"/>
      <c r="S226" s="1408"/>
      <c r="T226" s="1408"/>
      <c r="U226" s="1408"/>
      <c r="V226" s="1408"/>
      <c r="W226" s="1408"/>
      <c r="X226" s="1408"/>
      <c r="Y226" s="1408"/>
      <c r="Z226" s="1408"/>
      <c r="AA226" s="1408"/>
    </row>
    <row r="227" spans="1:27" x14ac:dyDescent="0.25">
      <c r="A227" s="923" t="s">
        <v>1191</v>
      </c>
      <c r="B227" s="859" t="str">
        <f t="shared" ca="1" si="35"/>
        <v>N28</v>
      </c>
      <c r="C227" s="859" t="str">
        <f t="shared" ca="1" si="28"/>
        <v>N</v>
      </c>
      <c r="D227" s="1174" t="s">
        <v>1374</v>
      </c>
      <c r="E227" s="859" t="s">
        <v>1418</v>
      </c>
      <c r="F227" s="1409"/>
      <c r="G227" s="1409"/>
      <c r="H227" s="1409"/>
      <c r="I227" s="857" t="str">
        <f t="shared" si="31"/>
        <v>Fuel Surcharge Applied</v>
      </c>
      <c r="J227" s="1409" t="str">
        <f>IF(M227&lt;&gt;"",Q$1&amp;M227,"")</f>
        <v>F154</v>
      </c>
      <c r="K227" s="1409" t="str">
        <f t="shared" si="32"/>
        <v>Required Info To Submit</v>
      </c>
      <c r="L227" s="895" t="s">
        <v>1384</v>
      </c>
      <c r="M227" s="1409">
        <v>154</v>
      </c>
      <c r="N227" s="1409"/>
      <c r="O227" s="1408"/>
      <c r="P227" s="1408"/>
      <c r="Q227" s="1408"/>
      <c r="R227" s="1408"/>
      <c r="S227" s="1408"/>
      <c r="T227" s="1408"/>
      <c r="U227" s="1408"/>
      <c r="V227" s="1408"/>
      <c r="W227" s="1408"/>
      <c r="X227" s="1408"/>
      <c r="Y227" s="1408"/>
      <c r="Z227" s="1408"/>
      <c r="AA227" s="1408"/>
    </row>
    <row r="228" spans="1:27" ht="30" x14ac:dyDescent="0.25">
      <c r="A228" s="923" t="s">
        <v>1309</v>
      </c>
      <c r="B228" s="859" t="str">
        <f t="shared" ca="1" si="35"/>
        <v>O28</v>
      </c>
      <c r="C228" s="859" t="str">
        <f t="shared" ca="1" si="28"/>
        <v>O</v>
      </c>
      <c r="D228" s="1174" t="s">
        <v>1374</v>
      </c>
      <c r="E228" s="859" t="s">
        <v>1418</v>
      </c>
      <c r="F228" s="1409"/>
      <c r="G228" s="1409"/>
      <c r="H228" s="1409"/>
      <c r="I228" s="857" t="str">
        <f t="shared" si="31"/>
        <v>Minimum Delivery Charge Applied Flag</v>
      </c>
      <c r="J228" s="1409" t="str">
        <f>IF(M228&lt;&gt;"",Q$1&amp;M228,"")</f>
        <v>F155</v>
      </c>
      <c r="K228" s="1409" t="str">
        <f t="shared" si="32"/>
        <v>Required Info To Submit</v>
      </c>
      <c r="L228" s="895" t="s">
        <v>1309</v>
      </c>
      <c r="M228" s="1409">
        <v>155</v>
      </c>
      <c r="N228" s="1409"/>
      <c r="O228" s="1408"/>
      <c r="P228" s="1408"/>
      <c r="Q228" s="1408"/>
      <c r="R228" s="1408"/>
      <c r="S228" s="1408"/>
      <c r="T228" s="1408"/>
      <c r="U228" s="1408"/>
      <c r="V228" s="1408"/>
      <c r="W228" s="1408"/>
      <c r="X228" s="1408"/>
      <c r="Y228" s="1408"/>
      <c r="Z228" s="1408"/>
      <c r="AA228" s="1408"/>
    </row>
    <row r="229" spans="1:27" x14ac:dyDescent="0.25">
      <c r="A229" s="923" t="s">
        <v>768</v>
      </c>
      <c r="B229" s="859" t="str">
        <f t="shared" ca="1" si="35"/>
        <v>G28</v>
      </c>
      <c r="C229" s="859" t="str">
        <f t="shared" ca="1" si="28"/>
        <v>G</v>
      </c>
      <c r="D229" s="1174" t="s">
        <v>1374</v>
      </c>
      <c r="E229" s="859" t="s">
        <v>1418</v>
      </c>
      <c r="F229" s="1409"/>
      <c r="G229" s="1409"/>
      <c r="H229" s="1409"/>
      <c r="I229" s="857" t="str">
        <f t="shared" si="31"/>
        <v>Address</v>
      </c>
      <c r="J229" s="1409" t="str">
        <f>IF(P222="",Q$1&amp;M229,"")</f>
        <v>F156</v>
      </c>
      <c r="K229" s="1409" t="str">
        <f t="shared" si="32"/>
        <v>Required Info To Submit</v>
      </c>
      <c r="L229" s="895" t="s">
        <v>768</v>
      </c>
      <c r="M229" s="1409">
        <v>156</v>
      </c>
      <c r="N229" s="1409"/>
      <c r="O229" s="1408"/>
      <c r="P229" s="1408"/>
      <c r="Q229" s="1408"/>
      <c r="R229" s="1408"/>
      <c r="S229" s="1408"/>
      <c r="T229" s="1408"/>
      <c r="U229" s="1408"/>
      <c r="V229" s="1408"/>
      <c r="W229" s="1408"/>
      <c r="X229" s="1408"/>
      <c r="Y229" s="1408"/>
      <c r="Z229" s="1408"/>
      <c r="AA229" s="1408"/>
    </row>
    <row r="230" spans="1:27" x14ac:dyDescent="0.25">
      <c r="A230" s="923" t="s">
        <v>769</v>
      </c>
      <c r="B230" s="859" t="str">
        <f t="shared" ca="1" si="35"/>
        <v>H28</v>
      </c>
      <c r="C230" s="859" t="str">
        <f t="shared" ca="1" si="28"/>
        <v>H</v>
      </c>
      <c r="D230" s="1174" t="s">
        <v>1374</v>
      </c>
      <c r="E230" s="859" t="s">
        <v>1418</v>
      </c>
      <c r="F230" s="1409"/>
      <c r="G230" s="1409"/>
      <c r="H230" s="1409"/>
      <c r="I230" s="857" t="str">
        <f t="shared" si="31"/>
        <v>City</v>
      </c>
      <c r="J230" s="1409" t="str">
        <f>IF(P222="",Q$1&amp;M230,"")</f>
        <v>F157</v>
      </c>
      <c r="K230" s="1409" t="str">
        <f t="shared" si="32"/>
        <v>Required Info To Submit</v>
      </c>
      <c r="L230" s="895" t="s">
        <v>769</v>
      </c>
      <c r="M230" s="1409">
        <v>157</v>
      </c>
      <c r="N230" s="1409"/>
      <c r="O230" s="1408"/>
      <c r="P230" s="1408"/>
      <c r="Q230" s="1408"/>
      <c r="R230" s="1408"/>
      <c r="S230" s="1408"/>
      <c r="T230" s="1408"/>
      <c r="U230" s="1408"/>
      <c r="V230" s="1408"/>
      <c r="W230" s="1408"/>
      <c r="X230" s="1408"/>
      <c r="Y230" s="1408"/>
      <c r="Z230" s="1408"/>
      <c r="AA230" s="1408"/>
    </row>
    <row r="231" spans="1:27" x14ac:dyDescent="0.25">
      <c r="A231" s="923" t="s">
        <v>770</v>
      </c>
      <c r="B231" s="859" t="str">
        <f t="shared" ca="1" si="35"/>
        <v>I28</v>
      </c>
      <c r="C231" s="859" t="str">
        <f t="shared" ca="1" si="28"/>
        <v>I</v>
      </c>
      <c r="D231" s="1174" t="s">
        <v>1374</v>
      </c>
      <c r="E231" s="859" t="s">
        <v>1418</v>
      </c>
      <c r="F231" s="1409"/>
      <c r="G231" s="1409"/>
      <c r="H231" s="1409"/>
      <c r="I231" s="857" t="str">
        <f t="shared" si="31"/>
        <v>State</v>
      </c>
      <c r="J231" s="1409" t="str">
        <f>IF(P222="",Q$1&amp;M231,"")</f>
        <v>F158</v>
      </c>
      <c r="K231" s="1409" t="str">
        <f t="shared" si="32"/>
        <v>Required Info To Submit</v>
      </c>
      <c r="L231" s="895" t="s">
        <v>770</v>
      </c>
      <c r="M231" s="1409">
        <v>158</v>
      </c>
      <c r="N231" s="1409"/>
      <c r="O231" s="1408"/>
      <c r="P231" s="1408"/>
      <c r="Q231" s="1408"/>
      <c r="R231" s="1408"/>
      <c r="S231" s="1408"/>
      <c r="T231" s="1408"/>
      <c r="U231" s="1408"/>
      <c r="V231" s="1408"/>
      <c r="W231" s="1408"/>
      <c r="X231" s="1408"/>
      <c r="Y231" s="1408"/>
      <c r="Z231" s="1408"/>
      <c r="AA231" s="1408"/>
    </row>
    <row r="232" spans="1:27" x14ac:dyDescent="0.25">
      <c r="A232" s="923" t="s">
        <v>204</v>
      </c>
      <c r="B232" s="859" t="str">
        <f t="shared" ca="1" si="35"/>
        <v>J28</v>
      </c>
      <c r="C232" s="859" t="str">
        <f t="shared" ref="C232:C276" ca="1" si="36">_xlfn.IFNA(SUBSTITUTE(ADDRESS(1,MATCH(A232,INDIRECT("'"&amp;E232&amp;"'"&amp;"!A22:Z22"),0),4),1,""),"")</f>
        <v>J</v>
      </c>
      <c r="D232" s="1174" t="s">
        <v>1374</v>
      </c>
      <c r="E232" s="859" t="s">
        <v>1418</v>
      </c>
      <c r="F232" s="1409"/>
      <c r="G232" s="1409"/>
      <c r="H232" s="1409"/>
      <c r="I232" s="857" t="str">
        <f t="shared" si="31"/>
        <v>Zip Code</v>
      </c>
      <c r="J232" s="1409" t="str">
        <f>IF(P222="",Q$1&amp;M232,"")</f>
        <v>F159</v>
      </c>
      <c r="K232" s="1409" t="str">
        <f t="shared" si="32"/>
        <v>Required Info To Submit</v>
      </c>
      <c r="L232" s="895" t="s">
        <v>204</v>
      </c>
      <c r="M232" s="1409">
        <v>159</v>
      </c>
      <c r="N232" s="1409"/>
      <c r="O232" s="1408"/>
      <c r="P232" s="1408"/>
      <c r="Q232" s="1408"/>
      <c r="R232" s="1408"/>
      <c r="S232" s="1408"/>
      <c r="T232" s="1408"/>
      <c r="U232" s="1408"/>
      <c r="V232" s="1408"/>
      <c r="W232" s="1408"/>
      <c r="X232" s="1408"/>
      <c r="Y232" s="1408"/>
      <c r="Z232" s="1408"/>
      <c r="AA232" s="1408"/>
    </row>
    <row r="233" spans="1:27" x14ac:dyDescent="0.25">
      <c r="A233" s="920" t="s">
        <v>1188</v>
      </c>
      <c r="B233" s="859" t="str">
        <f ca="1">_xlfn.IFNA(_xlfn.CONCAT(SUBSTITUTE(ADDRESS(1,MATCH(A233,INDIRECT("'"&amp;E233&amp;"'"&amp;"!A22:Z22"),0),4),1,""),29),"")</f>
        <v>E29</v>
      </c>
      <c r="C233" s="859" t="str">
        <f t="shared" ca="1" si="36"/>
        <v>E</v>
      </c>
      <c r="D233" s="1174" t="s">
        <v>1374</v>
      </c>
      <c r="E233" s="859" t="s">
        <v>1418</v>
      </c>
      <c r="F233" s="1409"/>
      <c r="G233" s="1409"/>
      <c r="H233" s="1409"/>
      <c r="I233" s="857" t="str">
        <f t="shared" si="31"/>
        <v/>
      </c>
      <c r="J233" s="1409"/>
      <c r="K233" s="1409" t="str">
        <f t="shared" si="32"/>
        <v/>
      </c>
      <c r="L233" s="895" t="s">
        <v>1188</v>
      </c>
      <c r="M233" s="1409">
        <v>160</v>
      </c>
      <c r="N233" s="1409"/>
      <c r="O233" s="1408"/>
      <c r="P233" s="1409" t="s">
        <v>1100</v>
      </c>
      <c r="Q233" s="1409"/>
      <c r="R233" s="1408"/>
      <c r="S233" s="1408"/>
      <c r="T233" s="1408"/>
      <c r="U233" s="1408"/>
      <c r="V233" s="1408"/>
      <c r="W233" s="1408"/>
      <c r="X233" s="1408"/>
      <c r="Y233" s="1408"/>
      <c r="Z233" s="1408"/>
      <c r="AA233" s="1408"/>
    </row>
    <row r="234" spans="1:27" x14ac:dyDescent="0.25">
      <c r="A234" s="921" t="s">
        <v>767</v>
      </c>
      <c r="B234" s="859" t="str">
        <f t="shared" ref="B234:B243" ca="1" si="37">_xlfn.IFNA(_xlfn.CONCAT(SUBSTITUTE(ADDRESS(1,MATCH(A234,INDIRECT("'"&amp;E234&amp;"'"&amp;"!A22:Z22"),0),4),1,""),29),"")</f>
        <v>F29</v>
      </c>
      <c r="C234" s="859" t="str">
        <f t="shared" ca="1" si="36"/>
        <v>F</v>
      </c>
      <c r="D234" s="1174" t="s">
        <v>1374</v>
      </c>
      <c r="E234" s="859" t="s">
        <v>1418</v>
      </c>
      <c r="F234" s="1409"/>
      <c r="G234" s="1409"/>
      <c r="H234" s="1409"/>
      <c r="I234" s="857" t="str">
        <f t="shared" si="31"/>
        <v>Name</v>
      </c>
      <c r="J234" s="1409" t="str">
        <f>IF(P233="",Q$1&amp;M234,"")</f>
        <v>F162</v>
      </c>
      <c r="K234" s="1409" t="str">
        <f t="shared" si="32"/>
        <v>Required Info To Submit</v>
      </c>
      <c r="L234" s="895" t="s">
        <v>767</v>
      </c>
      <c r="M234" s="1409">
        <v>162</v>
      </c>
      <c r="N234" s="1409"/>
      <c r="O234" s="1408"/>
      <c r="P234" s="1408"/>
      <c r="Q234" s="1408"/>
      <c r="R234" s="1408"/>
      <c r="S234" s="1408"/>
      <c r="T234" s="1408"/>
      <c r="U234" s="1408"/>
      <c r="V234" s="1408"/>
      <c r="W234" s="1408"/>
      <c r="X234" s="1408"/>
      <c r="Y234" s="1408"/>
      <c r="Z234" s="1408"/>
      <c r="AA234" s="1408"/>
    </row>
    <row r="235" spans="1:27" x14ac:dyDescent="0.25">
      <c r="A235" s="921" t="s">
        <v>766</v>
      </c>
      <c r="B235" s="859" t="str">
        <f t="shared" ca="1" si="37"/>
        <v>K29</v>
      </c>
      <c r="C235" s="859" t="str">
        <f t="shared" ca="1" si="36"/>
        <v>K</v>
      </c>
      <c r="D235" s="1174" t="s">
        <v>1374</v>
      </c>
      <c r="E235" s="859" t="s">
        <v>1418</v>
      </c>
      <c r="F235" s="1409"/>
      <c r="G235" s="1409"/>
      <c r="H235" s="1409"/>
      <c r="I235" s="857" t="str">
        <f t="shared" si="31"/>
        <v/>
      </c>
      <c r="J235" s="1409"/>
      <c r="K235" s="1409" t="str">
        <f t="shared" si="32"/>
        <v/>
      </c>
      <c r="L235" s="895" t="s">
        <v>766</v>
      </c>
      <c r="M235" s="1409">
        <v>172</v>
      </c>
      <c r="N235" s="1409"/>
      <c r="O235" s="1408"/>
      <c r="P235" s="1408"/>
      <c r="Q235" s="1408"/>
      <c r="R235" s="1408"/>
      <c r="S235" s="1408"/>
      <c r="T235" s="1408"/>
      <c r="U235" s="1408"/>
      <c r="V235" s="1408"/>
      <c r="W235" s="1408"/>
      <c r="X235" s="1408"/>
      <c r="Y235" s="1408"/>
      <c r="Z235" s="1408"/>
      <c r="AA235" s="1408"/>
    </row>
    <row r="236" spans="1:27" x14ac:dyDescent="0.25">
      <c r="A236" s="921" t="s">
        <v>1189</v>
      </c>
      <c r="B236" s="859" t="str">
        <f t="shared" ca="1" si="37"/>
        <v>L29</v>
      </c>
      <c r="C236" s="859" t="str">
        <f t="shared" ca="1" si="36"/>
        <v>L</v>
      </c>
      <c r="D236" s="1174" t="s">
        <v>1374</v>
      </c>
      <c r="E236" s="859" t="s">
        <v>1418</v>
      </c>
      <c r="F236" s="1409"/>
      <c r="G236" s="1409"/>
      <c r="H236" s="1409"/>
      <c r="I236" s="857" t="str">
        <f t="shared" si="31"/>
        <v/>
      </c>
      <c r="J236" s="1409"/>
      <c r="K236" s="1409" t="str">
        <f t="shared" si="32"/>
        <v/>
      </c>
      <c r="L236" s="895" t="s">
        <v>1189</v>
      </c>
      <c r="M236" s="1409">
        <v>173</v>
      </c>
      <c r="N236" s="1409"/>
      <c r="O236" s="1408"/>
      <c r="P236" s="1408"/>
      <c r="Q236" s="1408"/>
      <c r="R236" s="1408"/>
      <c r="S236" s="1408"/>
      <c r="T236" s="1408"/>
      <c r="U236" s="1408"/>
      <c r="V236" s="1408"/>
      <c r="W236" s="1408"/>
      <c r="X236" s="1408"/>
      <c r="Y236" s="1408"/>
      <c r="Z236" s="1408"/>
      <c r="AA236" s="1408"/>
    </row>
    <row r="237" spans="1:27" x14ac:dyDescent="0.25">
      <c r="A237" s="921" t="s">
        <v>1190</v>
      </c>
      <c r="B237" s="859" t="str">
        <f t="shared" ca="1" si="37"/>
        <v>M29</v>
      </c>
      <c r="C237" s="859" t="str">
        <f t="shared" ca="1" si="36"/>
        <v>M</v>
      </c>
      <c r="D237" s="1174" t="s">
        <v>1374</v>
      </c>
      <c r="E237" s="859" t="s">
        <v>1418</v>
      </c>
      <c r="F237" s="1409"/>
      <c r="G237" s="1409"/>
      <c r="H237" s="1409"/>
      <c r="I237" s="857" t="str">
        <f t="shared" si="31"/>
        <v>Secondary or Internal Customer</v>
      </c>
      <c r="J237" s="1409" t="str">
        <f>IF(M237&lt;&gt;"",Q$1&amp;M237,"")</f>
        <v>F174</v>
      </c>
      <c r="K237" s="1409" t="str">
        <f t="shared" si="32"/>
        <v>Required Info To Submit</v>
      </c>
      <c r="L237" s="895" t="s">
        <v>1190</v>
      </c>
      <c r="M237" s="1409">
        <v>174</v>
      </c>
      <c r="N237" s="1409"/>
      <c r="O237" s="1408"/>
      <c r="P237" s="1408"/>
      <c r="Q237" s="1408"/>
      <c r="R237" s="1408"/>
      <c r="S237" s="1408"/>
      <c r="T237" s="1408"/>
      <c r="U237" s="1408"/>
      <c r="V237" s="1408"/>
      <c r="W237" s="1408"/>
      <c r="X237" s="1408"/>
      <c r="Y237" s="1408"/>
      <c r="Z237" s="1408"/>
      <c r="AA237" s="1408"/>
    </row>
    <row r="238" spans="1:27" x14ac:dyDescent="0.25">
      <c r="A238" s="921" t="s">
        <v>1191</v>
      </c>
      <c r="B238" s="859" t="str">
        <f t="shared" ca="1" si="37"/>
        <v>N29</v>
      </c>
      <c r="C238" s="859" t="str">
        <f t="shared" ca="1" si="36"/>
        <v>N</v>
      </c>
      <c r="D238" s="1174" t="s">
        <v>1374</v>
      </c>
      <c r="E238" s="859" t="s">
        <v>1418</v>
      </c>
      <c r="F238" s="1409"/>
      <c r="G238" s="1409"/>
      <c r="H238" s="1409"/>
      <c r="I238" s="857" t="str">
        <f t="shared" si="31"/>
        <v>Fuel Surcharge Applied</v>
      </c>
      <c r="J238" s="1409" t="str">
        <f>IF(M238&lt;&gt;"",Q$1&amp;M238,"")</f>
        <v>F175</v>
      </c>
      <c r="K238" s="1409" t="str">
        <f t="shared" si="32"/>
        <v>Required Info To Submit</v>
      </c>
      <c r="L238" s="895" t="s">
        <v>1384</v>
      </c>
      <c r="M238" s="1409">
        <v>175</v>
      </c>
      <c r="N238" s="1409"/>
      <c r="O238" s="1408"/>
      <c r="P238" s="1408"/>
      <c r="Q238" s="1408"/>
      <c r="R238" s="1408"/>
      <c r="S238" s="1408"/>
      <c r="T238" s="1408"/>
      <c r="U238" s="1408"/>
      <c r="V238" s="1408"/>
      <c r="W238" s="1408"/>
      <c r="X238" s="1408"/>
      <c r="Y238" s="1408"/>
      <c r="Z238" s="1408"/>
      <c r="AA238" s="1408"/>
    </row>
    <row r="239" spans="1:27" ht="30" x14ac:dyDescent="0.25">
      <c r="A239" s="921" t="s">
        <v>1309</v>
      </c>
      <c r="B239" s="859" t="str">
        <f t="shared" ca="1" si="37"/>
        <v>O29</v>
      </c>
      <c r="C239" s="859" t="str">
        <f t="shared" ca="1" si="36"/>
        <v>O</v>
      </c>
      <c r="D239" s="1174" t="s">
        <v>1374</v>
      </c>
      <c r="E239" s="859" t="s">
        <v>1418</v>
      </c>
      <c r="F239" s="1409"/>
      <c r="G239" s="1409"/>
      <c r="H239" s="1409"/>
      <c r="I239" s="857" t="str">
        <f t="shared" si="31"/>
        <v>Minimum Delivery Charge Applied Flag</v>
      </c>
      <c r="J239" s="1409" t="str">
        <f>IF(M239&lt;&gt;"",Q$1&amp;M239,"")</f>
        <v>F176</v>
      </c>
      <c r="K239" s="1409" t="str">
        <f t="shared" si="32"/>
        <v>Required Info To Submit</v>
      </c>
      <c r="L239" s="895" t="s">
        <v>1309</v>
      </c>
      <c r="M239" s="1409">
        <v>176</v>
      </c>
      <c r="N239" s="1409"/>
      <c r="O239" s="1408"/>
      <c r="P239" s="1408"/>
      <c r="Q239" s="1408"/>
      <c r="R239" s="1408"/>
      <c r="S239" s="1408"/>
      <c r="T239" s="1408"/>
      <c r="U239" s="1408"/>
      <c r="V239" s="1408"/>
      <c r="W239" s="1408"/>
      <c r="X239" s="1408"/>
      <c r="Y239" s="1408"/>
      <c r="Z239" s="1408"/>
      <c r="AA239" s="1408"/>
    </row>
    <row r="240" spans="1:27" x14ac:dyDescent="0.25">
      <c r="A240" s="921" t="s">
        <v>768</v>
      </c>
      <c r="B240" s="859" t="str">
        <f t="shared" ca="1" si="37"/>
        <v>G29</v>
      </c>
      <c r="C240" s="859" t="str">
        <f t="shared" ca="1" si="36"/>
        <v>G</v>
      </c>
      <c r="D240" s="1174" t="s">
        <v>1374</v>
      </c>
      <c r="E240" s="859" t="s">
        <v>1418</v>
      </c>
      <c r="F240" s="1409"/>
      <c r="G240" s="1409"/>
      <c r="H240" s="1409"/>
      <c r="I240" s="857" t="str">
        <f t="shared" si="31"/>
        <v>Address</v>
      </c>
      <c r="J240" s="1409" t="str">
        <f>IF(P233="",Q$1&amp;M240,"")</f>
        <v>F177</v>
      </c>
      <c r="K240" s="1409" t="str">
        <f t="shared" si="32"/>
        <v>Required Info To Submit</v>
      </c>
      <c r="L240" s="895" t="s">
        <v>768</v>
      </c>
      <c r="M240" s="1409">
        <v>177</v>
      </c>
      <c r="N240" s="1409"/>
      <c r="O240" s="1408"/>
      <c r="P240" s="1408"/>
      <c r="Q240" s="1408"/>
      <c r="R240" s="1408"/>
      <c r="S240" s="1408"/>
      <c r="T240" s="1408"/>
      <c r="U240" s="1408"/>
      <c r="V240" s="1408"/>
      <c r="W240" s="1408"/>
      <c r="X240" s="1408"/>
      <c r="Y240" s="1408"/>
      <c r="Z240" s="1408"/>
      <c r="AA240" s="1408"/>
    </row>
    <row r="241" spans="1:27" x14ac:dyDescent="0.25">
      <c r="A241" s="921" t="s">
        <v>769</v>
      </c>
      <c r="B241" s="859" t="str">
        <f t="shared" ca="1" si="37"/>
        <v>H29</v>
      </c>
      <c r="C241" s="859" t="str">
        <f t="shared" ca="1" si="36"/>
        <v>H</v>
      </c>
      <c r="D241" s="1174" t="s">
        <v>1374</v>
      </c>
      <c r="E241" s="859" t="s">
        <v>1418</v>
      </c>
      <c r="F241" s="1409"/>
      <c r="G241" s="1409"/>
      <c r="H241" s="1409"/>
      <c r="I241" s="857" t="str">
        <f t="shared" si="31"/>
        <v>City</v>
      </c>
      <c r="J241" s="1409" t="str">
        <f>IF(P233="",Q$1&amp;M241,"")</f>
        <v>F178</v>
      </c>
      <c r="K241" s="1409" t="str">
        <f t="shared" si="32"/>
        <v>Required Info To Submit</v>
      </c>
      <c r="L241" s="895" t="s">
        <v>769</v>
      </c>
      <c r="M241" s="1409">
        <v>178</v>
      </c>
      <c r="N241" s="1409"/>
      <c r="O241" s="1408"/>
      <c r="P241" s="1408"/>
      <c r="Q241" s="1408"/>
      <c r="R241" s="1408"/>
      <c r="S241" s="1408"/>
      <c r="T241" s="1408"/>
      <c r="U241" s="1408"/>
      <c r="V241" s="1408"/>
      <c r="W241" s="1408"/>
      <c r="X241" s="1408"/>
      <c r="Y241" s="1408"/>
      <c r="Z241" s="1408"/>
      <c r="AA241" s="1408"/>
    </row>
    <row r="242" spans="1:27" x14ac:dyDescent="0.25">
      <c r="A242" s="921" t="s">
        <v>770</v>
      </c>
      <c r="B242" s="859" t="str">
        <f t="shared" ca="1" si="37"/>
        <v>I29</v>
      </c>
      <c r="C242" s="859" t="str">
        <f t="shared" ca="1" si="36"/>
        <v>I</v>
      </c>
      <c r="D242" s="1174" t="s">
        <v>1374</v>
      </c>
      <c r="E242" s="859" t="s">
        <v>1418</v>
      </c>
      <c r="F242" s="1409"/>
      <c r="G242" s="1409"/>
      <c r="H242" s="1409"/>
      <c r="I242" s="857" t="str">
        <f t="shared" si="31"/>
        <v>State</v>
      </c>
      <c r="J242" s="1409" t="str">
        <f>IF(P233="",Q$1&amp;M242,"")</f>
        <v>F179</v>
      </c>
      <c r="K242" s="1409" t="str">
        <f t="shared" si="32"/>
        <v>Required Info To Submit</v>
      </c>
      <c r="L242" s="895" t="s">
        <v>770</v>
      </c>
      <c r="M242" s="1409">
        <v>179</v>
      </c>
      <c r="N242" s="1409"/>
      <c r="O242" s="1408"/>
      <c r="P242" s="1408"/>
      <c r="Q242" s="1408"/>
      <c r="R242" s="1408"/>
      <c r="S242" s="1408"/>
      <c r="T242" s="1408"/>
      <c r="U242" s="1408"/>
      <c r="V242" s="1408"/>
      <c r="W242" s="1408"/>
      <c r="X242" s="1408"/>
      <c r="Y242" s="1408"/>
      <c r="Z242" s="1408"/>
      <c r="AA242" s="1408"/>
    </row>
    <row r="243" spans="1:27" x14ac:dyDescent="0.25">
      <c r="A243" s="921" t="s">
        <v>204</v>
      </c>
      <c r="B243" s="859" t="str">
        <f t="shared" ca="1" si="37"/>
        <v>J29</v>
      </c>
      <c r="C243" s="859" t="str">
        <f t="shared" ca="1" si="36"/>
        <v>J</v>
      </c>
      <c r="D243" s="1174" t="s">
        <v>1374</v>
      </c>
      <c r="E243" s="859" t="s">
        <v>1418</v>
      </c>
      <c r="F243" s="1409"/>
      <c r="G243" s="1409"/>
      <c r="H243" s="1409"/>
      <c r="I243" s="857" t="str">
        <f t="shared" si="31"/>
        <v>Zip Code</v>
      </c>
      <c r="J243" s="1409" t="str">
        <f>IF(P233="",Q$1&amp;M243,"")</f>
        <v>F180</v>
      </c>
      <c r="K243" s="1409" t="str">
        <f t="shared" si="32"/>
        <v>Required Info To Submit</v>
      </c>
      <c r="L243" s="895" t="s">
        <v>204</v>
      </c>
      <c r="M243" s="1409">
        <v>180</v>
      </c>
      <c r="N243" s="1409"/>
      <c r="O243" s="1408"/>
      <c r="P243" s="1408"/>
      <c r="Q243" s="1408"/>
      <c r="R243" s="1408"/>
      <c r="S243" s="1408"/>
      <c r="T243" s="1408"/>
      <c r="U243" s="1408"/>
      <c r="V243" s="1408"/>
      <c r="W243" s="1408"/>
      <c r="X243" s="1408"/>
      <c r="Y243" s="1408"/>
      <c r="Z243" s="1408"/>
      <c r="AA243" s="1408"/>
    </row>
    <row r="244" spans="1:27" x14ac:dyDescent="0.25">
      <c r="A244" s="922" t="s">
        <v>1188</v>
      </c>
      <c r="B244" s="859" t="str">
        <f ca="1">_xlfn.IFNA(_xlfn.CONCAT(SUBSTITUTE(ADDRESS(1,MATCH(A244,INDIRECT("'"&amp;E244&amp;"'"&amp;"!A22:Z22"),0),4),1,""),30),"")</f>
        <v>E30</v>
      </c>
      <c r="C244" s="859" t="str">
        <f t="shared" ca="1" si="36"/>
        <v>E</v>
      </c>
      <c r="D244" s="1174" t="s">
        <v>1374</v>
      </c>
      <c r="E244" s="859" t="s">
        <v>1418</v>
      </c>
      <c r="F244" s="1409"/>
      <c r="G244" s="1409"/>
      <c r="H244" s="1409"/>
      <c r="I244" s="857" t="str">
        <f t="shared" si="31"/>
        <v/>
      </c>
      <c r="J244" s="1409"/>
      <c r="K244" s="1409" t="str">
        <f t="shared" si="32"/>
        <v/>
      </c>
      <c r="L244" s="895" t="s">
        <v>1188</v>
      </c>
      <c r="M244" s="1409">
        <v>181</v>
      </c>
      <c r="N244" s="1409"/>
      <c r="O244" s="1408"/>
      <c r="P244" s="1409" t="str">
        <f>IFERROR(VLOOKUP(Q$244,'Existing Customers'!$A:$F,1,FALSE),"")</f>
        <v/>
      </c>
      <c r="Q244" s="1409"/>
      <c r="R244" s="1408"/>
      <c r="S244" s="1408"/>
      <c r="T244" s="1408"/>
      <c r="U244" s="1408"/>
      <c r="V244" s="1408"/>
      <c r="W244" s="1408"/>
      <c r="X244" s="1408"/>
      <c r="Y244" s="1408"/>
      <c r="Z244" s="1408"/>
      <c r="AA244" s="1408"/>
    </row>
    <row r="245" spans="1:27" x14ac:dyDescent="0.25">
      <c r="A245" s="923" t="s">
        <v>767</v>
      </c>
      <c r="B245" s="859" t="str">
        <f t="shared" ref="B245:B254" ca="1" si="38">_xlfn.IFNA(_xlfn.CONCAT(SUBSTITUTE(ADDRESS(1,MATCH(A245,INDIRECT("'"&amp;E245&amp;"'"&amp;"!A22:Z22"),0),4),1,""),30),"")</f>
        <v>F30</v>
      </c>
      <c r="C245" s="859" t="str">
        <f t="shared" ca="1" si="36"/>
        <v>F</v>
      </c>
      <c r="D245" s="1174" t="s">
        <v>1374</v>
      </c>
      <c r="E245" s="859" t="s">
        <v>1418</v>
      </c>
      <c r="F245" s="1409"/>
      <c r="G245" s="1409"/>
      <c r="H245" s="1409"/>
      <c r="I245" s="857" t="str">
        <f t="shared" si="31"/>
        <v>Name</v>
      </c>
      <c r="J245" s="1409" t="str">
        <f>IF(P244="",Q$1&amp;M245,"")</f>
        <v>F183</v>
      </c>
      <c r="K245" s="1409" t="str">
        <f t="shared" si="32"/>
        <v>Required Info To Submit</v>
      </c>
      <c r="L245" s="895" t="s">
        <v>767</v>
      </c>
      <c r="M245" s="1409">
        <v>183</v>
      </c>
      <c r="N245" s="1409"/>
      <c r="O245" s="1408"/>
      <c r="P245" s="1408"/>
      <c r="Q245" s="1408"/>
      <c r="R245" s="1408"/>
      <c r="S245" s="1408"/>
      <c r="T245" s="1408"/>
      <c r="U245" s="1408"/>
      <c r="V245" s="1408"/>
      <c r="W245" s="1408"/>
      <c r="X245" s="1408"/>
      <c r="Y245" s="1408"/>
      <c r="Z245" s="1408"/>
      <c r="AA245" s="1408"/>
    </row>
    <row r="246" spans="1:27" x14ac:dyDescent="0.25">
      <c r="A246" s="923" t="s">
        <v>766</v>
      </c>
      <c r="B246" s="859" t="str">
        <f t="shared" ca="1" si="38"/>
        <v>K30</v>
      </c>
      <c r="C246" s="859" t="str">
        <f t="shared" ca="1" si="36"/>
        <v>K</v>
      </c>
      <c r="D246" s="1174" t="s">
        <v>1374</v>
      </c>
      <c r="E246" s="859" t="s">
        <v>1418</v>
      </c>
      <c r="F246" s="1409"/>
      <c r="G246" s="1409"/>
      <c r="H246" s="1409"/>
      <c r="I246" s="857" t="str">
        <f t="shared" si="31"/>
        <v/>
      </c>
      <c r="J246" s="1409"/>
      <c r="K246" s="1409" t="str">
        <f t="shared" si="32"/>
        <v/>
      </c>
      <c r="L246" s="895" t="s">
        <v>766</v>
      </c>
      <c r="M246" s="1409">
        <v>193</v>
      </c>
      <c r="N246" s="1409"/>
      <c r="O246" s="1408"/>
      <c r="P246" s="1408"/>
      <c r="Q246" s="1408"/>
      <c r="R246" s="1408"/>
      <c r="S246" s="1408"/>
      <c r="T246" s="1408"/>
      <c r="U246" s="1408"/>
      <c r="V246" s="1408"/>
      <c r="W246" s="1408"/>
      <c r="X246" s="1408"/>
      <c r="Y246" s="1408"/>
      <c r="Z246" s="1408"/>
      <c r="AA246" s="1408"/>
    </row>
    <row r="247" spans="1:27" x14ac:dyDescent="0.25">
      <c r="A247" s="923" t="s">
        <v>1189</v>
      </c>
      <c r="B247" s="859" t="str">
        <f t="shared" ca="1" si="38"/>
        <v>L30</v>
      </c>
      <c r="C247" s="859" t="str">
        <f t="shared" ca="1" si="36"/>
        <v>L</v>
      </c>
      <c r="D247" s="1174" t="s">
        <v>1374</v>
      </c>
      <c r="E247" s="859" t="s">
        <v>1418</v>
      </c>
      <c r="F247" s="1409"/>
      <c r="G247" s="1409"/>
      <c r="H247" s="1409"/>
      <c r="I247" s="857" t="str">
        <f t="shared" si="31"/>
        <v/>
      </c>
      <c r="J247" s="1409"/>
      <c r="K247" s="1409" t="str">
        <f t="shared" si="32"/>
        <v/>
      </c>
      <c r="L247" s="895" t="s">
        <v>1189</v>
      </c>
      <c r="M247" s="1409">
        <v>194</v>
      </c>
      <c r="N247" s="1409"/>
      <c r="O247" s="1408"/>
      <c r="P247" s="1408"/>
      <c r="Q247" s="1408"/>
      <c r="R247" s="1408"/>
      <c r="S247" s="1408"/>
      <c r="T247" s="1408"/>
      <c r="U247" s="1408"/>
      <c r="V247" s="1408"/>
      <c r="W247" s="1408"/>
      <c r="X247" s="1408"/>
      <c r="Y247" s="1408"/>
      <c r="Z247" s="1408"/>
      <c r="AA247" s="1408"/>
    </row>
    <row r="248" spans="1:27" x14ac:dyDescent="0.25">
      <c r="A248" s="923" t="s">
        <v>1190</v>
      </c>
      <c r="B248" s="859" t="str">
        <f t="shared" ca="1" si="38"/>
        <v>M30</v>
      </c>
      <c r="C248" s="859" t="str">
        <f t="shared" ca="1" si="36"/>
        <v>M</v>
      </c>
      <c r="D248" s="1174" t="s">
        <v>1374</v>
      </c>
      <c r="E248" s="859" t="s">
        <v>1418</v>
      </c>
      <c r="F248" s="1409"/>
      <c r="G248" s="1409"/>
      <c r="H248" s="1409"/>
      <c r="I248" s="857" t="str">
        <f t="shared" si="31"/>
        <v>Secondary or Internal Customer</v>
      </c>
      <c r="J248" s="1409" t="str">
        <f>IF(M248&lt;&gt;"",Q$1&amp;M248,"")</f>
        <v>F195</v>
      </c>
      <c r="K248" s="1409" t="str">
        <f t="shared" si="32"/>
        <v>Required Info To Submit</v>
      </c>
      <c r="L248" s="895" t="s">
        <v>1190</v>
      </c>
      <c r="M248" s="1409">
        <v>195</v>
      </c>
      <c r="N248" s="1409"/>
      <c r="O248" s="1408"/>
      <c r="P248" s="1408"/>
      <c r="Q248" s="1408"/>
      <c r="R248" s="1408"/>
      <c r="S248" s="1408"/>
      <c r="T248" s="1408"/>
      <c r="U248" s="1408"/>
      <c r="V248" s="1408"/>
      <c r="W248" s="1408"/>
      <c r="X248" s="1408"/>
      <c r="Y248" s="1408"/>
      <c r="Z248" s="1408"/>
      <c r="AA248" s="1408"/>
    </row>
    <row r="249" spans="1:27" x14ac:dyDescent="0.25">
      <c r="A249" s="923" t="s">
        <v>1191</v>
      </c>
      <c r="B249" s="859" t="str">
        <f t="shared" ca="1" si="38"/>
        <v>N30</v>
      </c>
      <c r="C249" s="859" t="str">
        <f t="shared" ca="1" si="36"/>
        <v>N</v>
      </c>
      <c r="D249" s="1174" t="s">
        <v>1374</v>
      </c>
      <c r="E249" s="859" t="s">
        <v>1418</v>
      </c>
      <c r="F249" s="1409"/>
      <c r="G249" s="1409"/>
      <c r="H249" s="1409"/>
      <c r="I249" s="857" t="str">
        <f t="shared" si="31"/>
        <v>Fuel Surcharge Applied</v>
      </c>
      <c r="J249" s="1409" t="str">
        <f>IF(M249&lt;&gt;"",Q$1&amp;M249,"")</f>
        <v>F196</v>
      </c>
      <c r="K249" s="1409" t="str">
        <f t="shared" si="32"/>
        <v>Required Info To Submit</v>
      </c>
      <c r="L249" s="895" t="s">
        <v>1384</v>
      </c>
      <c r="M249" s="1409">
        <v>196</v>
      </c>
      <c r="N249" s="1409"/>
      <c r="O249" s="1408"/>
      <c r="P249" s="1408"/>
      <c r="Q249" s="1408"/>
      <c r="R249" s="1408"/>
      <c r="S249" s="1408"/>
      <c r="T249" s="1408"/>
      <c r="U249" s="1408"/>
      <c r="V249" s="1408"/>
      <c r="W249" s="1408"/>
      <c r="X249" s="1408"/>
      <c r="Y249" s="1408"/>
      <c r="Z249" s="1408"/>
      <c r="AA249" s="1408"/>
    </row>
    <row r="250" spans="1:27" ht="30" x14ac:dyDescent="0.25">
      <c r="A250" s="923" t="s">
        <v>1309</v>
      </c>
      <c r="B250" s="859" t="str">
        <f t="shared" ca="1" si="38"/>
        <v>O30</v>
      </c>
      <c r="C250" s="859" t="str">
        <f t="shared" ca="1" si="36"/>
        <v>O</v>
      </c>
      <c r="D250" s="1174" t="s">
        <v>1374</v>
      </c>
      <c r="E250" s="859" t="s">
        <v>1418</v>
      </c>
      <c r="F250" s="1409"/>
      <c r="G250" s="1409"/>
      <c r="H250" s="1409"/>
      <c r="I250" s="857" t="str">
        <f t="shared" si="31"/>
        <v>Minimum Delivery Charge Applied Flag</v>
      </c>
      <c r="J250" s="1409" t="str">
        <f>IF(M250&lt;&gt;"",Q$1&amp;M250,"")</f>
        <v>F197</v>
      </c>
      <c r="K250" s="1409" t="str">
        <f t="shared" si="32"/>
        <v>Required Info To Submit</v>
      </c>
      <c r="L250" s="895" t="s">
        <v>1309</v>
      </c>
      <c r="M250" s="1409">
        <v>197</v>
      </c>
      <c r="N250" s="1409"/>
      <c r="O250" s="1408"/>
      <c r="P250" s="1408"/>
      <c r="Q250" s="1408"/>
      <c r="R250" s="1408"/>
      <c r="S250" s="1408"/>
      <c r="T250" s="1408"/>
      <c r="U250" s="1408"/>
      <c r="V250" s="1408"/>
      <c r="W250" s="1408"/>
      <c r="X250" s="1408"/>
      <c r="Y250" s="1408"/>
      <c r="Z250" s="1408"/>
      <c r="AA250" s="1408"/>
    </row>
    <row r="251" spans="1:27" x14ac:dyDescent="0.25">
      <c r="A251" s="923" t="s">
        <v>768</v>
      </c>
      <c r="B251" s="859" t="str">
        <f t="shared" ca="1" si="38"/>
        <v>G30</v>
      </c>
      <c r="C251" s="859" t="str">
        <f t="shared" ca="1" si="36"/>
        <v>G</v>
      </c>
      <c r="D251" s="1174" t="s">
        <v>1374</v>
      </c>
      <c r="E251" s="859" t="s">
        <v>1418</v>
      </c>
      <c r="F251" s="1409"/>
      <c r="G251" s="1409"/>
      <c r="H251" s="1409"/>
      <c r="I251" s="857" t="str">
        <f t="shared" si="31"/>
        <v>Address</v>
      </c>
      <c r="J251" s="1409" t="str">
        <f>IF(P244="",Q$1&amp;M251,"")</f>
        <v>F198</v>
      </c>
      <c r="K251" s="1409" t="str">
        <f t="shared" si="32"/>
        <v>Required Info To Submit</v>
      </c>
      <c r="L251" s="895" t="s">
        <v>768</v>
      </c>
      <c r="M251" s="1409">
        <v>198</v>
      </c>
      <c r="N251" s="1409"/>
      <c r="O251" s="1408"/>
      <c r="P251" s="1408"/>
      <c r="Q251" s="1408"/>
      <c r="R251" s="1408"/>
      <c r="S251" s="1408"/>
      <c r="T251" s="1408"/>
      <c r="U251" s="1408"/>
      <c r="V251" s="1408"/>
      <c r="W251" s="1408"/>
      <c r="X251" s="1408"/>
      <c r="Y251" s="1408"/>
      <c r="Z251" s="1408"/>
      <c r="AA251" s="1408"/>
    </row>
    <row r="252" spans="1:27" x14ac:dyDescent="0.25">
      <c r="A252" s="923" t="s">
        <v>769</v>
      </c>
      <c r="B252" s="859" t="str">
        <f t="shared" ca="1" si="38"/>
        <v>H30</v>
      </c>
      <c r="C252" s="859" t="str">
        <f t="shared" ca="1" si="36"/>
        <v>H</v>
      </c>
      <c r="D252" s="1174" t="s">
        <v>1374</v>
      </c>
      <c r="E252" s="859" t="s">
        <v>1418</v>
      </c>
      <c r="F252" s="1409"/>
      <c r="G252" s="1409"/>
      <c r="H252" s="1409"/>
      <c r="I252" s="857" t="str">
        <f t="shared" si="31"/>
        <v>City</v>
      </c>
      <c r="J252" s="1409" t="str">
        <f>IF(P244="",Q$1&amp;M252,"")</f>
        <v>F199</v>
      </c>
      <c r="K252" s="1409" t="str">
        <f t="shared" si="32"/>
        <v>Required Info To Submit</v>
      </c>
      <c r="L252" s="895" t="s">
        <v>769</v>
      </c>
      <c r="M252" s="1409">
        <v>199</v>
      </c>
      <c r="N252" s="1409"/>
      <c r="O252" s="1408"/>
      <c r="P252" s="1408"/>
      <c r="Q252" s="1408"/>
      <c r="R252" s="1408"/>
      <c r="S252" s="1408"/>
      <c r="T252" s="1408"/>
      <c r="U252" s="1408"/>
      <c r="V252" s="1408"/>
      <c r="W252" s="1408"/>
      <c r="X252" s="1408"/>
      <c r="Y252" s="1408"/>
      <c r="Z252" s="1408"/>
      <c r="AA252" s="1408"/>
    </row>
    <row r="253" spans="1:27" x14ac:dyDescent="0.25">
      <c r="A253" s="923" t="s">
        <v>770</v>
      </c>
      <c r="B253" s="859" t="str">
        <f t="shared" ca="1" si="38"/>
        <v>I30</v>
      </c>
      <c r="C253" s="859" t="str">
        <f t="shared" ca="1" si="36"/>
        <v>I</v>
      </c>
      <c r="D253" s="1174" t="s">
        <v>1374</v>
      </c>
      <c r="E253" s="859" t="s">
        <v>1418</v>
      </c>
      <c r="F253" s="1409"/>
      <c r="G253" s="1409"/>
      <c r="H253" s="1409"/>
      <c r="I253" s="857" t="str">
        <f t="shared" si="31"/>
        <v>State</v>
      </c>
      <c r="J253" s="1409" t="str">
        <f>IF(P244="",Q$1&amp;M253,"")</f>
        <v>F200</v>
      </c>
      <c r="K253" s="1409" t="str">
        <f t="shared" si="32"/>
        <v>Required Info To Submit</v>
      </c>
      <c r="L253" s="895" t="s">
        <v>770</v>
      </c>
      <c r="M253" s="1409">
        <v>200</v>
      </c>
      <c r="N253" s="1409"/>
      <c r="O253" s="1408"/>
      <c r="P253" s="1408"/>
      <c r="Q253" s="1408"/>
      <c r="R253" s="1408"/>
      <c r="S253" s="1408"/>
      <c r="T253" s="1408"/>
      <c r="U253" s="1408"/>
      <c r="V253" s="1408"/>
      <c r="W253" s="1408"/>
      <c r="X253" s="1408"/>
      <c r="Y253" s="1408"/>
      <c r="Z253" s="1408"/>
      <c r="AA253" s="1408"/>
    </row>
    <row r="254" spans="1:27" x14ac:dyDescent="0.25">
      <c r="A254" s="923" t="s">
        <v>204</v>
      </c>
      <c r="B254" s="859" t="str">
        <f t="shared" ca="1" si="38"/>
        <v>J30</v>
      </c>
      <c r="C254" s="859" t="str">
        <f t="shared" ca="1" si="36"/>
        <v>J</v>
      </c>
      <c r="D254" s="1174" t="s">
        <v>1374</v>
      </c>
      <c r="E254" s="859" t="s">
        <v>1418</v>
      </c>
      <c r="F254" s="1409"/>
      <c r="G254" s="1409"/>
      <c r="H254" s="1409"/>
      <c r="I254" s="857" t="str">
        <f t="shared" si="31"/>
        <v>Zip Code</v>
      </c>
      <c r="J254" s="1409" t="str">
        <f>IF(P244="",Q$1&amp;M254,"")</f>
        <v>F201</v>
      </c>
      <c r="K254" s="1409" t="str">
        <f t="shared" si="32"/>
        <v>Required Info To Submit</v>
      </c>
      <c r="L254" s="895" t="s">
        <v>204</v>
      </c>
      <c r="M254" s="1409">
        <v>201</v>
      </c>
      <c r="N254" s="1409"/>
      <c r="O254" s="1408"/>
      <c r="P254" s="1408"/>
      <c r="Q254" s="1408"/>
      <c r="R254" s="1408"/>
      <c r="S254" s="1408"/>
      <c r="T254" s="1408"/>
      <c r="U254" s="1408"/>
      <c r="V254" s="1408"/>
      <c r="W254" s="1408"/>
      <c r="X254" s="1408"/>
      <c r="Y254" s="1408"/>
      <c r="Z254" s="1408"/>
      <c r="AA254" s="1408"/>
    </row>
    <row r="255" spans="1:27" x14ac:dyDescent="0.25">
      <c r="A255" s="920" t="s">
        <v>1188</v>
      </c>
      <c r="B255" s="859" t="str">
        <f ca="1">_xlfn.IFNA(_xlfn.CONCAT(SUBSTITUTE(ADDRESS(1,MATCH(A255,INDIRECT("'"&amp;E255&amp;"'"&amp;"!A22:Z22"),0),4),1,""),31),"")</f>
        <v>E31</v>
      </c>
      <c r="C255" s="859" t="str">
        <f t="shared" ca="1" si="36"/>
        <v>E</v>
      </c>
      <c r="D255" s="1174" t="s">
        <v>1374</v>
      </c>
      <c r="E255" s="859" t="s">
        <v>1418</v>
      </c>
      <c r="F255" s="1409"/>
      <c r="G255" s="1409"/>
      <c r="H255" s="1409"/>
      <c r="I255" s="857" t="str">
        <f t="shared" si="31"/>
        <v/>
      </c>
      <c r="J255" s="1409"/>
      <c r="K255" s="1409" t="str">
        <f t="shared" si="32"/>
        <v/>
      </c>
      <c r="L255" s="895" t="s">
        <v>1188</v>
      </c>
      <c r="M255" s="1409">
        <v>202</v>
      </c>
      <c r="N255" s="1409"/>
      <c r="O255" s="1408"/>
      <c r="P255" s="1409" t="str">
        <f>IFERROR(VLOOKUP(Q$255,'Existing Customers'!$A:$F,1,FALSE),"")</f>
        <v/>
      </c>
      <c r="Q255" s="1409"/>
      <c r="R255" s="1408"/>
      <c r="S255" s="1408"/>
      <c r="T255" s="1408"/>
      <c r="U255" s="1408"/>
      <c r="V255" s="1408"/>
      <c r="W255" s="1408"/>
      <c r="X255" s="1408"/>
      <c r="Y255" s="1408"/>
      <c r="Z255" s="1408"/>
      <c r="AA255" s="1408"/>
    </row>
    <row r="256" spans="1:27" x14ac:dyDescent="0.25">
      <c r="A256" s="921" t="s">
        <v>767</v>
      </c>
      <c r="B256" s="859" t="str">
        <f t="shared" ref="B256:B265" ca="1" si="39">_xlfn.IFNA(_xlfn.CONCAT(SUBSTITUTE(ADDRESS(1,MATCH(A256,INDIRECT("'"&amp;E256&amp;"'"&amp;"!A22:Z22"),0),4),1,""),31),"")</f>
        <v>F31</v>
      </c>
      <c r="C256" s="859" t="str">
        <f t="shared" ca="1" si="36"/>
        <v>F</v>
      </c>
      <c r="D256" s="1174" t="s">
        <v>1374</v>
      </c>
      <c r="E256" s="859" t="s">
        <v>1418</v>
      </c>
      <c r="F256" s="1409"/>
      <c r="G256" s="1409"/>
      <c r="H256" s="1409"/>
      <c r="I256" s="857" t="str">
        <f t="shared" si="31"/>
        <v>Name</v>
      </c>
      <c r="J256" s="1409" t="str">
        <f>IF(P255="",Q$1&amp;M256,"")</f>
        <v>F204</v>
      </c>
      <c r="K256" s="1409" t="str">
        <f t="shared" si="32"/>
        <v>Required Info To Submit</v>
      </c>
      <c r="L256" s="895" t="s">
        <v>767</v>
      </c>
      <c r="M256" s="1409">
        <v>204</v>
      </c>
      <c r="N256" s="1409"/>
      <c r="O256" s="1408"/>
      <c r="P256" s="1408"/>
      <c r="Q256" s="1408"/>
      <c r="R256" s="1408"/>
      <c r="S256" s="1408"/>
      <c r="T256" s="1408"/>
      <c r="U256" s="1408"/>
      <c r="V256" s="1408"/>
      <c r="W256" s="1408"/>
      <c r="X256" s="1408"/>
      <c r="Y256" s="1408"/>
      <c r="Z256" s="1408"/>
      <c r="AA256" s="1408"/>
    </row>
    <row r="257" spans="1:27" x14ac:dyDescent="0.25">
      <c r="A257" s="921" t="s">
        <v>766</v>
      </c>
      <c r="B257" s="859" t="str">
        <f t="shared" ca="1" si="39"/>
        <v>K31</v>
      </c>
      <c r="C257" s="859" t="str">
        <f t="shared" ca="1" si="36"/>
        <v>K</v>
      </c>
      <c r="D257" s="1174" t="s">
        <v>1374</v>
      </c>
      <c r="E257" s="859" t="s">
        <v>1418</v>
      </c>
      <c r="F257" s="1409"/>
      <c r="G257" s="1409"/>
      <c r="H257" s="1409"/>
      <c r="I257" s="857" t="str">
        <f t="shared" si="31"/>
        <v/>
      </c>
      <c r="J257" s="1409"/>
      <c r="K257" s="1409" t="str">
        <f t="shared" si="32"/>
        <v/>
      </c>
      <c r="L257" s="895" t="s">
        <v>766</v>
      </c>
      <c r="M257" s="1409">
        <v>214</v>
      </c>
      <c r="N257" s="1409"/>
      <c r="O257" s="1408"/>
      <c r="P257" s="1408"/>
      <c r="Q257" s="1408"/>
      <c r="R257" s="1408"/>
      <c r="S257" s="1408"/>
      <c r="T257" s="1408"/>
      <c r="U257" s="1408"/>
      <c r="V257" s="1408"/>
      <c r="W257" s="1408"/>
      <c r="X257" s="1408"/>
      <c r="Y257" s="1408"/>
      <c r="Z257" s="1408"/>
      <c r="AA257" s="1408"/>
    </row>
    <row r="258" spans="1:27" x14ac:dyDescent="0.25">
      <c r="A258" s="921" t="s">
        <v>1189</v>
      </c>
      <c r="B258" s="859" t="str">
        <f t="shared" ca="1" si="39"/>
        <v>L31</v>
      </c>
      <c r="C258" s="859" t="str">
        <f t="shared" ca="1" si="36"/>
        <v>L</v>
      </c>
      <c r="D258" s="1174" t="s">
        <v>1374</v>
      </c>
      <c r="E258" s="859" t="s">
        <v>1418</v>
      </c>
      <c r="F258" s="1409"/>
      <c r="G258" s="1409"/>
      <c r="H258" s="1409"/>
      <c r="I258" s="857" t="str">
        <f t="shared" si="31"/>
        <v/>
      </c>
      <c r="J258" s="1409"/>
      <c r="K258" s="1409" t="str">
        <f t="shared" si="32"/>
        <v/>
      </c>
      <c r="L258" s="895" t="s">
        <v>1189</v>
      </c>
      <c r="M258" s="1409">
        <v>215</v>
      </c>
      <c r="N258" s="1409"/>
      <c r="O258" s="1408"/>
      <c r="P258" s="1408"/>
      <c r="Q258" s="1408"/>
      <c r="R258" s="1408"/>
      <c r="S258" s="1408"/>
      <c r="T258" s="1408"/>
      <c r="U258" s="1408"/>
      <c r="V258" s="1408"/>
      <c r="W258" s="1408"/>
      <c r="X258" s="1408"/>
      <c r="Y258" s="1408"/>
      <c r="Z258" s="1408"/>
      <c r="AA258" s="1408"/>
    </row>
    <row r="259" spans="1:27" x14ac:dyDescent="0.25">
      <c r="A259" s="921" t="s">
        <v>1190</v>
      </c>
      <c r="B259" s="859" t="str">
        <f t="shared" ca="1" si="39"/>
        <v>M31</v>
      </c>
      <c r="C259" s="859" t="str">
        <f t="shared" ca="1" si="36"/>
        <v>M</v>
      </c>
      <c r="D259" s="1174" t="s">
        <v>1374</v>
      </c>
      <c r="E259" s="859" t="s">
        <v>1418</v>
      </c>
      <c r="F259" s="1409"/>
      <c r="G259" s="1409"/>
      <c r="H259" s="1409"/>
      <c r="I259" s="857" t="str">
        <f t="shared" si="31"/>
        <v>Secondary or Internal Customer</v>
      </c>
      <c r="J259" s="1409" t="str">
        <f>IF(M259&lt;&gt;"",Q$1&amp;M259,"")</f>
        <v>F216</v>
      </c>
      <c r="K259" s="1409" t="str">
        <f t="shared" si="32"/>
        <v>Required Info To Submit</v>
      </c>
      <c r="L259" s="895" t="s">
        <v>1190</v>
      </c>
      <c r="M259" s="1409">
        <v>216</v>
      </c>
      <c r="N259" s="1409"/>
      <c r="O259" s="1408"/>
      <c r="P259" s="1408"/>
      <c r="Q259" s="1408"/>
      <c r="R259" s="1408"/>
      <c r="S259" s="1408"/>
      <c r="T259" s="1408"/>
      <c r="U259" s="1408"/>
      <c r="V259" s="1408"/>
      <c r="W259" s="1408"/>
      <c r="X259" s="1408"/>
      <c r="Y259" s="1408"/>
      <c r="Z259" s="1408"/>
      <c r="AA259" s="1408"/>
    </row>
    <row r="260" spans="1:27" x14ac:dyDescent="0.25">
      <c r="A260" s="921" t="s">
        <v>1191</v>
      </c>
      <c r="B260" s="859" t="str">
        <f t="shared" ca="1" si="39"/>
        <v>N31</v>
      </c>
      <c r="C260" s="859" t="str">
        <f t="shared" ca="1" si="36"/>
        <v>N</v>
      </c>
      <c r="D260" s="1174" t="s">
        <v>1374</v>
      </c>
      <c r="E260" s="859" t="s">
        <v>1418</v>
      </c>
      <c r="F260" s="1409"/>
      <c r="G260" s="1409"/>
      <c r="H260" s="1409"/>
      <c r="I260" s="857" t="str">
        <f t="shared" ref="I260:I323" si="40">IF(J260&lt;&gt;"",A260,"")</f>
        <v>Fuel Surcharge Applied</v>
      </c>
      <c r="J260" s="1409" t="str">
        <f>IF(M260&lt;&gt;"",Q$1&amp;M260,"")</f>
        <v>F217</v>
      </c>
      <c r="K260" s="1409" t="str">
        <f t="shared" ref="K260:K323" si="41">IF(J260&lt;&gt;"",E260,"")</f>
        <v>Required Info To Submit</v>
      </c>
      <c r="L260" s="895" t="s">
        <v>1384</v>
      </c>
      <c r="M260" s="1409">
        <v>217</v>
      </c>
      <c r="N260" s="1409"/>
      <c r="O260" s="1408"/>
      <c r="P260" s="1408"/>
      <c r="Q260" s="1408"/>
      <c r="R260" s="1408"/>
      <c r="S260" s="1408"/>
      <c r="T260" s="1408"/>
      <c r="U260" s="1408"/>
      <c r="V260" s="1408"/>
      <c r="W260" s="1408"/>
      <c r="X260" s="1408"/>
      <c r="Y260" s="1408"/>
      <c r="Z260" s="1408"/>
      <c r="AA260" s="1408"/>
    </row>
    <row r="261" spans="1:27" ht="30" x14ac:dyDescent="0.25">
      <c r="A261" s="921" t="s">
        <v>1309</v>
      </c>
      <c r="B261" s="859" t="str">
        <f t="shared" ca="1" si="39"/>
        <v>O31</v>
      </c>
      <c r="C261" s="859" t="str">
        <f t="shared" ca="1" si="36"/>
        <v>O</v>
      </c>
      <c r="D261" s="1174" t="s">
        <v>1374</v>
      </c>
      <c r="E261" s="859" t="s">
        <v>1418</v>
      </c>
      <c r="F261" s="1409"/>
      <c r="G261" s="1409"/>
      <c r="H261" s="1409"/>
      <c r="I261" s="857" t="str">
        <f t="shared" si="40"/>
        <v>Minimum Delivery Charge Applied Flag</v>
      </c>
      <c r="J261" s="1409" t="str">
        <f>IF(M261&lt;&gt;"",Q$1&amp;M261,"")</f>
        <v>F218</v>
      </c>
      <c r="K261" s="1409" t="str">
        <f t="shared" si="41"/>
        <v>Required Info To Submit</v>
      </c>
      <c r="L261" s="895" t="s">
        <v>1309</v>
      </c>
      <c r="M261" s="1409">
        <v>218</v>
      </c>
      <c r="N261" s="1409"/>
      <c r="O261" s="1408"/>
      <c r="P261" s="1408"/>
      <c r="Q261" s="1408"/>
      <c r="R261" s="1408"/>
      <c r="S261" s="1408"/>
      <c r="T261" s="1408"/>
      <c r="U261" s="1408"/>
      <c r="V261" s="1408"/>
      <c r="W261" s="1408"/>
      <c r="X261" s="1408"/>
      <c r="Y261" s="1408"/>
      <c r="Z261" s="1408"/>
      <c r="AA261" s="1408"/>
    </row>
    <row r="262" spans="1:27" x14ac:dyDescent="0.25">
      <c r="A262" s="921" t="s">
        <v>768</v>
      </c>
      <c r="B262" s="859" t="str">
        <f t="shared" ca="1" si="39"/>
        <v>G31</v>
      </c>
      <c r="C262" s="859" t="str">
        <f t="shared" ca="1" si="36"/>
        <v>G</v>
      </c>
      <c r="D262" s="1174" t="s">
        <v>1374</v>
      </c>
      <c r="E262" s="859" t="s">
        <v>1418</v>
      </c>
      <c r="F262" s="1409"/>
      <c r="G262" s="1409"/>
      <c r="H262" s="1409"/>
      <c r="I262" s="857" t="str">
        <f t="shared" si="40"/>
        <v>Address</v>
      </c>
      <c r="J262" s="1409" t="str">
        <f>IF(P255="",Q$1&amp;M262,"")</f>
        <v>F219</v>
      </c>
      <c r="K262" s="1409" t="str">
        <f t="shared" si="41"/>
        <v>Required Info To Submit</v>
      </c>
      <c r="L262" s="895" t="s">
        <v>768</v>
      </c>
      <c r="M262" s="1409">
        <v>219</v>
      </c>
      <c r="N262" s="1409"/>
      <c r="O262" s="1408"/>
      <c r="P262" s="1408"/>
      <c r="Q262" s="1408"/>
      <c r="R262" s="1408"/>
      <c r="S262" s="1408"/>
      <c r="T262" s="1408"/>
      <c r="U262" s="1408"/>
      <c r="V262" s="1408"/>
      <c r="W262" s="1408"/>
      <c r="X262" s="1408"/>
      <c r="Y262" s="1408"/>
      <c r="Z262" s="1408"/>
      <c r="AA262" s="1408"/>
    </row>
    <row r="263" spans="1:27" x14ac:dyDescent="0.25">
      <c r="A263" s="921" t="s">
        <v>769</v>
      </c>
      <c r="B263" s="859" t="str">
        <f t="shared" ca="1" si="39"/>
        <v>H31</v>
      </c>
      <c r="C263" s="859" t="str">
        <f t="shared" ca="1" si="36"/>
        <v>H</v>
      </c>
      <c r="D263" s="1174" t="s">
        <v>1374</v>
      </c>
      <c r="E263" s="859" t="s">
        <v>1418</v>
      </c>
      <c r="F263" s="1409"/>
      <c r="G263" s="1409"/>
      <c r="H263" s="1409"/>
      <c r="I263" s="857" t="str">
        <f t="shared" si="40"/>
        <v>City</v>
      </c>
      <c r="J263" s="1409" t="str">
        <f>IF(P255="",Q$1&amp;M263,"")</f>
        <v>F220</v>
      </c>
      <c r="K263" s="1409" t="str">
        <f t="shared" si="41"/>
        <v>Required Info To Submit</v>
      </c>
      <c r="L263" s="895" t="s">
        <v>769</v>
      </c>
      <c r="M263" s="1409">
        <v>220</v>
      </c>
      <c r="N263" s="1409"/>
      <c r="O263" s="1408"/>
      <c r="P263" s="1408"/>
      <c r="Q263" s="1408"/>
      <c r="R263" s="1408"/>
      <c r="S263" s="1408"/>
      <c r="T263" s="1408"/>
      <c r="U263" s="1408"/>
      <c r="V263" s="1408"/>
      <c r="W263" s="1408"/>
      <c r="X263" s="1408"/>
      <c r="Y263" s="1408"/>
      <c r="Z263" s="1408"/>
      <c r="AA263" s="1408"/>
    </row>
    <row r="264" spans="1:27" x14ac:dyDescent="0.25">
      <c r="A264" s="921" t="s">
        <v>770</v>
      </c>
      <c r="B264" s="859" t="str">
        <f t="shared" ca="1" si="39"/>
        <v>I31</v>
      </c>
      <c r="C264" s="859" t="str">
        <f t="shared" ca="1" si="36"/>
        <v>I</v>
      </c>
      <c r="D264" s="1174" t="s">
        <v>1374</v>
      </c>
      <c r="E264" s="859" t="s">
        <v>1418</v>
      </c>
      <c r="F264" s="1409"/>
      <c r="G264" s="1409"/>
      <c r="H264" s="1409"/>
      <c r="I264" s="857" t="str">
        <f t="shared" si="40"/>
        <v>State</v>
      </c>
      <c r="J264" s="1409" t="str">
        <f>IF(P255="",Q$1&amp;M264,"")</f>
        <v>F221</v>
      </c>
      <c r="K264" s="1409" t="str">
        <f t="shared" si="41"/>
        <v>Required Info To Submit</v>
      </c>
      <c r="L264" s="895" t="s">
        <v>770</v>
      </c>
      <c r="M264" s="1409">
        <v>221</v>
      </c>
      <c r="N264" s="1409"/>
      <c r="O264" s="1408"/>
      <c r="P264" s="1408"/>
      <c r="Q264" s="1408"/>
      <c r="R264" s="1408"/>
      <c r="S264" s="1408"/>
      <c r="T264" s="1408"/>
      <c r="U264" s="1408"/>
      <c r="V264" s="1408"/>
      <c r="W264" s="1408"/>
      <c r="X264" s="1408"/>
      <c r="Y264" s="1408"/>
      <c r="Z264" s="1408"/>
      <c r="AA264" s="1408"/>
    </row>
    <row r="265" spans="1:27" x14ac:dyDescent="0.25">
      <c r="A265" s="921" t="s">
        <v>204</v>
      </c>
      <c r="B265" s="859" t="str">
        <f t="shared" ca="1" si="39"/>
        <v>J31</v>
      </c>
      <c r="C265" s="859" t="str">
        <f t="shared" ca="1" si="36"/>
        <v>J</v>
      </c>
      <c r="D265" s="1174" t="s">
        <v>1374</v>
      </c>
      <c r="E265" s="859" t="s">
        <v>1418</v>
      </c>
      <c r="F265" s="1409"/>
      <c r="G265" s="1409"/>
      <c r="H265" s="1409"/>
      <c r="I265" s="857" t="str">
        <f t="shared" si="40"/>
        <v>Zip Code</v>
      </c>
      <c r="J265" s="1409" t="str">
        <f>IF(P255="",Q$1&amp;M265,"")</f>
        <v>F222</v>
      </c>
      <c r="K265" s="1409" t="str">
        <f t="shared" si="41"/>
        <v>Required Info To Submit</v>
      </c>
      <c r="L265" s="895" t="s">
        <v>204</v>
      </c>
      <c r="M265" s="1409">
        <v>222</v>
      </c>
      <c r="N265" s="1409"/>
      <c r="O265" s="1408"/>
      <c r="P265" s="1408"/>
      <c r="Q265" s="1408"/>
      <c r="R265" s="1408"/>
      <c r="S265" s="1408"/>
      <c r="T265" s="1408"/>
      <c r="U265" s="1408"/>
      <c r="V265" s="1408"/>
      <c r="W265" s="1408"/>
      <c r="X265" s="1408"/>
      <c r="Y265" s="1408"/>
      <c r="Z265" s="1408"/>
      <c r="AA265" s="1408"/>
    </row>
    <row r="266" spans="1:27" x14ac:dyDescent="0.25">
      <c r="A266" s="922" t="s">
        <v>1188</v>
      </c>
      <c r="B266" s="859" t="str">
        <f ca="1">_xlfn.IFNA(_xlfn.CONCAT(SUBSTITUTE(ADDRESS(1,MATCH(A266,INDIRECT("'"&amp;E266&amp;"'"&amp;"!A22:Z22"),0),4),1,""),32),"")</f>
        <v>E32</v>
      </c>
      <c r="C266" s="859" t="str">
        <f t="shared" ca="1" si="36"/>
        <v>E</v>
      </c>
      <c r="D266" s="1174" t="s">
        <v>1374</v>
      </c>
      <c r="E266" s="859" t="s">
        <v>1418</v>
      </c>
      <c r="F266" s="1409"/>
      <c r="G266" s="1409"/>
      <c r="H266" s="1409"/>
      <c r="I266" s="857" t="str">
        <f t="shared" si="40"/>
        <v/>
      </c>
      <c r="J266" s="1409"/>
      <c r="K266" s="1409" t="str">
        <f t="shared" si="41"/>
        <v/>
      </c>
      <c r="L266" s="895" t="s">
        <v>1188</v>
      </c>
      <c r="M266" s="1409">
        <v>223</v>
      </c>
      <c r="N266" s="1409"/>
      <c r="O266" s="1408"/>
      <c r="P266" s="1409" t="str">
        <f>IFERROR(VLOOKUP(Q$266,'Existing Customers'!$A:$F,1,FALSE),"")</f>
        <v/>
      </c>
      <c r="Q266" s="1409"/>
      <c r="R266" s="1408"/>
      <c r="S266" s="1408"/>
      <c r="T266" s="1408"/>
      <c r="U266" s="1408"/>
      <c r="V266" s="1408"/>
      <c r="W266" s="1408"/>
      <c r="X266" s="1408"/>
      <c r="Y266" s="1408"/>
      <c r="Z266" s="1408"/>
      <c r="AA266" s="1408"/>
    </row>
    <row r="267" spans="1:27" x14ac:dyDescent="0.25">
      <c r="A267" s="923" t="s">
        <v>767</v>
      </c>
      <c r="B267" s="859" t="str">
        <f t="shared" ref="B267:B276" ca="1" si="42">_xlfn.IFNA(_xlfn.CONCAT(SUBSTITUTE(ADDRESS(1,MATCH(A267,INDIRECT("'"&amp;E267&amp;"'"&amp;"!A22:Z22"),0),4),1,""),32),"")</f>
        <v>F32</v>
      </c>
      <c r="C267" s="859" t="str">
        <f t="shared" ca="1" si="36"/>
        <v>F</v>
      </c>
      <c r="D267" s="1174" t="s">
        <v>1374</v>
      </c>
      <c r="E267" s="859" t="s">
        <v>1418</v>
      </c>
      <c r="F267" s="1409"/>
      <c r="G267" s="1409"/>
      <c r="H267" s="1409"/>
      <c r="I267" s="857" t="str">
        <f t="shared" si="40"/>
        <v>Name</v>
      </c>
      <c r="J267" s="1409" t="str">
        <f>IF(P266="",Q$1&amp;M267,"")</f>
        <v>F225</v>
      </c>
      <c r="K267" s="1409" t="str">
        <f t="shared" si="41"/>
        <v>Required Info To Submit</v>
      </c>
      <c r="L267" s="895" t="s">
        <v>767</v>
      </c>
      <c r="M267" s="1409">
        <v>225</v>
      </c>
      <c r="N267" s="1409"/>
      <c r="O267" s="1408"/>
      <c r="P267" s="1408"/>
      <c r="Q267" s="1408"/>
      <c r="R267" s="1408"/>
      <c r="S267" s="1408"/>
      <c r="T267" s="1408"/>
      <c r="U267" s="1408"/>
      <c r="V267" s="1408"/>
      <c r="W267" s="1408"/>
      <c r="X267" s="1408"/>
      <c r="Y267" s="1408"/>
      <c r="Z267" s="1408"/>
      <c r="AA267" s="1408"/>
    </row>
    <row r="268" spans="1:27" x14ac:dyDescent="0.25">
      <c r="A268" s="923" t="s">
        <v>766</v>
      </c>
      <c r="B268" s="859" t="str">
        <f t="shared" ca="1" si="42"/>
        <v>K32</v>
      </c>
      <c r="C268" s="859" t="str">
        <f t="shared" ca="1" si="36"/>
        <v>K</v>
      </c>
      <c r="D268" s="1174" t="s">
        <v>1374</v>
      </c>
      <c r="E268" s="859" t="s">
        <v>1418</v>
      </c>
      <c r="F268" s="1409"/>
      <c r="G268" s="1409"/>
      <c r="H268" s="1409"/>
      <c r="I268" s="857" t="str">
        <f t="shared" si="40"/>
        <v/>
      </c>
      <c r="J268" s="1409"/>
      <c r="K268" s="1409" t="str">
        <f t="shared" si="41"/>
        <v/>
      </c>
      <c r="L268" s="895" t="s">
        <v>766</v>
      </c>
      <c r="M268" s="1409">
        <v>235</v>
      </c>
      <c r="N268" s="1409"/>
      <c r="O268" s="1408"/>
      <c r="P268" s="1408"/>
      <c r="Q268" s="1408"/>
      <c r="R268" s="1408"/>
      <c r="S268" s="1408"/>
      <c r="T268" s="1408"/>
      <c r="U268" s="1408"/>
      <c r="V268" s="1408"/>
      <c r="W268" s="1408"/>
      <c r="X268" s="1408"/>
      <c r="Y268" s="1408"/>
      <c r="Z268" s="1408"/>
      <c r="AA268" s="1408"/>
    </row>
    <row r="269" spans="1:27" x14ac:dyDescent="0.25">
      <c r="A269" s="923" t="s">
        <v>1189</v>
      </c>
      <c r="B269" s="859" t="str">
        <f t="shared" ca="1" si="42"/>
        <v>L32</v>
      </c>
      <c r="C269" s="859" t="str">
        <f t="shared" ca="1" si="36"/>
        <v>L</v>
      </c>
      <c r="D269" s="1174" t="s">
        <v>1374</v>
      </c>
      <c r="E269" s="859" t="s">
        <v>1418</v>
      </c>
      <c r="F269" s="1409"/>
      <c r="G269" s="1409"/>
      <c r="H269" s="1409"/>
      <c r="I269" s="857" t="str">
        <f t="shared" si="40"/>
        <v/>
      </c>
      <c r="J269" s="1409"/>
      <c r="K269" s="1409" t="str">
        <f t="shared" si="41"/>
        <v/>
      </c>
      <c r="L269" s="895" t="s">
        <v>1189</v>
      </c>
      <c r="M269" s="1409">
        <v>236</v>
      </c>
      <c r="N269" s="1409"/>
      <c r="O269" s="1408"/>
      <c r="P269" s="1408"/>
      <c r="Q269" s="1408"/>
      <c r="R269" s="1408"/>
      <c r="S269" s="1408"/>
      <c r="T269" s="1408"/>
      <c r="U269" s="1408"/>
      <c r="V269" s="1408"/>
      <c r="W269" s="1408"/>
      <c r="X269" s="1408"/>
      <c r="Y269" s="1408"/>
      <c r="Z269" s="1408"/>
      <c r="AA269" s="1408"/>
    </row>
    <row r="270" spans="1:27" x14ac:dyDescent="0.25">
      <c r="A270" s="923" t="s">
        <v>1190</v>
      </c>
      <c r="B270" s="859" t="str">
        <f t="shared" ca="1" si="42"/>
        <v>M32</v>
      </c>
      <c r="C270" s="859" t="str">
        <f t="shared" ca="1" si="36"/>
        <v>M</v>
      </c>
      <c r="D270" s="1174" t="s">
        <v>1374</v>
      </c>
      <c r="E270" s="859" t="s">
        <v>1418</v>
      </c>
      <c r="F270" s="1409"/>
      <c r="G270" s="1409"/>
      <c r="H270" s="1409"/>
      <c r="I270" s="857" t="str">
        <f t="shared" si="40"/>
        <v>Secondary or Internal Customer</v>
      </c>
      <c r="J270" s="1409" t="str">
        <f>IF(M270&lt;&gt;"",Q$1&amp;M270,"")</f>
        <v>F237</v>
      </c>
      <c r="K270" s="1409" t="str">
        <f t="shared" si="41"/>
        <v>Required Info To Submit</v>
      </c>
      <c r="L270" s="895" t="s">
        <v>1190</v>
      </c>
      <c r="M270" s="1409">
        <v>237</v>
      </c>
      <c r="N270" s="1409"/>
      <c r="O270" s="1408"/>
      <c r="P270" s="1408"/>
      <c r="Q270" s="1408"/>
      <c r="R270" s="1408"/>
      <c r="S270" s="1408"/>
      <c r="T270" s="1408"/>
      <c r="U270" s="1408"/>
      <c r="V270" s="1408"/>
      <c r="W270" s="1408"/>
      <c r="X270" s="1408"/>
      <c r="Y270" s="1408"/>
      <c r="Z270" s="1408"/>
      <c r="AA270" s="1408"/>
    </row>
    <row r="271" spans="1:27" x14ac:dyDescent="0.25">
      <c r="A271" s="923" t="s">
        <v>1191</v>
      </c>
      <c r="B271" s="859" t="str">
        <f t="shared" ca="1" si="42"/>
        <v>N32</v>
      </c>
      <c r="C271" s="859" t="str">
        <f t="shared" ca="1" si="36"/>
        <v>N</v>
      </c>
      <c r="D271" s="1174" t="s">
        <v>1374</v>
      </c>
      <c r="E271" s="859" t="s">
        <v>1418</v>
      </c>
      <c r="F271" s="1409"/>
      <c r="G271" s="1409"/>
      <c r="H271" s="1409"/>
      <c r="I271" s="857" t="str">
        <f t="shared" si="40"/>
        <v>Fuel Surcharge Applied</v>
      </c>
      <c r="J271" s="1409" t="str">
        <f>IF(M271&lt;&gt;"",Q$1&amp;M271,"")</f>
        <v>F238</v>
      </c>
      <c r="K271" s="1409" t="str">
        <f t="shared" si="41"/>
        <v>Required Info To Submit</v>
      </c>
      <c r="L271" s="895" t="s">
        <v>1384</v>
      </c>
      <c r="M271" s="1409">
        <v>238</v>
      </c>
      <c r="N271" s="1409"/>
      <c r="O271" s="1408"/>
      <c r="P271" s="1408"/>
      <c r="Q271" s="1408"/>
      <c r="R271" s="1408"/>
      <c r="S271" s="1408"/>
      <c r="T271" s="1408"/>
      <c r="U271" s="1408"/>
      <c r="V271" s="1408"/>
      <c r="W271" s="1408"/>
      <c r="X271" s="1408"/>
      <c r="Y271" s="1408"/>
      <c r="Z271" s="1408"/>
      <c r="AA271" s="1408"/>
    </row>
    <row r="272" spans="1:27" ht="30" x14ac:dyDescent="0.25">
      <c r="A272" s="923" t="s">
        <v>1309</v>
      </c>
      <c r="B272" s="859" t="str">
        <f t="shared" ca="1" si="42"/>
        <v>O32</v>
      </c>
      <c r="C272" s="859" t="str">
        <f t="shared" ca="1" si="36"/>
        <v>O</v>
      </c>
      <c r="D272" s="1174" t="s">
        <v>1374</v>
      </c>
      <c r="E272" s="859" t="s">
        <v>1418</v>
      </c>
      <c r="F272" s="1409"/>
      <c r="G272" s="1409"/>
      <c r="H272" s="1409"/>
      <c r="I272" s="857" t="str">
        <f t="shared" si="40"/>
        <v>Minimum Delivery Charge Applied Flag</v>
      </c>
      <c r="J272" s="1409" t="str">
        <f>IF(M272&lt;&gt;"",Q$1&amp;M272,"")</f>
        <v>F239</v>
      </c>
      <c r="K272" s="1409" t="str">
        <f t="shared" si="41"/>
        <v>Required Info To Submit</v>
      </c>
      <c r="L272" s="895" t="s">
        <v>1309</v>
      </c>
      <c r="M272" s="1409">
        <v>239</v>
      </c>
      <c r="N272" s="1409"/>
      <c r="O272" s="1408"/>
      <c r="P272" s="1408"/>
      <c r="Q272" s="1408"/>
      <c r="R272" s="1408"/>
      <c r="S272" s="1408"/>
      <c r="T272" s="1408"/>
      <c r="U272" s="1408"/>
      <c r="V272" s="1408"/>
      <c r="W272" s="1408"/>
      <c r="X272" s="1408"/>
      <c r="Y272" s="1408"/>
      <c r="Z272" s="1408"/>
      <c r="AA272" s="1408"/>
    </row>
    <row r="273" spans="1:27" x14ac:dyDescent="0.25">
      <c r="A273" s="923" t="s">
        <v>768</v>
      </c>
      <c r="B273" s="859" t="str">
        <f t="shared" ca="1" si="42"/>
        <v>G32</v>
      </c>
      <c r="C273" s="859" t="str">
        <f t="shared" ca="1" si="36"/>
        <v>G</v>
      </c>
      <c r="D273" s="1174" t="s">
        <v>1374</v>
      </c>
      <c r="E273" s="859" t="s">
        <v>1418</v>
      </c>
      <c r="F273" s="1409"/>
      <c r="G273" s="1409"/>
      <c r="H273" s="1409"/>
      <c r="I273" s="857" t="str">
        <f t="shared" si="40"/>
        <v>Address</v>
      </c>
      <c r="J273" s="1409" t="str">
        <f>IF(P266="",Q$1&amp;M273,"")</f>
        <v>F240</v>
      </c>
      <c r="K273" s="1409" t="str">
        <f t="shared" si="41"/>
        <v>Required Info To Submit</v>
      </c>
      <c r="L273" s="895" t="s">
        <v>768</v>
      </c>
      <c r="M273" s="1409">
        <v>240</v>
      </c>
      <c r="N273" s="1409"/>
      <c r="O273" s="1408"/>
      <c r="P273" s="1408"/>
      <c r="Q273" s="1408"/>
      <c r="R273" s="1408"/>
      <c r="S273" s="1408"/>
      <c r="T273" s="1408"/>
      <c r="U273" s="1408"/>
      <c r="V273" s="1408"/>
      <c r="W273" s="1408"/>
      <c r="X273" s="1408"/>
      <c r="Y273" s="1408"/>
      <c r="Z273" s="1408"/>
      <c r="AA273" s="1408"/>
    </row>
    <row r="274" spans="1:27" x14ac:dyDescent="0.25">
      <c r="A274" s="923" t="s">
        <v>769</v>
      </c>
      <c r="B274" s="859" t="str">
        <f t="shared" ca="1" si="42"/>
        <v>H32</v>
      </c>
      <c r="C274" s="859" t="str">
        <f t="shared" ca="1" si="36"/>
        <v>H</v>
      </c>
      <c r="D274" s="1174" t="s">
        <v>1374</v>
      </c>
      <c r="E274" s="859" t="s">
        <v>1418</v>
      </c>
      <c r="F274" s="1409"/>
      <c r="G274" s="1409"/>
      <c r="H274" s="1409"/>
      <c r="I274" s="857" t="str">
        <f t="shared" si="40"/>
        <v>City</v>
      </c>
      <c r="J274" s="1409" t="str">
        <f>IF(P266="",Q$1&amp;M274,"")</f>
        <v>F241</v>
      </c>
      <c r="K274" s="1409" t="str">
        <f t="shared" si="41"/>
        <v>Required Info To Submit</v>
      </c>
      <c r="L274" s="895" t="s">
        <v>769</v>
      </c>
      <c r="M274" s="1409">
        <v>241</v>
      </c>
      <c r="N274" s="1409"/>
      <c r="O274" s="1408"/>
      <c r="P274" s="1408"/>
      <c r="Q274" s="1408"/>
      <c r="R274" s="1408"/>
      <c r="S274" s="1408"/>
      <c r="T274" s="1408"/>
      <c r="U274" s="1408"/>
      <c r="V274" s="1408"/>
      <c r="W274" s="1408"/>
      <c r="X274" s="1408"/>
      <c r="Y274" s="1408"/>
      <c r="Z274" s="1408"/>
      <c r="AA274" s="1408"/>
    </row>
    <row r="275" spans="1:27" x14ac:dyDescent="0.25">
      <c r="A275" s="923" t="s">
        <v>770</v>
      </c>
      <c r="B275" s="859" t="str">
        <f t="shared" ca="1" si="42"/>
        <v>I32</v>
      </c>
      <c r="C275" s="859" t="str">
        <f t="shared" ca="1" si="36"/>
        <v>I</v>
      </c>
      <c r="D275" s="1174" t="s">
        <v>1374</v>
      </c>
      <c r="E275" s="859" t="s">
        <v>1418</v>
      </c>
      <c r="F275" s="1409"/>
      <c r="G275" s="1409"/>
      <c r="H275" s="1409"/>
      <c r="I275" s="857" t="str">
        <f t="shared" si="40"/>
        <v>State</v>
      </c>
      <c r="J275" s="1409" t="str">
        <f>IF(P266="",Q$1&amp;M275,"")</f>
        <v>F242</v>
      </c>
      <c r="K275" s="1409" t="str">
        <f t="shared" si="41"/>
        <v>Required Info To Submit</v>
      </c>
      <c r="L275" s="895" t="s">
        <v>770</v>
      </c>
      <c r="M275" s="1409">
        <v>242</v>
      </c>
      <c r="N275" s="1409"/>
      <c r="O275" s="1408"/>
      <c r="P275" s="1408"/>
      <c r="Q275" s="1408"/>
      <c r="R275" s="1408"/>
      <c r="S275" s="1408"/>
      <c r="T275" s="1408"/>
      <c r="U275" s="1408"/>
      <c r="V275" s="1408"/>
      <c r="W275" s="1408"/>
      <c r="X275" s="1408"/>
      <c r="Y275" s="1408"/>
      <c r="Z275" s="1408"/>
      <c r="AA275" s="1408"/>
    </row>
    <row r="276" spans="1:27" x14ac:dyDescent="0.25">
      <c r="A276" s="923" t="s">
        <v>204</v>
      </c>
      <c r="B276" s="859" t="str">
        <f t="shared" ca="1" si="42"/>
        <v>J32</v>
      </c>
      <c r="C276" s="859" t="str">
        <f t="shared" ca="1" si="36"/>
        <v>J</v>
      </c>
      <c r="D276" s="1174" t="s">
        <v>1374</v>
      </c>
      <c r="E276" s="859" t="s">
        <v>1418</v>
      </c>
      <c r="F276" s="1409"/>
      <c r="G276" s="1409"/>
      <c r="H276" s="1409"/>
      <c r="I276" s="857" t="str">
        <f t="shared" si="40"/>
        <v>Zip Code</v>
      </c>
      <c r="J276" s="1409" t="str">
        <f>IF(P266="",Q$1&amp;M276,"")</f>
        <v>F243</v>
      </c>
      <c r="K276" s="1409" t="str">
        <f t="shared" si="41"/>
        <v>Required Info To Submit</v>
      </c>
      <c r="L276" s="895" t="s">
        <v>204</v>
      </c>
      <c r="M276" s="1409">
        <v>243</v>
      </c>
      <c r="N276" s="1409"/>
      <c r="O276" s="1408"/>
      <c r="P276" s="1408"/>
      <c r="Q276" s="1408"/>
      <c r="R276" s="1408"/>
      <c r="S276" s="1408"/>
      <c r="T276" s="1408"/>
      <c r="U276" s="1408"/>
      <c r="V276" s="1408"/>
      <c r="W276" s="1408"/>
      <c r="X276" s="1408"/>
      <c r="Y276" s="1408"/>
      <c r="Z276" s="1408"/>
      <c r="AA276" s="1408"/>
    </row>
    <row r="277" spans="1:27" x14ac:dyDescent="0.25">
      <c r="A277" s="924" t="s">
        <v>1002</v>
      </c>
      <c r="B277" s="1174" t="str">
        <f>IFERROR(_xlfn.CONCAT("D",MATCH(A277,'Tracking &amp; Profitability'!D$1:D$60,0)),"")</f>
        <v>D16</v>
      </c>
      <c r="C277" s="1174" t="str">
        <f>IFERROR(_xlfn.CONCAT("E",MATCH(A277,'Tracking &amp; Profitability'!D$1:D$60,0)),"")</f>
        <v>E16</v>
      </c>
      <c r="D277" s="859" t="s">
        <v>1367</v>
      </c>
      <c r="E277" s="1174" t="s">
        <v>129</v>
      </c>
      <c r="F277" s="52"/>
      <c r="G277" s="1409"/>
      <c r="H277" s="1409"/>
      <c r="I277" s="857" t="str">
        <f t="shared" si="40"/>
        <v xml:space="preserve">Increase Investment Spend: </v>
      </c>
      <c r="J277" s="1409" t="str">
        <f t="shared" ref="J277:J325" si="43">IF(M277&lt;&gt;"",Q$1&amp;M277,"")</f>
        <v>F521</v>
      </c>
      <c r="K277" s="1409" t="str">
        <f t="shared" si="41"/>
        <v>Tracking &amp; Profitability</v>
      </c>
      <c r="L277" s="919" t="s">
        <v>1482</v>
      </c>
      <c r="M277" s="1409">
        <v>521</v>
      </c>
      <c r="N277" s="1409"/>
      <c r="O277" s="1408"/>
      <c r="P277" s="1408"/>
      <c r="Q277" s="1408"/>
      <c r="R277" s="1408"/>
      <c r="S277" s="1408"/>
      <c r="T277" s="1408"/>
      <c r="U277" s="1408"/>
      <c r="V277" s="1408"/>
      <c r="W277" s="1408"/>
      <c r="X277" s="1408"/>
      <c r="Y277" s="1408"/>
      <c r="Z277" s="1408"/>
      <c r="AA277" s="1408"/>
    </row>
    <row r="278" spans="1:27" x14ac:dyDescent="0.25">
      <c r="A278" s="925" t="s">
        <v>1301</v>
      </c>
      <c r="B278" s="857" t="str">
        <f ca="1">IF('Pricing Schedule'!$K$5="No",_xlfn.CONCAT(IFERROR(SUBSTITUTE(ADDRESS(1,MATCH(A278,INDIRECT("'"&amp;E278&amp;"'"&amp;"!$A$10:$Z$10"),0),4),1,""),""),16),_xlfn.CONCAT(IFERROR(SUBSTITUTE(ADDRESS(1,MATCH(A278,INDIRECT("'"&amp;E278&amp;"'"&amp;"!$A$10:$Z$10"),0),4),1,""),""),50))</f>
        <v>N16</v>
      </c>
      <c r="C278" s="857" t="str">
        <f ca="1">IF('Pricing Schedule'!$K$5="No",IFERROR(SUBSTITUTE(ADDRESS(1,MATCH(A278,INDIRECT("'"&amp;E278&amp;"'"&amp;"!$A$10:$Z$10"),0),4),1,""),""),IFERROR(SUBSTITUTE(ADDRESS(1,MATCH(A278,INDIRECT("'"&amp;E278&amp;"'"&amp;"!$A$10:$Z$10"),0),4),1,""),""))</f>
        <v>N</v>
      </c>
      <c r="D278" s="859" t="s">
        <v>1374</v>
      </c>
      <c r="E278" s="859" t="s">
        <v>1291</v>
      </c>
      <c r="F278" s="1409"/>
      <c r="G278" s="1409"/>
      <c r="H278" s="1409"/>
      <c r="I278" s="857" t="str">
        <f t="shared" si="40"/>
        <v/>
      </c>
      <c r="J278" s="1409"/>
      <c r="K278" s="1409" t="str">
        <f t="shared" si="41"/>
        <v/>
      </c>
      <c r="L278" s="898" t="s">
        <v>1301</v>
      </c>
      <c r="M278" s="1409">
        <v>247</v>
      </c>
      <c r="N278" s="1409"/>
      <c r="O278" s="1408"/>
      <c r="P278" s="1408"/>
      <c r="Q278" s="1408"/>
      <c r="R278" s="1408"/>
      <c r="S278" s="1408"/>
      <c r="T278" s="1408"/>
      <c r="U278" s="1408"/>
      <c r="V278" s="1408"/>
      <c r="W278" s="1408"/>
      <c r="X278" s="1408"/>
      <c r="Y278" s="1408"/>
      <c r="Z278" s="1408"/>
      <c r="AA278" s="1408"/>
    </row>
    <row r="279" spans="1:27" x14ac:dyDescent="0.25">
      <c r="A279" s="926" t="s">
        <v>1292</v>
      </c>
      <c r="B279" s="857" t="str">
        <f ca="1">IF('Pricing Schedule'!$K$5="No",_xlfn.CONCAT(IFERROR(SUBSTITUTE(ADDRESS(1,MATCH(A279,INDIRECT("'"&amp;E279&amp;"'"&amp;"!$A$10:$Z$10"),0),4),1,""),""),16),_xlfn.CONCAT(IFERROR(SUBSTITUTE(ADDRESS(1,MATCH(A279,INDIRECT("'"&amp;E279&amp;"'"&amp;"!$A$10:$Z$10"),0),4),1,""),""),50))</f>
        <v>C16</v>
      </c>
      <c r="C279" s="857" t="str">
        <f ca="1">IF('Pricing Schedule'!$K$5="No",IFERROR(SUBSTITUTE(ADDRESS(1,MATCH(A279,INDIRECT("'"&amp;E279&amp;"'"&amp;"!$A$10:$Z$10"),0),4),1,""),""),IFERROR(SUBSTITUTE(ADDRESS(1,MATCH(A279,INDIRECT("'"&amp;E279&amp;"'"&amp;"!$A$10:$Z$10"),0),4),1,""),""))</f>
        <v>C</v>
      </c>
      <c r="D279" s="859" t="s">
        <v>1374</v>
      </c>
      <c r="E279" s="859" t="s">
        <v>1291</v>
      </c>
      <c r="F279" s="1409"/>
      <c r="G279" s="1409"/>
      <c r="H279" s="1409"/>
      <c r="I279" s="857" t="str">
        <f t="shared" si="40"/>
        <v/>
      </c>
      <c r="J279" s="1409"/>
      <c r="K279" s="1409" t="str">
        <f t="shared" si="41"/>
        <v/>
      </c>
      <c r="L279" s="898" t="s">
        <v>252</v>
      </c>
      <c r="M279" s="1409">
        <v>248</v>
      </c>
      <c r="N279" s="1409"/>
      <c r="O279" s="1408"/>
      <c r="P279" s="1408"/>
      <c r="Q279" s="1408"/>
      <c r="R279" s="1408"/>
      <c r="S279" s="1408"/>
      <c r="T279" s="1408"/>
      <c r="U279" s="1408"/>
      <c r="V279" s="1408"/>
      <c r="W279" s="1408"/>
      <c r="X279" s="1408"/>
      <c r="Y279" s="1408"/>
      <c r="Z279" s="1408"/>
      <c r="AA279" s="1408"/>
    </row>
    <row r="280" spans="1:27" x14ac:dyDescent="0.25">
      <c r="A280" s="926" t="s">
        <v>1257</v>
      </c>
      <c r="B280" s="857" t="str">
        <f ca="1">IF('Pricing Schedule'!$K$5="No",_xlfn.CONCAT(IFERROR(SUBSTITUTE(ADDRESS(1,MATCH(A280,INDIRECT("'"&amp;E280&amp;"'"&amp;"!$A$10:$Z$10"),0),4),1,""),""),16),_xlfn.CONCAT(IFERROR(SUBSTITUTE(ADDRESS(1,MATCH(A280,INDIRECT("'"&amp;E280&amp;"'"&amp;"!$A$10:$Z$10"),0),4),1,""),""),50))</f>
        <v>H16</v>
      </c>
      <c r="C280" s="857" t="str">
        <f ca="1">IF('Pricing Schedule'!$K$5="No",IFERROR(SUBSTITUTE(ADDRESS(1,MATCH(A280,INDIRECT("'"&amp;E280&amp;"'"&amp;"!$A$10:$Z$10"),0),4),1,""),""),IFERROR(SUBSTITUTE(ADDRESS(1,MATCH(A280,INDIRECT("'"&amp;E280&amp;"'"&amp;"!$A$10:$Z$10"),0),4),1,""),""))</f>
        <v>H</v>
      </c>
      <c r="D280" s="859" t="s">
        <v>1374</v>
      </c>
      <c r="E280" s="859" t="s">
        <v>1291</v>
      </c>
      <c r="F280" s="1409"/>
      <c r="G280" s="1409"/>
      <c r="H280" s="1409"/>
      <c r="I280" s="857" t="str">
        <f t="shared" si="40"/>
        <v/>
      </c>
      <c r="J280" s="1409"/>
      <c r="K280" s="1409" t="str">
        <f t="shared" si="41"/>
        <v/>
      </c>
      <c r="L280" s="898" t="s">
        <v>1257</v>
      </c>
      <c r="M280" s="1409">
        <v>249</v>
      </c>
      <c r="N280" s="1409"/>
      <c r="O280" s="1408"/>
      <c r="P280" s="1408"/>
      <c r="Q280" s="1408"/>
      <c r="R280" s="1408"/>
      <c r="S280" s="1408"/>
      <c r="T280" s="1408"/>
      <c r="U280" s="1408"/>
      <c r="V280" s="1408"/>
      <c r="W280" s="1408"/>
      <c r="X280" s="1408"/>
      <c r="Y280" s="1408"/>
      <c r="Z280" s="1408"/>
      <c r="AA280" s="1408"/>
    </row>
    <row r="281" spans="1:27" x14ac:dyDescent="0.25">
      <c r="A281" s="926" t="s">
        <v>1295</v>
      </c>
      <c r="B281" s="857" t="str">
        <f ca="1">IF('Pricing Schedule'!$K$5="No",_xlfn.CONCAT(IFERROR(SUBSTITUTE(ADDRESS(1,MATCH(A281,INDIRECT("'"&amp;E281&amp;"'"&amp;"!$A$10:$Z$10"),0),4),1,""),""),16),_xlfn.CONCAT(IFERROR(SUBSTITUTE(ADDRESS(1,MATCH(A281,INDIRECT("'"&amp;E281&amp;"'"&amp;"!$A$10:$Z$10"),0),4),1,""),""),50))</f>
        <v>F16</v>
      </c>
      <c r="C281" s="857" t="str">
        <f ca="1">IF('Pricing Schedule'!$K$5="No",IFERROR(SUBSTITUTE(ADDRESS(1,MATCH(A281,INDIRECT("'"&amp;E281&amp;"'"&amp;"!$A$10:$Z$10"),0),4),1,""),""),IFERROR(SUBSTITUTE(ADDRESS(1,MATCH(A281,INDIRECT("'"&amp;E281&amp;"'"&amp;"!$A$10:$Z$10"),0),4),1,""),""))</f>
        <v>F</v>
      </c>
      <c r="D281" s="859" t="s">
        <v>1374</v>
      </c>
      <c r="E281" s="859" t="s">
        <v>1291</v>
      </c>
      <c r="F281" s="1409"/>
      <c r="G281" s="1409"/>
      <c r="H281" s="1409"/>
      <c r="I281" s="857" t="str">
        <f t="shared" si="40"/>
        <v/>
      </c>
      <c r="J281" s="1409"/>
      <c r="K281" s="1409" t="str">
        <f t="shared" si="41"/>
        <v/>
      </c>
      <c r="L281" s="898" t="s">
        <v>225</v>
      </c>
      <c r="M281" s="1409">
        <v>250</v>
      </c>
      <c r="N281" s="1409"/>
      <c r="O281" s="1408"/>
      <c r="P281" s="1408"/>
      <c r="Q281" s="1408"/>
      <c r="R281" s="1408"/>
      <c r="S281" s="1408"/>
      <c r="T281" s="1408"/>
      <c r="U281" s="1408"/>
      <c r="V281" s="1408"/>
      <c r="W281" s="1408"/>
      <c r="X281" s="1408"/>
      <c r="Y281" s="1408"/>
      <c r="Z281" s="1408"/>
      <c r="AA281" s="1408"/>
    </row>
    <row r="282" spans="1:27" x14ac:dyDescent="0.25">
      <c r="A282" s="927" t="s">
        <v>463</v>
      </c>
      <c r="B282" s="857" t="str">
        <f ca="1">_xlfn.CONCAT(IFERROR(SUBSTITUTE(ADDRESS(1,MATCH(A282,INDIRECT("'"&amp;E282&amp;"'"&amp;"!A9:Z9"),0),4),1,""),""),10)</f>
        <v>E10</v>
      </c>
      <c r="C282" s="857" t="str">
        <f ca="1">_xlfn.CONCAT(IFERROR(SUBSTITUTE(ADDRESS(1,MATCH(A282,INDIRECT("'"&amp;E282&amp;"'"&amp;"!A9:Z9"),0),4),1,""),""))</f>
        <v>E</v>
      </c>
      <c r="D282" s="1174" t="s">
        <v>1374</v>
      </c>
      <c r="E282" s="859" t="s">
        <v>208</v>
      </c>
      <c r="F282" s="1409"/>
      <c r="G282" s="1409"/>
      <c r="H282" s="1409"/>
      <c r="I282" s="857" t="str">
        <f t="shared" si="40"/>
        <v>Exclude PIM Classes Below</v>
      </c>
      <c r="J282" s="1409" t="str">
        <f t="shared" si="43"/>
        <v>F251</v>
      </c>
      <c r="K282" s="1409" t="str">
        <f t="shared" si="41"/>
        <v>PIM Model</v>
      </c>
      <c r="L282" s="898" t="s">
        <v>463</v>
      </c>
      <c r="M282" s="1409">
        <v>251</v>
      </c>
      <c r="N282" s="1409"/>
      <c r="O282" s="1408"/>
      <c r="P282" s="1408"/>
      <c r="Q282" s="1408"/>
      <c r="R282" s="1408"/>
      <c r="S282" s="1408"/>
      <c r="T282" s="1408"/>
      <c r="U282" s="1408"/>
      <c r="V282" s="1408"/>
      <c r="W282" s="1408"/>
      <c r="X282" s="1408"/>
      <c r="Y282" s="1408"/>
      <c r="Z282" s="1408"/>
      <c r="AA282" s="1408"/>
    </row>
    <row r="283" spans="1:27" x14ac:dyDescent="0.25">
      <c r="A283" s="927" t="s">
        <v>1294</v>
      </c>
      <c r="B283" s="857" t="str">
        <f ca="1">IF('Pricing Schedule'!$K$5="No",_xlfn.CONCAT(IFERROR(SUBSTITUTE(ADDRESS(1,MATCH(A283,INDIRECT("'"&amp;E283&amp;"'"&amp;"!$A$10:$Z$10"),0),4),1,""),""),16),_xlfn.CONCAT(IFERROR(SUBSTITUTE(ADDRESS(1,MATCH(A283,INDIRECT("'"&amp;E283&amp;"'"&amp;"!$A$10:$Z$10"),0),4),1,""),""),50))</f>
        <v>E16</v>
      </c>
      <c r="C283" s="857" t="str">
        <f ca="1">IF('Pricing Schedule'!$K$5="No",IFERROR(SUBSTITUTE(ADDRESS(1,MATCH(A283,INDIRECT("'"&amp;E283&amp;"'"&amp;"!$A$10:$Z$10"),0),4),1,""),""),IFERROR(SUBSTITUTE(ADDRESS(1,MATCH(A283,INDIRECT("'"&amp;E283&amp;"'"&amp;"!$A$10:$Z$10"),0),4),1,""),""))</f>
        <v>E</v>
      </c>
      <c r="D283" s="859" t="s">
        <v>1374</v>
      </c>
      <c r="E283" s="859" t="s">
        <v>1291</v>
      </c>
      <c r="F283" s="1409"/>
      <c r="G283" s="1409"/>
      <c r="H283" s="1409"/>
      <c r="I283" s="857" t="str">
        <f t="shared" si="40"/>
        <v>Special Pricing Code</v>
      </c>
      <c r="J283" s="1409" t="str">
        <f t="shared" si="43"/>
        <v>F252</v>
      </c>
      <c r="K283" s="1409" t="str">
        <f t="shared" si="41"/>
        <v>Pricing Schedule</v>
      </c>
      <c r="L283" s="898" t="s">
        <v>1294</v>
      </c>
      <c r="M283" s="1409">
        <v>252</v>
      </c>
      <c r="N283" s="1409"/>
      <c r="O283" s="1408"/>
      <c r="P283" s="1408"/>
      <c r="Q283" s="1408"/>
      <c r="R283" s="1408"/>
      <c r="S283" s="1408"/>
      <c r="T283" s="1408"/>
      <c r="U283" s="1408"/>
      <c r="V283" s="1408"/>
      <c r="W283" s="1408"/>
      <c r="X283" s="1408"/>
      <c r="Y283" s="1408"/>
      <c r="Z283" s="1408"/>
      <c r="AA283" s="1408"/>
    </row>
    <row r="284" spans="1:27" x14ac:dyDescent="0.25">
      <c r="A284" s="927" t="s">
        <v>1296</v>
      </c>
      <c r="B284" s="857" t="str">
        <f ca="1">IF('Pricing Schedule'!$K$5="No",_xlfn.CONCAT(IFERROR(SUBSTITUTE(ADDRESS(1,MATCH(A284,INDIRECT("'"&amp;E284&amp;"'"&amp;"!$A$10:$Z$10"),0),4),1,""),""),16),_xlfn.CONCAT(IFERROR(SUBSTITUTE(ADDRESS(1,MATCH(A284,INDIRECT("'"&amp;E284&amp;"'"&amp;"!$A$10:$Z$10"),0),4),1,""),""),50))</f>
        <v>G16</v>
      </c>
      <c r="C284" s="857" t="str">
        <f ca="1">IF('Pricing Schedule'!$K$5="No",IFERROR(SUBSTITUTE(ADDRESS(1,MATCH(A284,INDIRECT("'"&amp;E284&amp;"'"&amp;"!$A$10:$Z$10"),0),4),1,""),""),IFERROR(SUBSTITUTE(ADDRESS(1,MATCH(A284,INDIRECT("'"&amp;E284&amp;"'"&amp;"!$A$10:$Z$10"),0),4),1,""),""))</f>
        <v>G</v>
      </c>
      <c r="D284" s="859" t="s">
        <v>1374</v>
      </c>
      <c r="E284" s="859" t="s">
        <v>1291</v>
      </c>
      <c r="F284" s="1422"/>
      <c r="G284" s="1409"/>
      <c r="H284" s="1409"/>
      <c r="I284" s="857" t="str">
        <f t="shared" si="40"/>
        <v>EB Markup Amt</v>
      </c>
      <c r="J284" s="1409" t="str">
        <f t="shared" si="43"/>
        <v>F253</v>
      </c>
      <c r="K284" s="1409" t="str">
        <f t="shared" si="41"/>
        <v>Pricing Schedule</v>
      </c>
      <c r="L284" s="898" t="s">
        <v>1296</v>
      </c>
      <c r="M284" s="1409">
        <v>253</v>
      </c>
      <c r="N284" s="1409"/>
      <c r="O284" s="1408"/>
      <c r="P284" s="1408"/>
      <c r="Q284" s="1408"/>
      <c r="R284" s="1408"/>
      <c r="S284" s="1408"/>
      <c r="T284" s="1408"/>
      <c r="U284" s="1408"/>
      <c r="V284" s="1408"/>
      <c r="W284" s="1408"/>
      <c r="X284" s="1408"/>
      <c r="Y284" s="1408"/>
      <c r="Z284" s="1408"/>
      <c r="AA284" s="1408"/>
    </row>
    <row r="285" spans="1:27" x14ac:dyDescent="0.25">
      <c r="A285" s="927" t="s">
        <v>1297</v>
      </c>
      <c r="B285" s="857" t="str">
        <f ca="1">IF('Pricing Schedule'!$K$5="No",_xlfn.CONCAT(IFERROR(SUBSTITUTE(ADDRESS(1,MATCH(A285,INDIRECT("'"&amp;E285&amp;"'"&amp;"!$A$10:$Z$10"),0),4),1,""),""),16),_xlfn.CONCAT(IFERROR(SUBSTITUTE(ADDRESS(1,MATCH(A285,INDIRECT("'"&amp;E285&amp;"'"&amp;"!$A$10:$Z$10"),0),4),1,""),""),50))</f>
        <v>I16</v>
      </c>
      <c r="C285" s="857" t="str">
        <f ca="1">IF('Pricing Schedule'!$K$5="No",IFERROR(SUBSTITUTE(ADDRESS(1,MATCH(A285,INDIRECT("'"&amp;E285&amp;"'"&amp;"!$A$10:$Z$10"),0),4),1,""),""),IFERROR(SUBSTITUTE(ADDRESS(1,MATCH(A285,INDIRECT("'"&amp;E285&amp;"'"&amp;"!$A$10:$Z$10"),0),4),1,""),""))</f>
        <v>I</v>
      </c>
      <c r="D285" s="859" t="s">
        <v>1374</v>
      </c>
      <c r="E285" s="859" t="s">
        <v>1291</v>
      </c>
      <c r="F285" s="1422"/>
      <c r="G285" s="1409"/>
      <c r="H285" s="1409"/>
      <c r="I285" s="857" t="str">
        <f t="shared" si="40"/>
        <v>Min CS Markup Override Flag</v>
      </c>
      <c r="J285" s="1409" t="str">
        <f t="shared" si="43"/>
        <v>F254</v>
      </c>
      <c r="K285" s="1409" t="str">
        <f t="shared" si="41"/>
        <v>Pricing Schedule</v>
      </c>
      <c r="L285" s="898" t="s">
        <v>1297</v>
      </c>
      <c r="M285" s="1409">
        <v>254</v>
      </c>
      <c r="N285" s="1409"/>
      <c r="O285" s="1408"/>
      <c r="P285" s="1408"/>
      <c r="Q285" s="1408"/>
      <c r="R285" s="1408"/>
      <c r="S285" s="1408"/>
      <c r="T285" s="1408"/>
      <c r="U285" s="1408"/>
      <c r="V285" s="1408"/>
      <c r="W285" s="1408"/>
      <c r="X285" s="1408"/>
      <c r="Y285" s="1408"/>
      <c r="Z285" s="1408"/>
      <c r="AA285" s="1408"/>
    </row>
    <row r="286" spans="1:27" x14ac:dyDescent="0.25">
      <c r="A286" s="927" t="s">
        <v>1298</v>
      </c>
      <c r="B286" s="857" t="str">
        <f ca="1">IF('Pricing Schedule'!$K$5="No",_xlfn.CONCAT(IFERROR(SUBSTITUTE(ADDRESS(1,MATCH(A286,INDIRECT("'"&amp;E286&amp;"'"&amp;"!$A$10:$Z$10"),0),4),1,""),""),16),_xlfn.CONCAT(IFERROR(SUBSTITUTE(ADDRESS(1,MATCH(A286,INDIRECT("'"&amp;E286&amp;"'"&amp;"!$A$10:$Z$10"),0),4),1,""),""),50))</f>
        <v>J16</v>
      </c>
      <c r="C286" s="857" t="str">
        <f ca="1">IF('Pricing Schedule'!$K$5="No",IFERROR(SUBSTITUTE(ADDRESS(1,MATCH(A286,INDIRECT("'"&amp;E286&amp;"'"&amp;"!$A$10:$Z$10"),0),4),1,""),""),IFERROR(SUBSTITUTE(ADDRESS(1,MATCH(A286,INDIRECT("'"&amp;E286&amp;"'"&amp;"!$A$10:$Z$10"),0),4),1,""),""))</f>
        <v>J</v>
      </c>
      <c r="D286" s="859" t="s">
        <v>1374</v>
      </c>
      <c r="E286" s="859" t="s">
        <v>1291</v>
      </c>
      <c r="F286" s="1422"/>
      <c r="G286" s="1409"/>
      <c r="H286" s="1409"/>
      <c r="I286" s="857" t="str">
        <f t="shared" si="40"/>
        <v>Min CS Markup Amt</v>
      </c>
      <c r="J286" s="1409" t="str">
        <f t="shared" si="43"/>
        <v>F255</v>
      </c>
      <c r="K286" s="1409" t="str">
        <f t="shared" si="41"/>
        <v>Pricing Schedule</v>
      </c>
      <c r="L286" s="898" t="s">
        <v>1298</v>
      </c>
      <c r="M286" s="1409">
        <v>255</v>
      </c>
      <c r="N286" s="1409"/>
      <c r="O286" s="1408"/>
      <c r="P286" s="1408"/>
      <c r="Q286" s="1408"/>
      <c r="R286" s="1408"/>
      <c r="S286" s="1408"/>
      <c r="T286" s="1408"/>
      <c r="U286" s="1408"/>
      <c r="V286" s="1408"/>
      <c r="W286" s="1408"/>
      <c r="X286" s="1408"/>
      <c r="Y286" s="1408"/>
      <c r="Z286" s="1408"/>
      <c r="AA286" s="1408"/>
    </row>
    <row r="287" spans="1:27" x14ac:dyDescent="0.25">
      <c r="A287" s="927" t="s">
        <v>1299</v>
      </c>
      <c r="B287" s="857" t="str">
        <f ca="1">IF('Pricing Schedule'!$K$5="No",_xlfn.CONCAT(IFERROR(SUBSTITUTE(ADDRESS(1,MATCH(A287,INDIRECT("'"&amp;E287&amp;"'"&amp;"!$A$10:$Z$10"),0),4),1,""),""),16),_xlfn.CONCAT(IFERROR(SUBSTITUTE(ADDRESS(1,MATCH(A287,INDIRECT("'"&amp;E287&amp;"'"&amp;"!$A$10:$Z$10"),0),4),1,""),""),50))</f>
        <v>K16</v>
      </c>
      <c r="C287" s="857" t="str">
        <f ca="1">IF('Pricing Schedule'!$K$5="No",IFERROR(SUBSTITUTE(ADDRESS(1,MATCH(A287,INDIRECT("'"&amp;E287&amp;"'"&amp;"!$A$10:$Z$10"),0),4),1,""),""),IFERROR(SUBSTITUTE(ADDRESS(1,MATCH(A287,INDIRECT("'"&amp;E287&amp;"'"&amp;"!$A$10:$Z$10"),0),4),1,""),""))</f>
        <v>K</v>
      </c>
      <c r="D287" s="859" t="s">
        <v>1374</v>
      </c>
      <c r="E287" s="859" t="s">
        <v>1291</v>
      </c>
      <c r="F287" s="1422"/>
      <c r="G287" s="1409"/>
      <c r="H287" s="1409"/>
      <c r="I287" s="857" t="str">
        <f t="shared" si="40"/>
        <v>Split Case Fee Override Flag</v>
      </c>
      <c r="J287" s="1409" t="str">
        <f t="shared" si="43"/>
        <v>F256</v>
      </c>
      <c r="K287" s="1409" t="str">
        <f t="shared" si="41"/>
        <v>Pricing Schedule</v>
      </c>
      <c r="L287" s="898" t="s">
        <v>1299</v>
      </c>
      <c r="M287" s="1409">
        <v>256</v>
      </c>
      <c r="N287" s="1409"/>
      <c r="O287" s="1408"/>
      <c r="P287" s="1408"/>
      <c r="Q287" s="1408"/>
      <c r="R287" s="1408"/>
      <c r="S287" s="1408"/>
      <c r="T287" s="1408"/>
      <c r="U287" s="1408"/>
      <c r="V287" s="1408"/>
      <c r="W287" s="1408"/>
      <c r="X287" s="1408"/>
      <c r="Y287" s="1408"/>
      <c r="Z287" s="1408"/>
      <c r="AA287" s="1408"/>
    </row>
    <row r="288" spans="1:27" x14ac:dyDescent="0.25">
      <c r="A288" s="927" t="s">
        <v>1300</v>
      </c>
      <c r="B288" s="857" t="str">
        <f ca="1">IF('Pricing Schedule'!$K$5="No",_xlfn.CONCAT(IFERROR(SUBSTITUTE(ADDRESS(1,MATCH(A288,INDIRECT("'"&amp;E288&amp;"'"&amp;"!$A$10:$Z$10"),0),4),1,""),""),16),_xlfn.CONCAT(IFERROR(SUBSTITUTE(ADDRESS(1,MATCH(A288,INDIRECT("'"&amp;E288&amp;"'"&amp;"!$A$10:$Z$10"),0),4),1,""),""),50))</f>
        <v>L16</v>
      </c>
      <c r="C288" s="857" t="str">
        <f ca="1">IF('Pricing Schedule'!$K$5="No",IFERROR(SUBSTITUTE(ADDRESS(1,MATCH(A288,INDIRECT("'"&amp;E288&amp;"'"&amp;"!$A$10:$Z$10"),0),4),1,""),""),IFERROR(SUBSTITUTE(ADDRESS(1,MATCH(A288,INDIRECT("'"&amp;E288&amp;"'"&amp;"!$A$10:$Z$10"),0),4),1,""),""))</f>
        <v>L</v>
      </c>
      <c r="D288" s="859" t="s">
        <v>1374</v>
      </c>
      <c r="E288" s="859" t="s">
        <v>1291</v>
      </c>
      <c r="F288" s="1422"/>
      <c r="G288" s="1409"/>
      <c r="H288" s="1409"/>
      <c r="I288" s="857" t="str">
        <f t="shared" si="40"/>
        <v>Split Case Fee</v>
      </c>
      <c r="J288" s="1409" t="str">
        <f t="shared" si="43"/>
        <v>F257</v>
      </c>
      <c r="K288" s="1409" t="str">
        <f t="shared" si="41"/>
        <v>Pricing Schedule</v>
      </c>
      <c r="L288" s="898" t="s">
        <v>1300</v>
      </c>
      <c r="M288" s="1409">
        <v>257</v>
      </c>
      <c r="N288" s="1409"/>
      <c r="O288" s="1408"/>
      <c r="P288" s="1408"/>
      <c r="Q288" s="1408"/>
      <c r="R288" s="1408"/>
      <c r="S288" s="1408"/>
      <c r="T288" s="1408"/>
      <c r="U288" s="1408"/>
      <c r="V288" s="1408"/>
      <c r="W288" s="1408"/>
      <c r="X288" s="1408"/>
      <c r="Y288" s="1408"/>
      <c r="Z288" s="1408"/>
      <c r="AA288" s="1408"/>
    </row>
    <row r="289" spans="1:27" x14ac:dyDescent="0.25">
      <c r="A289" s="927" t="s">
        <v>1238</v>
      </c>
      <c r="B289" s="857" t="str">
        <f ca="1">IF('Pricing Schedule'!$K$5="No",_xlfn.CONCAT(IFERROR(SUBSTITUTE(ADDRESS(1,MATCH(A289,INDIRECT("'"&amp;E289&amp;"'"&amp;"!$A$10:$Z$10"),0),4),1,""),""),16),_xlfn.CONCAT(IFERROR(SUBSTITUTE(ADDRESS(1,MATCH(A289,INDIRECT("'"&amp;E289&amp;"'"&amp;"!$A$10:$Z$10"),0),4),1,""),""),50))</f>
        <v>M16</v>
      </c>
      <c r="C289" s="857" t="str">
        <f ca="1">IF('Pricing Schedule'!$K$5="No",IFERROR(SUBSTITUTE(ADDRESS(1,MATCH(A289,INDIRECT("'"&amp;E289&amp;"'"&amp;"!$A$10:$Z$10"),0),4),1,""),""),IFERROR(SUBSTITUTE(ADDRESS(1,MATCH(A289,INDIRECT("'"&amp;E289&amp;"'"&amp;"!$A$10:$Z$10"),0),4),1,""),""))</f>
        <v>M</v>
      </c>
      <c r="D289" s="859" t="s">
        <v>1374</v>
      </c>
      <c r="E289" s="859" t="s">
        <v>1291</v>
      </c>
      <c r="F289" s="1422"/>
      <c r="G289" s="1409"/>
      <c r="H289" s="1409"/>
      <c r="I289" s="857" t="str">
        <f t="shared" si="40"/>
        <v>Split Case Per</v>
      </c>
      <c r="J289" s="1409" t="str">
        <f t="shared" si="43"/>
        <v>F258</v>
      </c>
      <c r="K289" s="1409" t="str">
        <f t="shared" si="41"/>
        <v>Pricing Schedule</v>
      </c>
      <c r="L289" s="898" t="s">
        <v>1238</v>
      </c>
      <c r="M289" s="1409">
        <v>258</v>
      </c>
      <c r="N289" s="1409"/>
      <c r="O289" s="1408"/>
      <c r="P289" s="1408"/>
      <c r="Q289" s="1408"/>
      <c r="R289" s="1408"/>
      <c r="S289" s="1408"/>
      <c r="T289" s="1408"/>
      <c r="U289" s="1408"/>
      <c r="V289" s="1408"/>
      <c r="W289" s="1408"/>
      <c r="X289" s="1408"/>
      <c r="Y289" s="1408"/>
      <c r="Z289" s="1408"/>
      <c r="AA289" s="1408"/>
    </row>
    <row r="290" spans="1:27" x14ac:dyDescent="0.25">
      <c r="A290" s="928" t="s">
        <v>1301</v>
      </c>
      <c r="B290" s="857" t="str">
        <f ca="1">IF('Pricing Schedule'!$K$5="No",_xlfn.CONCAT(IFERROR(SUBSTITUTE(ADDRESS(1,MATCH(A290,INDIRECT("'"&amp;E290&amp;"'"&amp;"!A10:Z10"),0),4),1,""),""),11),_xlfn.CONCAT(IFERROR(SUBSTITUTE(ADDRESS(1,MATCH(A290,INDIRECT("'"&amp;E290&amp;"'"&amp;"!A10:Z10"),0),4),1,""),""),35))</f>
        <v>N11</v>
      </c>
      <c r="C290" s="857" t="str">
        <f ca="1">IF('Pricing Schedule'!$K$5="No",IFERROR(SUBSTITUTE(ADDRESS(1,MATCH(A290,INDIRECT("'"&amp;E290&amp;"'"&amp;"!A10:Z10"),0),4),1,""),""),IFERROR(SUBSTITUTE(ADDRESS(1,MATCH(A290,INDIRECT("'"&amp;E290&amp;"'"&amp;"!A10:Z10"),0),4),1,""),""))</f>
        <v>N</v>
      </c>
      <c r="D290" s="859" t="s">
        <v>1374</v>
      </c>
      <c r="E290" s="859" t="s">
        <v>1291</v>
      </c>
      <c r="F290" s="1409"/>
      <c r="G290" s="1409"/>
      <c r="H290" s="1409"/>
      <c r="I290" s="857" t="str">
        <f t="shared" si="40"/>
        <v/>
      </c>
      <c r="J290" s="1409"/>
      <c r="K290" s="1409" t="str">
        <f t="shared" si="41"/>
        <v/>
      </c>
      <c r="L290" s="898" t="s">
        <v>1301</v>
      </c>
      <c r="M290" s="1409">
        <v>259</v>
      </c>
      <c r="N290" s="1409"/>
      <c r="O290" s="1408"/>
      <c r="P290" s="1408"/>
      <c r="Q290" s="1408"/>
      <c r="R290" s="1408"/>
      <c r="S290" s="1408"/>
      <c r="T290" s="1408"/>
      <c r="U290" s="1408"/>
      <c r="V290" s="1408"/>
      <c r="W290" s="1408"/>
      <c r="X290" s="1408"/>
      <c r="Y290" s="1408"/>
      <c r="Z290" s="1408"/>
      <c r="AA290" s="1408"/>
    </row>
    <row r="291" spans="1:27" x14ac:dyDescent="0.25">
      <c r="A291" s="929" t="s">
        <v>1292</v>
      </c>
      <c r="B291" s="857" t="str">
        <f ca="1">IF('Pricing Schedule'!$K$5="No",_xlfn.CONCAT(IFERROR(SUBSTITUTE(ADDRESS(1,MATCH(A291,INDIRECT("'"&amp;E291&amp;"'"&amp;"!A10:Z10"),0),4),1,""),""),11),_xlfn.CONCAT(IFERROR(SUBSTITUTE(ADDRESS(1,MATCH(A291,INDIRECT("'"&amp;E291&amp;"'"&amp;"!A10:Z10"),0),4),1,""),""),35))</f>
        <v>C11</v>
      </c>
      <c r="C291" s="857" t="str">
        <f ca="1">IF('Pricing Schedule'!$K$5="No",IFERROR(SUBSTITUTE(ADDRESS(1,MATCH(A291,INDIRECT("'"&amp;E291&amp;"'"&amp;"!A10:Z10"),0),4),1,""),""),IFERROR(SUBSTITUTE(ADDRESS(1,MATCH(A291,INDIRECT("'"&amp;E291&amp;"'"&amp;"!A10:Z10"),0),4),1,""),""))</f>
        <v>C</v>
      </c>
      <c r="D291" s="859" t="s">
        <v>1374</v>
      </c>
      <c r="E291" s="859" t="s">
        <v>1291</v>
      </c>
      <c r="F291" s="1409"/>
      <c r="G291" s="1409"/>
      <c r="H291" s="1409"/>
      <c r="I291" s="857" t="str">
        <f t="shared" si="40"/>
        <v/>
      </c>
      <c r="J291" s="1409"/>
      <c r="K291" s="1409" t="str">
        <f t="shared" si="41"/>
        <v/>
      </c>
      <c r="L291" s="898" t="s">
        <v>252</v>
      </c>
      <c r="M291" s="1409">
        <v>260</v>
      </c>
      <c r="N291" s="1409"/>
      <c r="O291" s="1408"/>
      <c r="P291" s="1408"/>
      <c r="Q291" s="1408"/>
      <c r="R291" s="1408"/>
      <c r="S291" s="1408"/>
      <c r="T291" s="1408"/>
      <c r="U291" s="1408"/>
      <c r="V291" s="1408"/>
      <c r="W291" s="1408"/>
      <c r="X291" s="1408"/>
      <c r="Y291" s="1408"/>
      <c r="Z291" s="1408"/>
      <c r="AA291" s="1408"/>
    </row>
    <row r="292" spans="1:27" x14ac:dyDescent="0.25">
      <c r="A292" s="929" t="s">
        <v>1257</v>
      </c>
      <c r="B292" s="857" t="str">
        <f ca="1">IF('Pricing Schedule'!$K$5="No",_xlfn.CONCAT(IFERROR(SUBSTITUTE(ADDRESS(1,MATCH(A292,INDIRECT("'"&amp;E292&amp;"'"&amp;"!A10:Z10"),0),4),1,""),""),11),_xlfn.CONCAT(IFERROR(SUBSTITUTE(ADDRESS(1,MATCH(A292,INDIRECT("'"&amp;E292&amp;"'"&amp;"!A10:Z10"),0),4),1,""),""),35))</f>
        <v>H11</v>
      </c>
      <c r="C292" s="857" t="str">
        <f ca="1">IF('Pricing Schedule'!$K$5="No",IFERROR(SUBSTITUTE(ADDRESS(1,MATCH(A292,INDIRECT("'"&amp;E292&amp;"'"&amp;"!A10:Z10"),0),4),1,""),""),IFERROR(SUBSTITUTE(ADDRESS(1,MATCH(A292,INDIRECT("'"&amp;E292&amp;"'"&amp;"!A10:Z10"),0),4),1,""),""))</f>
        <v>H</v>
      </c>
      <c r="D292" s="859" t="s">
        <v>1374</v>
      </c>
      <c r="E292" s="859" t="s">
        <v>1291</v>
      </c>
      <c r="F292" s="1409"/>
      <c r="G292" s="1409"/>
      <c r="H292" s="1409"/>
      <c r="I292" s="857" t="str">
        <f t="shared" si="40"/>
        <v/>
      </c>
      <c r="J292" s="1409"/>
      <c r="K292" s="1409" t="str">
        <f t="shared" si="41"/>
        <v/>
      </c>
      <c r="L292" s="898" t="s">
        <v>1257</v>
      </c>
      <c r="M292" s="1409">
        <v>261</v>
      </c>
      <c r="N292" s="1409"/>
      <c r="O292" s="1408"/>
      <c r="P292" s="1408"/>
      <c r="Q292" s="1408"/>
      <c r="R292" s="1408"/>
      <c r="S292" s="1408"/>
      <c r="T292" s="1408"/>
      <c r="U292" s="1408"/>
      <c r="V292" s="1408"/>
      <c r="W292" s="1408"/>
      <c r="X292" s="1408"/>
      <c r="Y292" s="1408"/>
      <c r="Z292" s="1408"/>
      <c r="AA292" s="1408"/>
    </row>
    <row r="293" spans="1:27" x14ac:dyDescent="0.25">
      <c r="A293" s="929" t="s">
        <v>1295</v>
      </c>
      <c r="B293" s="857" t="str">
        <f ca="1">IF('Pricing Schedule'!$K$5="No",_xlfn.CONCAT(IFERROR(SUBSTITUTE(ADDRESS(1,MATCH(A293,INDIRECT("'"&amp;E293&amp;"'"&amp;"!A10:Z10"),0),4),1,""),""),11),_xlfn.CONCAT(IFERROR(SUBSTITUTE(ADDRESS(1,MATCH(A293,INDIRECT("'"&amp;E293&amp;"'"&amp;"!A10:Z10"),0),4),1,""),""),35))</f>
        <v>F11</v>
      </c>
      <c r="C293" s="857" t="str">
        <f ca="1">IF('Pricing Schedule'!$K$5="No",IFERROR(SUBSTITUTE(ADDRESS(1,MATCH(A293,INDIRECT("'"&amp;E293&amp;"'"&amp;"!A10:Z10"),0),4),1,""),""),IFERROR(SUBSTITUTE(ADDRESS(1,MATCH(A293,INDIRECT("'"&amp;E293&amp;"'"&amp;"!A10:Z10"),0),4),1,""),""))</f>
        <v>F</v>
      </c>
      <c r="D293" s="859" t="s">
        <v>1374</v>
      </c>
      <c r="E293" s="859" t="s">
        <v>1291</v>
      </c>
      <c r="F293" s="1409"/>
      <c r="G293" s="1409"/>
      <c r="H293" s="1409"/>
      <c r="I293" s="857" t="str">
        <f t="shared" si="40"/>
        <v/>
      </c>
      <c r="J293" s="1409"/>
      <c r="K293" s="1409" t="str">
        <f t="shared" si="41"/>
        <v/>
      </c>
      <c r="L293" s="898" t="s">
        <v>225</v>
      </c>
      <c r="M293" s="1409">
        <v>262</v>
      </c>
      <c r="N293" s="1409"/>
      <c r="O293" s="1408"/>
      <c r="P293" s="1408"/>
      <c r="Q293" s="1408"/>
      <c r="R293" s="1408"/>
      <c r="S293" s="1408"/>
      <c r="T293" s="1408"/>
      <c r="U293" s="1408"/>
      <c r="V293" s="1408"/>
      <c r="W293" s="1408"/>
      <c r="X293" s="1408"/>
      <c r="Y293" s="1408"/>
      <c r="Z293" s="1408"/>
      <c r="AA293" s="1408"/>
    </row>
    <row r="294" spans="1:27" x14ac:dyDescent="0.25">
      <c r="A294" s="930" t="s">
        <v>463</v>
      </c>
      <c r="B294" s="857" t="str">
        <f ca="1">_xlfn.CONCAT(IFERROR(SUBSTITUTE(ADDRESS(1,MATCH(A294,INDIRECT("'"&amp;E294&amp;"'"&amp;"!A9:Z9"),0),4),1,""),""),11)</f>
        <v>E11</v>
      </c>
      <c r="C294" s="857" t="str">
        <f ca="1">_xlfn.CONCAT(IFERROR(SUBSTITUTE(ADDRESS(1,MATCH(A294,INDIRECT("'"&amp;E294&amp;"'"&amp;"!A9:Z9"),0),4),1,""),""))</f>
        <v>E</v>
      </c>
      <c r="D294" s="1174" t="s">
        <v>1374</v>
      </c>
      <c r="E294" s="859" t="s">
        <v>208</v>
      </c>
      <c r="F294" s="1409"/>
      <c r="G294" s="1409"/>
      <c r="H294" s="1409"/>
      <c r="I294" s="857" t="str">
        <f t="shared" si="40"/>
        <v>Exclude PIM Classes Below</v>
      </c>
      <c r="J294" s="1409" t="str">
        <f t="shared" si="43"/>
        <v>F263</v>
      </c>
      <c r="K294" s="1409" t="str">
        <f t="shared" si="41"/>
        <v>PIM Model</v>
      </c>
      <c r="L294" s="898" t="s">
        <v>463</v>
      </c>
      <c r="M294" s="1409">
        <v>263</v>
      </c>
      <c r="N294" s="1409"/>
      <c r="O294" s="1408"/>
      <c r="P294" s="1408"/>
      <c r="Q294" s="1408"/>
      <c r="R294" s="1408"/>
      <c r="S294" s="1408"/>
      <c r="T294" s="1408"/>
      <c r="U294" s="1408"/>
      <c r="V294" s="1408"/>
      <c r="W294" s="1408"/>
      <c r="X294" s="1408"/>
      <c r="Y294" s="1408"/>
      <c r="Z294" s="1408"/>
      <c r="AA294" s="1408"/>
    </row>
    <row r="295" spans="1:27" x14ac:dyDescent="0.25">
      <c r="A295" s="930" t="s">
        <v>1294</v>
      </c>
      <c r="B295" s="857" t="str">
        <f ca="1">IF('Pricing Schedule'!$K$5="No",_xlfn.CONCAT(IFERROR(SUBSTITUTE(ADDRESS(1,MATCH(A295,INDIRECT("'"&amp;E295&amp;"'"&amp;"!A10:Z10"),0),4),1,""),""),11),_xlfn.CONCAT(IFERROR(SUBSTITUTE(ADDRESS(1,MATCH(A295,INDIRECT("'"&amp;E295&amp;"'"&amp;"!A10:Z10"),0),4),1,""),""),35))</f>
        <v>E11</v>
      </c>
      <c r="C295" s="857" t="str">
        <f ca="1">IF('Pricing Schedule'!$K$5="No",IFERROR(SUBSTITUTE(ADDRESS(1,MATCH(A295,INDIRECT("'"&amp;E295&amp;"'"&amp;"!A10:Z10"),0),4),1,""),""),IFERROR(SUBSTITUTE(ADDRESS(1,MATCH(A295,INDIRECT("'"&amp;E295&amp;"'"&amp;"!A10:Z10"),0),4),1,""),""))</f>
        <v>E</v>
      </c>
      <c r="D295" s="859" t="s">
        <v>1374</v>
      </c>
      <c r="E295" s="859" t="s">
        <v>1291</v>
      </c>
      <c r="F295" s="1409"/>
      <c r="G295" s="1409"/>
      <c r="H295" s="1409"/>
      <c r="I295" s="857" t="str">
        <f t="shared" si="40"/>
        <v>Special Pricing Code</v>
      </c>
      <c r="J295" s="1409" t="str">
        <f t="shared" si="43"/>
        <v>F264</v>
      </c>
      <c r="K295" s="1409" t="str">
        <f t="shared" si="41"/>
        <v>Pricing Schedule</v>
      </c>
      <c r="L295" s="898" t="s">
        <v>1294</v>
      </c>
      <c r="M295" s="1409">
        <v>264</v>
      </c>
      <c r="N295" s="1409"/>
      <c r="O295" s="1408"/>
      <c r="P295" s="1408"/>
      <c r="Q295" s="1408"/>
      <c r="R295" s="1408"/>
      <c r="S295" s="1408"/>
      <c r="T295" s="1408"/>
      <c r="U295" s="1408"/>
      <c r="V295" s="1408"/>
      <c r="W295" s="1408"/>
      <c r="X295" s="1408"/>
      <c r="Y295" s="1408"/>
      <c r="Z295" s="1408"/>
      <c r="AA295" s="1408"/>
    </row>
    <row r="296" spans="1:27" x14ac:dyDescent="0.25">
      <c r="A296" s="930" t="s">
        <v>1296</v>
      </c>
      <c r="B296" s="857" t="str">
        <f ca="1">IF('Pricing Schedule'!$K$5="No",_xlfn.CONCAT(IFERROR(SUBSTITUTE(ADDRESS(1,MATCH(A296,INDIRECT("'"&amp;E296&amp;"'"&amp;"!A10:Z10"),0),4),1,""),""),11),_xlfn.CONCAT(IFERROR(SUBSTITUTE(ADDRESS(1,MATCH(A296,INDIRECT("'"&amp;E296&amp;"'"&amp;"!A10:Z10"),0),4),1,""),""),35))</f>
        <v>G11</v>
      </c>
      <c r="C296" s="857" t="str">
        <f ca="1">IF('Pricing Schedule'!$K$5="No",IFERROR(SUBSTITUTE(ADDRESS(1,MATCH(A296,INDIRECT("'"&amp;E296&amp;"'"&amp;"!A10:Z10"),0),4),1,""),""),IFERROR(SUBSTITUTE(ADDRESS(1,MATCH(A296,INDIRECT("'"&amp;E296&amp;"'"&amp;"!A10:Z10"),0),4),1,""),""))</f>
        <v>G</v>
      </c>
      <c r="D296" s="859" t="s">
        <v>1374</v>
      </c>
      <c r="E296" s="859" t="s">
        <v>1291</v>
      </c>
      <c r="F296" s="1422"/>
      <c r="G296" s="1409"/>
      <c r="H296" s="1409"/>
      <c r="I296" s="857" t="str">
        <f t="shared" si="40"/>
        <v>EB Markup Amt</v>
      </c>
      <c r="J296" s="1409" t="str">
        <f t="shared" si="43"/>
        <v>F265</v>
      </c>
      <c r="K296" s="1409" t="str">
        <f t="shared" si="41"/>
        <v>Pricing Schedule</v>
      </c>
      <c r="L296" s="898" t="s">
        <v>1296</v>
      </c>
      <c r="M296" s="1409">
        <v>265</v>
      </c>
      <c r="N296" s="1409"/>
      <c r="O296" s="1408"/>
      <c r="P296" s="1408"/>
      <c r="Q296" s="1408"/>
      <c r="R296" s="1408"/>
      <c r="S296" s="1408"/>
      <c r="T296" s="1408"/>
      <c r="U296" s="1408"/>
      <c r="V296" s="1408"/>
      <c r="W296" s="1408"/>
      <c r="X296" s="1408"/>
      <c r="Y296" s="1408"/>
      <c r="Z296" s="1408"/>
      <c r="AA296" s="1408"/>
    </row>
    <row r="297" spans="1:27" x14ac:dyDescent="0.25">
      <c r="A297" s="930" t="s">
        <v>1297</v>
      </c>
      <c r="B297" s="857" t="str">
        <f ca="1">IF('Pricing Schedule'!$K$5="No",_xlfn.CONCAT(IFERROR(SUBSTITUTE(ADDRESS(1,MATCH(A297,INDIRECT("'"&amp;E297&amp;"'"&amp;"!A10:Z10"),0),4),1,""),""),11),_xlfn.CONCAT(IFERROR(SUBSTITUTE(ADDRESS(1,MATCH(A297,INDIRECT("'"&amp;E297&amp;"'"&amp;"!A10:Z10"),0),4),1,""),""),35))</f>
        <v>I11</v>
      </c>
      <c r="C297" s="857" t="str">
        <f ca="1">IF('Pricing Schedule'!$K$5="No",IFERROR(SUBSTITUTE(ADDRESS(1,MATCH(A297,INDIRECT("'"&amp;E297&amp;"'"&amp;"!A10:Z10"),0),4),1,""),""),IFERROR(SUBSTITUTE(ADDRESS(1,MATCH(A297,INDIRECT("'"&amp;E297&amp;"'"&amp;"!A10:Z10"),0),4),1,""),""))</f>
        <v>I</v>
      </c>
      <c r="D297" s="859" t="s">
        <v>1374</v>
      </c>
      <c r="E297" s="859" t="s">
        <v>1291</v>
      </c>
      <c r="F297" s="1422"/>
      <c r="G297" s="1409"/>
      <c r="H297" s="1409"/>
      <c r="I297" s="857" t="str">
        <f t="shared" si="40"/>
        <v>Min CS Markup Override Flag</v>
      </c>
      <c r="J297" s="1409" t="str">
        <f t="shared" si="43"/>
        <v>F266</v>
      </c>
      <c r="K297" s="1409" t="str">
        <f t="shared" si="41"/>
        <v>Pricing Schedule</v>
      </c>
      <c r="L297" s="898" t="s">
        <v>1297</v>
      </c>
      <c r="M297" s="1409">
        <v>266</v>
      </c>
      <c r="N297" s="1409"/>
      <c r="O297" s="1408"/>
      <c r="P297" s="1408"/>
      <c r="Q297" s="1408"/>
      <c r="R297" s="1408"/>
      <c r="S297" s="1408"/>
      <c r="T297" s="1408"/>
      <c r="U297" s="1408"/>
      <c r="V297" s="1408"/>
      <c r="W297" s="1408"/>
      <c r="X297" s="1408"/>
      <c r="Y297" s="1408"/>
      <c r="Z297" s="1408"/>
      <c r="AA297" s="1408"/>
    </row>
    <row r="298" spans="1:27" x14ac:dyDescent="0.25">
      <c r="A298" s="930" t="s">
        <v>1298</v>
      </c>
      <c r="B298" s="857" t="str">
        <f ca="1">IF('Pricing Schedule'!$K$5="No",_xlfn.CONCAT(IFERROR(SUBSTITUTE(ADDRESS(1,MATCH(A298,INDIRECT("'"&amp;E298&amp;"'"&amp;"!A10:Z10"),0),4),1,""),""),11),_xlfn.CONCAT(IFERROR(SUBSTITUTE(ADDRESS(1,MATCH(A298,INDIRECT("'"&amp;E298&amp;"'"&amp;"!A10:Z10"),0),4),1,""),""),35))</f>
        <v>J11</v>
      </c>
      <c r="C298" s="857" t="str">
        <f ca="1">IF('Pricing Schedule'!$K$5="No",IFERROR(SUBSTITUTE(ADDRESS(1,MATCH(A298,INDIRECT("'"&amp;E298&amp;"'"&amp;"!A10:Z10"),0),4),1,""),""),IFERROR(SUBSTITUTE(ADDRESS(1,MATCH(A298,INDIRECT("'"&amp;E298&amp;"'"&amp;"!A10:Z10"),0),4),1,""),""))</f>
        <v>J</v>
      </c>
      <c r="D298" s="859" t="s">
        <v>1374</v>
      </c>
      <c r="E298" s="859" t="s">
        <v>1291</v>
      </c>
      <c r="F298" s="1422"/>
      <c r="G298" s="1409"/>
      <c r="H298" s="1409"/>
      <c r="I298" s="857" t="str">
        <f t="shared" si="40"/>
        <v>Min CS Markup Amt</v>
      </c>
      <c r="J298" s="1409" t="str">
        <f t="shared" si="43"/>
        <v>F267</v>
      </c>
      <c r="K298" s="1409" t="str">
        <f t="shared" si="41"/>
        <v>Pricing Schedule</v>
      </c>
      <c r="L298" s="898" t="s">
        <v>1298</v>
      </c>
      <c r="M298" s="1409">
        <v>267</v>
      </c>
      <c r="N298" s="1409"/>
      <c r="O298" s="1408"/>
      <c r="P298" s="1408"/>
      <c r="Q298" s="1408"/>
      <c r="R298" s="1408"/>
      <c r="S298" s="1408"/>
      <c r="T298" s="1408"/>
      <c r="U298" s="1408"/>
      <c r="V298" s="1408"/>
      <c r="W298" s="1408"/>
      <c r="X298" s="1408"/>
      <c r="Y298" s="1408"/>
      <c r="Z298" s="1408"/>
      <c r="AA298" s="1408"/>
    </row>
    <row r="299" spans="1:27" x14ac:dyDescent="0.25">
      <c r="A299" s="930" t="s">
        <v>1299</v>
      </c>
      <c r="B299" s="857" t="str">
        <f ca="1">IF('Pricing Schedule'!$K$5="No",_xlfn.CONCAT(IFERROR(SUBSTITUTE(ADDRESS(1,MATCH(A299,INDIRECT("'"&amp;E299&amp;"'"&amp;"!A10:Z10"),0),4),1,""),""),11),_xlfn.CONCAT(IFERROR(SUBSTITUTE(ADDRESS(1,MATCH(A299,INDIRECT("'"&amp;E299&amp;"'"&amp;"!A10:Z10"),0),4),1,""),""),35))</f>
        <v>K11</v>
      </c>
      <c r="C299" s="857" t="str">
        <f ca="1">IF('Pricing Schedule'!$K$5="No",IFERROR(SUBSTITUTE(ADDRESS(1,MATCH(A299,INDIRECT("'"&amp;E299&amp;"'"&amp;"!A10:Z10"),0),4),1,""),""),IFERROR(SUBSTITUTE(ADDRESS(1,MATCH(A299,INDIRECT("'"&amp;E299&amp;"'"&amp;"!A10:Z10"),0),4),1,""),""))</f>
        <v>K</v>
      </c>
      <c r="D299" s="859" t="s">
        <v>1374</v>
      </c>
      <c r="E299" s="859" t="s">
        <v>1291</v>
      </c>
      <c r="F299" s="1422"/>
      <c r="G299" s="1409"/>
      <c r="H299" s="1409"/>
      <c r="I299" s="857" t="str">
        <f t="shared" si="40"/>
        <v>Split Case Fee Override Flag</v>
      </c>
      <c r="J299" s="1409" t="str">
        <f t="shared" si="43"/>
        <v>F268</v>
      </c>
      <c r="K299" s="1409" t="str">
        <f t="shared" si="41"/>
        <v>Pricing Schedule</v>
      </c>
      <c r="L299" s="898" t="s">
        <v>1299</v>
      </c>
      <c r="M299" s="1409">
        <v>268</v>
      </c>
      <c r="N299" s="1409"/>
      <c r="O299" s="1408"/>
      <c r="P299" s="1408"/>
      <c r="Q299" s="1408"/>
      <c r="R299" s="1408"/>
      <c r="S299" s="1408"/>
      <c r="T299" s="1408"/>
      <c r="U299" s="1408"/>
      <c r="V299" s="1408"/>
      <c r="W299" s="1408"/>
      <c r="X299" s="1408"/>
      <c r="Y299" s="1408"/>
      <c r="Z299" s="1408"/>
      <c r="AA299" s="1408"/>
    </row>
    <row r="300" spans="1:27" x14ac:dyDescent="0.25">
      <c r="A300" s="930" t="s">
        <v>1300</v>
      </c>
      <c r="B300" s="857" t="str">
        <f ca="1">IF('Pricing Schedule'!$K$5="No",_xlfn.CONCAT(IFERROR(SUBSTITUTE(ADDRESS(1,MATCH(A300,INDIRECT("'"&amp;E300&amp;"'"&amp;"!A10:Z10"),0),4),1,""),""),11),_xlfn.CONCAT(IFERROR(SUBSTITUTE(ADDRESS(1,MATCH(A300,INDIRECT("'"&amp;E300&amp;"'"&amp;"!A10:Z10"),0),4),1,""),""),35))</f>
        <v>L11</v>
      </c>
      <c r="C300" s="857" t="str">
        <f ca="1">IF('Pricing Schedule'!$K$5="No",IFERROR(SUBSTITUTE(ADDRESS(1,MATCH(A300,INDIRECT("'"&amp;E300&amp;"'"&amp;"!A10:Z10"),0),4),1,""),""),IFERROR(SUBSTITUTE(ADDRESS(1,MATCH(A300,INDIRECT("'"&amp;E300&amp;"'"&amp;"!A10:Z10"),0),4),1,""),""))</f>
        <v>L</v>
      </c>
      <c r="D300" s="859" t="s">
        <v>1374</v>
      </c>
      <c r="E300" s="859" t="s">
        <v>1291</v>
      </c>
      <c r="F300" s="1422"/>
      <c r="G300" s="1409"/>
      <c r="H300" s="1409"/>
      <c r="I300" s="857" t="str">
        <f t="shared" si="40"/>
        <v>Split Case Fee</v>
      </c>
      <c r="J300" s="1409" t="str">
        <f t="shared" si="43"/>
        <v>F269</v>
      </c>
      <c r="K300" s="1409" t="str">
        <f t="shared" si="41"/>
        <v>Pricing Schedule</v>
      </c>
      <c r="L300" s="898" t="s">
        <v>1300</v>
      </c>
      <c r="M300" s="1409">
        <v>269</v>
      </c>
      <c r="N300" s="1409"/>
      <c r="O300" s="1408"/>
      <c r="P300" s="1408"/>
      <c r="Q300" s="1408"/>
      <c r="R300" s="1408"/>
      <c r="S300" s="1408"/>
      <c r="T300" s="1408"/>
      <c r="U300" s="1408"/>
      <c r="V300" s="1408"/>
      <c r="W300" s="1408"/>
      <c r="X300" s="1408"/>
      <c r="Y300" s="1408"/>
      <c r="Z300" s="1408"/>
      <c r="AA300" s="1408"/>
    </row>
    <row r="301" spans="1:27" x14ac:dyDescent="0.25">
      <c r="A301" s="930" t="s">
        <v>1238</v>
      </c>
      <c r="B301" s="857" t="str">
        <f ca="1">IF('Pricing Schedule'!$K$5="No",_xlfn.CONCAT(IFERROR(SUBSTITUTE(ADDRESS(1,MATCH(A301,INDIRECT("'"&amp;E301&amp;"'"&amp;"!A10:Z10"),0),4),1,""),""),11),_xlfn.CONCAT(IFERROR(SUBSTITUTE(ADDRESS(1,MATCH(A301,INDIRECT("'"&amp;E301&amp;"'"&amp;"!A10:Z10"),0),4),1,""),""),35))</f>
        <v>M11</v>
      </c>
      <c r="C301" s="857" t="str">
        <f ca="1">IF('Pricing Schedule'!$K$5="No",IFERROR(SUBSTITUTE(ADDRESS(1,MATCH(A301,INDIRECT("'"&amp;E301&amp;"'"&amp;"!A10:Z10"),0),4),1,""),""),IFERROR(SUBSTITUTE(ADDRESS(1,MATCH(A301,INDIRECT("'"&amp;E301&amp;"'"&amp;"!A10:Z10"),0),4),1,""),""))</f>
        <v>M</v>
      </c>
      <c r="D301" s="859" t="s">
        <v>1374</v>
      </c>
      <c r="E301" s="859" t="s">
        <v>1291</v>
      </c>
      <c r="F301" s="1422"/>
      <c r="G301" s="1409"/>
      <c r="H301" s="1409"/>
      <c r="I301" s="857" t="str">
        <f t="shared" si="40"/>
        <v>Split Case Per</v>
      </c>
      <c r="J301" s="1409" t="str">
        <f t="shared" si="43"/>
        <v>F270</v>
      </c>
      <c r="K301" s="1409" t="str">
        <f t="shared" si="41"/>
        <v>Pricing Schedule</v>
      </c>
      <c r="L301" s="898" t="s">
        <v>1238</v>
      </c>
      <c r="M301" s="1409">
        <v>270</v>
      </c>
      <c r="N301" s="1409"/>
      <c r="O301" s="1408"/>
      <c r="P301" s="1408"/>
      <c r="Q301" s="1408"/>
      <c r="R301" s="1408"/>
      <c r="S301" s="1408"/>
      <c r="T301" s="1408"/>
      <c r="U301" s="1408"/>
      <c r="V301" s="1408"/>
      <c r="W301" s="1408"/>
      <c r="X301" s="1408"/>
      <c r="Y301" s="1408"/>
      <c r="Z301" s="1408"/>
      <c r="AA301" s="1408"/>
    </row>
    <row r="302" spans="1:27" x14ac:dyDescent="0.25">
      <c r="A302" s="931" t="s">
        <v>1301</v>
      </c>
      <c r="B302" s="857" t="str">
        <f ca="1">IF('Pricing Schedule'!$K$5="No",_xlfn.CONCAT(IFERROR(SUBSTITUTE(ADDRESS(1,MATCH(A302,INDIRECT("'"&amp;E302&amp;"'"&amp;"!A10:Z10"),0),4),1,""),""),11),_xlfn.CONCAT(IFERROR(SUBSTITUTE(ADDRESS(1,MATCH(A302,INDIRECT("'"&amp;E302&amp;"'"&amp;"!A10:Z10"),0),4),1,""),""),36))</f>
        <v>N11</v>
      </c>
      <c r="C302" s="857" t="str">
        <f ca="1">IF('Pricing Schedule'!$K$5="No",IFERROR(SUBSTITUTE(ADDRESS(1,MATCH(A302,INDIRECT("'"&amp;E302&amp;"'"&amp;"!A10:Z10"),0),4),1,""),""),IFERROR(SUBSTITUTE(ADDRESS(1,MATCH(A302,INDIRECT("'"&amp;E302&amp;"'"&amp;"!A10:Z10"),0),4),1,""),""))</f>
        <v>N</v>
      </c>
      <c r="D302" s="859" t="s">
        <v>1374</v>
      </c>
      <c r="E302" s="859" t="s">
        <v>1291</v>
      </c>
      <c r="F302" s="1409"/>
      <c r="G302" s="1409"/>
      <c r="H302" s="1409"/>
      <c r="I302" s="857" t="str">
        <f t="shared" si="40"/>
        <v/>
      </c>
      <c r="J302" s="1409"/>
      <c r="K302" s="1409" t="str">
        <f t="shared" si="41"/>
        <v/>
      </c>
      <c r="L302" s="898" t="s">
        <v>1301</v>
      </c>
      <c r="M302" s="1409">
        <v>271</v>
      </c>
      <c r="N302" s="1409"/>
      <c r="O302" s="1408"/>
      <c r="P302" s="1408"/>
      <c r="Q302" s="1408"/>
      <c r="R302" s="1408"/>
      <c r="S302" s="1408"/>
      <c r="T302" s="1408"/>
      <c r="U302" s="1408"/>
      <c r="V302" s="1408"/>
      <c r="W302" s="1408"/>
      <c r="X302" s="1408"/>
      <c r="Y302" s="1408"/>
      <c r="Z302" s="1408"/>
      <c r="AA302" s="1408"/>
    </row>
    <row r="303" spans="1:27" x14ac:dyDescent="0.25">
      <c r="A303" s="932" t="s">
        <v>1292</v>
      </c>
      <c r="B303" s="857" t="str">
        <f ca="1">IF('Pricing Schedule'!$K$5="No",_xlfn.CONCAT(IFERROR(SUBSTITUTE(ADDRESS(1,MATCH(A303,INDIRECT("'"&amp;E303&amp;"'"&amp;"!A10:Z10"),0),4),1,""),""),11),_xlfn.CONCAT(IFERROR(SUBSTITUTE(ADDRESS(1,MATCH(A303,INDIRECT("'"&amp;E303&amp;"'"&amp;"!A10:Z10"),0),4),1,""),""),36))</f>
        <v>C11</v>
      </c>
      <c r="C303" s="857" t="str">
        <f ca="1">IF('Pricing Schedule'!$K$5="No",IFERROR(SUBSTITUTE(ADDRESS(1,MATCH(A303,INDIRECT("'"&amp;E303&amp;"'"&amp;"!A10:Z10"),0),4),1,""),""),IFERROR(SUBSTITUTE(ADDRESS(1,MATCH(A303,INDIRECT("'"&amp;E303&amp;"'"&amp;"!A10:Z10"),0),4),1,""),""))</f>
        <v>C</v>
      </c>
      <c r="D303" s="859" t="s">
        <v>1374</v>
      </c>
      <c r="E303" s="859" t="s">
        <v>1291</v>
      </c>
      <c r="F303" s="1409"/>
      <c r="G303" s="1409"/>
      <c r="H303" s="1409"/>
      <c r="I303" s="857" t="str">
        <f t="shared" si="40"/>
        <v/>
      </c>
      <c r="J303" s="1409"/>
      <c r="K303" s="1409" t="str">
        <f t="shared" si="41"/>
        <v/>
      </c>
      <c r="L303" s="898" t="s">
        <v>252</v>
      </c>
      <c r="M303" s="1409">
        <v>272</v>
      </c>
      <c r="N303" s="1409"/>
      <c r="O303" s="1408"/>
      <c r="P303" s="1408"/>
      <c r="Q303" s="1408"/>
      <c r="R303" s="1408"/>
      <c r="S303" s="1408"/>
      <c r="T303" s="1408"/>
      <c r="U303" s="1408"/>
      <c r="V303" s="1408"/>
      <c r="W303" s="1408"/>
      <c r="X303" s="1408"/>
      <c r="Y303" s="1408"/>
      <c r="Z303" s="1408"/>
      <c r="AA303" s="1408"/>
    </row>
    <row r="304" spans="1:27" x14ac:dyDescent="0.25">
      <c r="A304" s="932" t="s">
        <v>1257</v>
      </c>
      <c r="B304" s="857" t="str">
        <f ca="1">IF('Pricing Schedule'!$K$5="No",_xlfn.CONCAT(IFERROR(SUBSTITUTE(ADDRESS(1,MATCH(A304,INDIRECT("'"&amp;E304&amp;"'"&amp;"!A10:Z10"),0),4),1,""),""),11),_xlfn.CONCAT(IFERROR(SUBSTITUTE(ADDRESS(1,MATCH(A304,INDIRECT("'"&amp;E304&amp;"'"&amp;"!A10:Z10"),0),4),1,""),""),36))</f>
        <v>H11</v>
      </c>
      <c r="C304" s="857" t="str">
        <f ca="1">IF('Pricing Schedule'!$K$5="No",IFERROR(SUBSTITUTE(ADDRESS(1,MATCH(A304,INDIRECT("'"&amp;E304&amp;"'"&amp;"!A10:Z10"),0),4),1,""),""),IFERROR(SUBSTITUTE(ADDRESS(1,MATCH(A304,INDIRECT("'"&amp;E304&amp;"'"&amp;"!A10:Z10"),0),4),1,""),""))</f>
        <v>H</v>
      </c>
      <c r="D304" s="859" t="s">
        <v>1374</v>
      </c>
      <c r="E304" s="859" t="s">
        <v>1291</v>
      </c>
      <c r="F304" s="1409"/>
      <c r="G304" s="1409"/>
      <c r="H304" s="1409"/>
      <c r="I304" s="857" t="str">
        <f t="shared" si="40"/>
        <v/>
      </c>
      <c r="J304" s="1409"/>
      <c r="K304" s="1409" t="str">
        <f t="shared" si="41"/>
        <v/>
      </c>
      <c r="L304" s="898" t="s">
        <v>1257</v>
      </c>
      <c r="M304" s="1409">
        <v>273</v>
      </c>
      <c r="N304" s="1409"/>
      <c r="O304" s="1408"/>
      <c r="P304" s="1408"/>
      <c r="Q304" s="1408"/>
      <c r="R304" s="1408"/>
      <c r="S304" s="1408"/>
      <c r="T304" s="1408"/>
      <c r="U304" s="1408"/>
      <c r="V304" s="1408"/>
      <c r="W304" s="1408"/>
      <c r="X304" s="1408"/>
      <c r="Y304" s="1408"/>
      <c r="Z304" s="1408"/>
      <c r="AA304" s="1408"/>
    </row>
    <row r="305" spans="1:27" x14ac:dyDescent="0.25">
      <c r="A305" s="932" t="s">
        <v>1295</v>
      </c>
      <c r="B305" s="857" t="str">
        <f ca="1">IF('Pricing Schedule'!$K$5="No",_xlfn.CONCAT(IFERROR(SUBSTITUTE(ADDRESS(1,MATCH(A305,INDIRECT("'"&amp;E305&amp;"'"&amp;"!A10:Z10"),0),4),1,""),""),11),_xlfn.CONCAT(IFERROR(SUBSTITUTE(ADDRESS(1,MATCH(A305,INDIRECT("'"&amp;E305&amp;"'"&amp;"!A10:Z10"),0),4),1,""),""),36))</f>
        <v>F11</v>
      </c>
      <c r="C305" s="857" t="str">
        <f ca="1">IF('Pricing Schedule'!$K$5="No",IFERROR(SUBSTITUTE(ADDRESS(1,MATCH(A305,INDIRECT("'"&amp;E305&amp;"'"&amp;"!A10:Z10"),0),4),1,""),""),IFERROR(SUBSTITUTE(ADDRESS(1,MATCH(A305,INDIRECT("'"&amp;E305&amp;"'"&amp;"!A10:Z10"),0),4),1,""),""))</f>
        <v>F</v>
      </c>
      <c r="D305" s="859" t="s">
        <v>1374</v>
      </c>
      <c r="E305" s="859" t="s">
        <v>1291</v>
      </c>
      <c r="F305" s="1409"/>
      <c r="G305" s="1409"/>
      <c r="H305" s="1409"/>
      <c r="I305" s="857" t="str">
        <f t="shared" si="40"/>
        <v/>
      </c>
      <c r="J305" s="1409"/>
      <c r="K305" s="1409" t="str">
        <f t="shared" si="41"/>
        <v/>
      </c>
      <c r="L305" s="898" t="s">
        <v>225</v>
      </c>
      <c r="M305" s="1409">
        <v>274</v>
      </c>
      <c r="N305" s="1409"/>
      <c r="O305" s="1408"/>
      <c r="P305" s="1408"/>
      <c r="Q305" s="1408"/>
      <c r="R305" s="1408"/>
      <c r="S305" s="1408"/>
      <c r="T305" s="1408"/>
      <c r="U305" s="1408"/>
      <c r="V305" s="1408"/>
      <c r="W305" s="1408"/>
      <c r="X305" s="1408"/>
      <c r="Y305" s="1408"/>
      <c r="Z305" s="1408"/>
      <c r="AA305" s="1408"/>
    </row>
    <row r="306" spans="1:27" x14ac:dyDescent="0.25">
      <c r="A306" s="927" t="s">
        <v>463</v>
      </c>
      <c r="B306" s="857" t="str">
        <f ca="1">_xlfn.CONCAT(IFERROR(SUBSTITUTE(ADDRESS(1,MATCH(A306,INDIRECT("'"&amp;E306&amp;"'"&amp;"!A9:Z9"),0),4),1,""),""),12)</f>
        <v>E12</v>
      </c>
      <c r="C306" s="857" t="str">
        <f ca="1">_xlfn.CONCAT(IFERROR(SUBSTITUTE(ADDRESS(1,MATCH(A306,INDIRECT("'"&amp;E306&amp;"'"&amp;"!A9:Z9"),0),4),1,""),""))</f>
        <v>E</v>
      </c>
      <c r="D306" s="1174" t="s">
        <v>1374</v>
      </c>
      <c r="E306" s="859" t="s">
        <v>208</v>
      </c>
      <c r="F306" s="1409"/>
      <c r="G306" s="1409"/>
      <c r="H306" s="1409"/>
      <c r="I306" s="857" t="str">
        <f t="shared" si="40"/>
        <v>Exclude PIM Classes Below</v>
      </c>
      <c r="J306" s="1409" t="str">
        <f t="shared" si="43"/>
        <v>F275</v>
      </c>
      <c r="K306" s="1409" t="str">
        <f t="shared" si="41"/>
        <v>PIM Model</v>
      </c>
      <c r="L306" s="898" t="s">
        <v>463</v>
      </c>
      <c r="M306" s="1409">
        <v>275</v>
      </c>
      <c r="N306" s="1409"/>
      <c r="O306" s="1408"/>
      <c r="P306" s="1408"/>
      <c r="Q306" s="1408"/>
      <c r="R306" s="1408"/>
      <c r="S306" s="1408"/>
      <c r="T306" s="1408"/>
      <c r="U306" s="1408"/>
      <c r="V306" s="1408"/>
      <c r="W306" s="1408"/>
      <c r="X306" s="1408"/>
      <c r="Y306" s="1408"/>
      <c r="Z306" s="1408"/>
      <c r="AA306" s="1408"/>
    </row>
    <row r="307" spans="1:27" x14ac:dyDescent="0.25">
      <c r="A307" s="933" t="s">
        <v>1294</v>
      </c>
      <c r="B307" s="857" t="str">
        <f ca="1">IF('Pricing Schedule'!$K$5="No",_xlfn.CONCAT(IFERROR(SUBSTITUTE(ADDRESS(1,MATCH(A307,INDIRECT("'"&amp;E307&amp;"'"&amp;"!A10:Z10"),0),4),1,""),""),11),_xlfn.CONCAT(IFERROR(SUBSTITUTE(ADDRESS(1,MATCH(A307,INDIRECT("'"&amp;E307&amp;"'"&amp;"!A10:Z10"),0),4),1,""),""),36))</f>
        <v>E11</v>
      </c>
      <c r="C307" s="857" t="str">
        <f ca="1">IF('Pricing Schedule'!$K$5="No",IFERROR(SUBSTITUTE(ADDRESS(1,MATCH(A307,INDIRECT("'"&amp;E307&amp;"'"&amp;"!A10:Z10"),0),4),1,""),""),IFERROR(SUBSTITUTE(ADDRESS(1,MATCH(A307,INDIRECT("'"&amp;E307&amp;"'"&amp;"!A10:Z10"),0),4),1,""),""))</f>
        <v>E</v>
      </c>
      <c r="D307" s="859" t="s">
        <v>1374</v>
      </c>
      <c r="E307" s="859" t="s">
        <v>1291</v>
      </c>
      <c r="F307" s="1409"/>
      <c r="G307" s="1409"/>
      <c r="H307" s="1409"/>
      <c r="I307" s="857" t="str">
        <f t="shared" si="40"/>
        <v>Special Pricing Code</v>
      </c>
      <c r="J307" s="1409" t="str">
        <f t="shared" si="43"/>
        <v>F276</v>
      </c>
      <c r="K307" s="1409" t="str">
        <f t="shared" si="41"/>
        <v>Pricing Schedule</v>
      </c>
      <c r="L307" s="898" t="s">
        <v>1294</v>
      </c>
      <c r="M307" s="1409">
        <v>276</v>
      </c>
      <c r="N307" s="1409"/>
      <c r="O307" s="1408"/>
      <c r="P307" s="1408"/>
      <c r="Q307" s="1408"/>
      <c r="R307" s="1408"/>
      <c r="S307" s="1408"/>
      <c r="T307" s="1408"/>
      <c r="U307" s="1408"/>
      <c r="V307" s="1408"/>
      <c r="W307" s="1408"/>
      <c r="X307" s="1408"/>
      <c r="Y307" s="1408"/>
      <c r="Z307" s="1408"/>
      <c r="AA307" s="1408"/>
    </row>
    <row r="308" spans="1:27" x14ac:dyDescent="0.25">
      <c r="A308" s="933" t="s">
        <v>1296</v>
      </c>
      <c r="B308" s="857" t="str">
        <f ca="1">IF('Pricing Schedule'!$K$5="No",_xlfn.CONCAT(IFERROR(SUBSTITUTE(ADDRESS(1,MATCH(A308,INDIRECT("'"&amp;E308&amp;"'"&amp;"!A10:Z10"),0),4),1,""),""),11),_xlfn.CONCAT(IFERROR(SUBSTITUTE(ADDRESS(1,MATCH(A308,INDIRECT("'"&amp;E308&amp;"'"&amp;"!A10:Z10"),0),4),1,""),""),36))</f>
        <v>G11</v>
      </c>
      <c r="C308" s="857" t="str">
        <f ca="1">IF('Pricing Schedule'!$K$5="No",IFERROR(SUBSTITUTE(ADDRESS(1,MATCH(A308,INDIRECT("'"&amp;E308&amp;"'"&amp;"!A10:Z10"),0),4),1,""),""),IFERROR(SUBSTITUTE(ADDRESS(1,MATCH(A308,INDIRECT("'"&amp;E308&amp;"'"&amp;"!A10:Z10"),0),4),1,""),""))</f>
        <v>G</v>
      </c>
      <c r="D308" s="859" t="s">
        <v>1374</v>
      </c>
      <c r="E308" s="859" t="s">
        <v>1291</v>
      </c>
      <c r="F308" s="1422"/>
      <c r="G308" s="1409"/>
      <c r="H308" s="1409"/>
      <c r="I308" s="857" t="str">
        <f t="shared" si="40"/>
        <v>EB Markup Amt</v>
      </c>
      <c r="J308" s="1409" t="str">
        <f t="shared" si="43"/>
        <v>F277</v>
      </c>
      <c r="K308" s="1409" t="str">
        <f t="shared" si="41"/>
        <v>Pricing Schedule</v>
      </c>
      <c r="L308" s="898" t="s">
        <v>1296</v>
      </c>
      <c r="M308" s="1409">
        <v>277</v>
      </c>
      <c r="N308" s="1409"/>
      <c r="O308" s="1408"/>
      <c r="P308" s="1408"/>
      <c r="Q308" s="1408"/>
      <c r="R308" s="1408"/>
      <c r="S308" s="1408"/>
      <c r="T308" s="1408"/>
      <c r="U308" s="1408"/>
      <c r="V308" s="1408"/>
      <c r="W308" s="1408"/>
      <c r="X308" s="1408"/>
      <c r="Y308" s="1408"/>
      <c r="Z308" s="1408"/>
      <c r="AA308" s="1408"/>
    </row>
    <row r="309" spans="1:27" x14ac:dyDescent="0.25">
      <c r="A309" s="933" t="s">
        <v>1297</v>
      </c>
      <c r="B309" s="857" t="str">
        <f ca="1">IF('Pricing Schedule'!$K$5="No",_xlfn.CONCAT(IFERROR(SUBSTITUTE(ADDRESS(1,MATCH(A309,INDIRECT("'"&amp;E309&amp;"'"&amp;"!A10:Z10"),0),4),1,""),""),11),_xlfn.CONCAT(IFERROR(SUBSTITUTE(ADDRESS(1,MATCH(A309,INDIRECT("'"&amp;E309&amp;"'"&amp;"!A10:Z10"),0),4),1,""),""),36))</f>
        <v>I11</v>
      </c>
      <c r="C309" s="857" t="str">
        <f ca="1">IF('Pricing Schedule'!$K$5="No",IFERROR(SUBSTITUTE(ADDRESS(1,MATCH(A309,INDIRECT("'"&amp;E309&amp;"'"&amp;"!A10:Z10"),0),4),1,""),""),IFERROR(SUBSTITUTE(ADDRESS(1,MATCH(A309,INDIRECT("'"&amp;E309&amp;"'"&amp;"!A10:Z10"),0),4),1,""),""))</f>
        <v>I</v>
      </c>
      <c r="D309" s="859" t="s">
        <v>1374</v>
      </c>
      <c r="E309" s="859" t="s">
        <v>1291</v>
      </c>
      <c r="F309" s="1422"/>
      <c r="G309" s="1409"/>
      <c r="H309" s="1409"/>
      <c r="I309" s="857" t="str">
        <f t="shared" si="40"/>
        <v>Min CS Markup Override Flag</v>
      </c>
      <c r="J309" s="1409" t="str">
        <f t="shared" si="43"/>
        <v>F278</v>
      </c>
      <c r="K309" s="1409" t="str">
        <f t="shared" si="41"/>
        <v>Pricing Schedule</v>
      </c>
      <c r="L309" s="898" t="s">
        <v>1297</v>
      </c>
      <c r="M309" s="1409">
        <v>278</v>
      </c>
      <c r="N309" s="1409"/>
      <c r="O309" s="1408"/>
      <c r="P309" s="1408"/>
      <c r="Q309" s="1408"/>
      <c r="R309" s="1408"/>
      <c r="S309" s="1408"/>
      <c r="T309" s="1408"/>
      <c r="U309" s="1408"/>
      <c r="V309" s="1408"/>
      <c r="W309" s="1408"/>
      <c r="X309" s="1408"/>
      <c r="Y309" s="1408"/>
      <c r="Z309" s="1408"/>
      <c r="AA309" s="1408"/>
    </row>
    <row r="310" spans="1:27" x14ac:dyDescent="0.25">
      <c r="A310" s="933" t="s">
        <v>1298</v>
      </c>
      <c r="B310" s="857" t="str">
        <f ca="1">IF('Pricing Schedule'!$K$5="No",_xlfn.CONCAT(IFERROR(SUBSTITUTE(ADDRESS(1,MATCH(A310,INDIRECT("'"&amp;E310&amp;"'"&amp;"!A10:Z10"),0),4),1,""),""),11),_xlfn.CONCAT(IFERROR(SUBSTITUTE(ADDRESS(1,MATCH(A310,INDIRECT("'"&amp;E310&amp;"'"&amp;"!A10:Z10"),0),4),1,""),""),36))</f>
        <v>J11</v>
      </c>
      <c r="C310" s="857" t="str">
        <f ca="1">IF('Pricing Schedule'!$K$5="No",IFERROR(SUBSTITUTE(ADDRESS(1,MATCH(A310,INDIRECT("'"&amp;E310&amp;"'"&amp;"!A10:Z10"),0),4),1,""),""),IFERROR(SUBSTITUTE(ADDRESS(1,MATCH(A310,INDIRECT("'"&amp;E310&amp;"'"&amp;"!A10:Z10"),0),4),1,""),""))</f>
        <v>J</v>
      </c>
      <c r="D310" s="859" t="s">
        <v>1374</v>
      </c>
      <c r="E310" s="859" t="s">
        <v>1291</v>
      </c>
      <c r="F310" s="1422"/>
      <c r="G310" s="1409"/>
      <c r="H310" s="1409"/>
      <c r="I310" s="857" t="str">
        <f t="shared" si="40"/>
        <v>Min CS Markup Amt</v>
      </c>
      <c r="J310" s="1409" t="str">
        <f t="shared" si="43"/>
        <v>F279</v>
      </c>
      <c r="K310" s="1409" t="str">
        <f t="shared" si="41"/>
        <v>Pricing Schedule</v>
      </c>
      <c r="L310" s="898" t="s">
        <v>1298</v>
      </c>
      <c r="M310" s="1409">
        <v>279</v>
      </c>
      <c r="N310" s="1409"/>
      <c r="O310" s="1408"/>
      <c r="P310" s="1408"/>
      <c r="Q310" s="1408"/>
      <c r="R310" s="1408"/>
      <c r="S310" s="1408"/>
      <c r="T310" s="1408"/>
      <c r="U310" s="1408"/>
      <c r="V310" s="1408"/>
      <c r="W310" s="1408"/>
      <c r="X310" s="1408"/>
      <c r="Y310" s="1408"/>
      <c r="Z310" s="1408"/>
      <c r="AA310" s="1408"/>
    </row>
    <row r="311" spans="1:27" x14ac:dyDescent="0.25">
      <c r="A311" s="933" t="s">
        <v>1299</v>
      </c>
      <c r="B311" s="857" t="str">
        <f ca="1">IF('Pricing Schedule'!$K$5="No",_xlfn.CONCAT(IFERROR(SUBSTITUTE(ADDRESS(1,MATCH(A311,INDIRECT("'"&amp;E311&amp;"'"&amp;"!A10:Z10"),0),4),1,""),""),11),_xlfn.CONCAT(IFERROR(SUBSTITUTE(ADDRESS(1,MATCH(A311,INDIRECT("'"&amp;E311&amp;"'"&amp;"!A10:Z10"),0),4),1,""),""),36))</f>
        <v>K11</v>
      </c>
      <c r="C311" s="857" t="str">
        <f ca="1">IF('Pricing Schedule'!$K$5="No",IFERROR(SUBSTITUTE(ADDRESS(1,MATCH(A311,INDIRECT("'"&amp;E311&amp;"'"&amp;"!A10:Z10"),0),4),1,""),""),IFERROR(SUBSTITUTE(ADDRESS(1,MATCH(A311,INDIRECT("'"&amp;E311&amp;"'"&amp;"!A10:Z10"),0),4),1,""),""))</f>
        <v>K</v>
      </c>
      <c r="D311" s="859" t="s">
        <v>1374</v>
      </c>
      <c r="E311" s="859" t="s">
        <v>1291</v>
      </c>
      <c r="F311" s="1422"/>
      <c r="G311" s="1409"/>
      <c r="H311" s="1409"/>
      <c r="I311" s="857" t="str">
        <f t="shared" si="40"/>
        <v>Split Case Fee Override Flag</v>
      </c>
      <c r="J311" s="1409" t="str">
        <f t="shared" si="43"/>
        <v>F280</v>
      </c>
      <c r="K311" s="1409" t="str">
        <f t="shared" si="41"/>
        <v>Pricing Schedule</v>
      </c>
      <c r="L311" s="898" t="s">
        <v>1299</v>
      </c>
      <c r="M311" s="1409">
        <v>280</v>
      </c>
      <c r="N311" s="1409"/>
      <c r="O311" s="1408"/>
      <c r="P311" s="1408"/>
      <c r="Q311" s="1408"/>
      <c r="R311" s="1408"/>
      <c r="S311" s="1408"/>
      <c r="T311" s="1408"/>
      <c r="U311" s="1408"/>
      <c r="V311" s="1408"/>
      <c r="W311" s="1408"/>
      <c r="X311" s="1408"/>
      <c r="Y311" s="1408"/>
      <c r="Z311" s="1408"/>
      <c r="AA311" s="1408"/>
    </row>
    <row r="312" spans="1:27" x14ac:dyDescent="0.25">
      <c r="A312" s="933" t="s">
        <v>1300</v>
      </c>
      <c r="B312" s="857" t="str">
        <f ca="1">IF('Pricing Schedule'!$K$5="No",_xlfn.CONCAT(IFERROR(SUBSTITUTE(ADDRESS(1,MATCH(A312,INDIRECT("'"&amp;E312&amp;"'"&amp;"!A10:Z10"),0),4),1,""),""),11),_xlfn.CONCAT(IFERROR(SUBSTITUTE(ADDRESS(1,MATCH(A312,INDIRECT("'"&amp;E312&amp;"'"&amp;"!A10:Z10"),0),4),1,""),""),36))</f>
        <v>L11</v>
      </c>
      <c r="C312" s="857" t="str">
        <f ca="1">IF('Pricing Schedule'!$K$5="No",IFERROR(SUBSTITUTE(ADDRESS(1,MATCH(A312,INDIRECT("'"&amp;E312&amp;"'"&amp;"!A10:Z10"),0),4),1,""),""),IFERROR(SUBSTITUTE(ADDRESS(1,MATCH(A312,INDIRECT("'"&amp;E312&amp;"'"&amp;"!A10:Z10"),0),4),1,""),""))</f>
        <v>L</v>
      </c>
      <c r="D312" s="859" t="s">
        <v>1374</v>
      </c>
      <c r="E312" s="859" t="s">
        <v>1291</v>
      </c>
      <c r="F312" s="1422"/>
      <c r="G312" s="1409"/>
      <c r="H312" s="1409"/>
      <c r="I312" s="857" t="str">
        <f t="shared" si="40"/>
        <v>Split Case Fee</v>
      </c>
      <c r="J312" s="1409" t="str">
        <f t="shared" si="43"/>
        <v>F281</v>
      </c>
      <c r="K312" s="1409" t="str">
        <f t="shared" si="41"/>
        <v>Pricing Schedule</v>
      </c>
      <c r="L312" s="898" t="s">
        <v>1300</v>
      </c>
      <c r="M312" s="1409">
        <v>281</v>
      </c>
      <c r="N312" s="1409"/>
      <c r="O312" s="1408"/>
      <c r="P312" s="1408"/>
      <c r="Q312" s="1408"/>
      <c r="R312" s="1408"/>
      <c r="S312" s="1408"/>
      <c r="T312" s="1408"/>
      <c r="U312" s="1408"/>
      <c r="V312" s="1408"/>
      <c r="W312" s="1408"/>
      <c r="X312" s="1408"/>
      <c r="Y312" s="1408"/>
      <c r="Z312" s="1408"/>
      <c r="AA312" s="1408"/>
    </row>
    <row r="313" spans="1:27" x14ac:dyDescent="0.25">
      <c r="A313" s="933" t="s">
        <v>1238</v>
      </c>
      <c r="B313" s="857" t="str">
        <f ca="1">IF('Pricing Schedule'!$K$5="No",_xlfn.CONCAT(IFERROR(SUBSTITUTE(ADDRESS(1,MATCH(A313,INDIRECT("'"&amp;E313&amp;"'"&amp;"!A10:Z10"),0),4),1,""),""),11),_xlfn.CONCAT(IFERROR(SUBSTITUTE(ADDRESS(1,MATCH(A313,INDIRECT("'"&amp;E313&amp;"'"&amp;"!A10:Z10"),0),4),1,""),""),36))</f>
        <v>M11</v>
      </c>
      <c r="C313" s="857" t="str">
        <f ca="1">IF('Pricing Schedule'!$K$5="No",IFERROR(SUBSTITUTE(ADDRESS(1,MATCH(A313,INDIRECT("'"&amp;E313&amp;"'"&amp;"!A10:Z10"),0),4),1,""),""),IFERROR(SUBSTITUTE(ADDRESS(1,MATCH(A313,INDIRECT("'"&amp;E313&amp;"'"&amp;"!A10:Z10"),0),4),1,""),""))</f>
        <v>M</v>
      </c>
      <c r="D313" s="859" t="s">
        <v>1374</v>
      </c>
      <c r="E313" s="859" t="s">
        <v>1291</v>
      </c>
      <c r="F313" s="1422"/>
      <c r="G313" s="1409"/>
      <c r="H313" s="1409"/>
      <c r="I313" s="857" t="str">
        <f t="shared" si="40"/>
        <v>Split Case Per</v>
      </c>
      <c r="J313" s="1409" t="str">
        <f t="shared" si="43"/>
        <v>F282</v>
      </c>
      <c r="K313" s="1409" t="str">
        <f t="shared" si="41"/>
        <v>Pricing Schedule</v>
      </c>
      <c r="L313" s="898" t="s">
        <v>1238</v>
      </c>
      <c r="M313" s="1409">
        <v>282</v>
      </c>
      <c r="N313" s="1409"/>
      <c r="O313" s="1408"/>
      <c r="P313" s="1408"/>
      <c r="Q313" s="1408"/>
      <c r="R313" s="1408"/>
      <c r="S313" s="1408"/>
      <c r="T313" s="1408"/>
      <c r="U313" s="1408"/>
      <c r="V313" s="1408"/>
      <c r="W313" s="1408"/>
      <c r="X313" s="1408"/>
      <c r="Y313" s="1408"/>
      <c r="Z313" s="1408"/>
      <c r="AA313" s="1408"/>
    </row>
    <row r="314" spans="1:27" x14ac:dyDescent="0.25">
      <c r="A314" s="928" t="s">
        <v>1301</v>
      </c>
      <c r="B314" s="857" t="str">
        <f ca="1">IF('Pricing Schedule'!$K$5="No",_xlfn.CONCAT(IFERROR(SUBSTITUTE(ADDRESS(1,MATCH(A314,INDIRECT("'"&amp;E314&amp;"'"&amp;"!A10:Z10"),0),4),1,""),""),12),_xlfn.CONCAT(IFERROR(SUBSTITUTE(ADDRESS(1,MATCH(A314,INDIRECT("'"&amp;E314&amp;"'"&amp;"!A10:Z10"),0),4),1,""),""),46))</f>
        <v>N12</v>
      </c>
      <c r="C314" s="857" t="str">
        <f ca="1">IF('Pricing Schedule'!$K$5="No",IFERROR(SUBSTITUTE(ADDRESS(1,MATCH(A314,INDIRECT("'"&amp;E314&amp;"'"&amp;"!A10:Z10"),0),4),1,""),""),IFERROR(SUBSTITUTE(ADDRESS(1,MATCH(A314,INDIRECT("'"&amp;E314&amp;"'"&amp;"!A10:Z10"),0),4),1,""),""))</f>
        <v>N</v>
      </c>
      <c r="D314" s="859" t="s">
        <v>1374</v>
      </c>
      <c r="E314" s="859" t="s">
        <v>1291</v>
      </c>
      <c r="F314" s="1409"/>
      <c r="G314" s="1409"/>
      <c r="H314" s="1409"/>
      <c r="I314" s="857" t="str">
        <f t="shared" si="40"/>
        <v/>
      </c>
      <c r="J314" s="1409"/>
      <c r="K314" s="1409" t="str">
        <f t="shared" si="41"/>
        <v/>
      </c>
      <c r="L314" s="898" t="s">
        <v>1301</v>
      </c>
      <c r="M314" s="1409">
        <v>283</v>
      </c>
      <c r="N314" s="1409"/>
      <c r="O314" s="1408"/>
      <c r="P314" s="1408"/>
      <c r="Q314" s="1408"/>
      <c r="R314" s="1408"/>
      <c r="S314" s="1408"/>
      <c r="T314" s="1408"/>
      <c r="U314" s="1408"/>
      <c r="V314" s="1408"/>
      <c r="W314" s="1408"/>
      <c r="X314" s="1408"/>
      <c r="Y314" s="1408"/>
      <c r="Z314" s="1408"/>
      <c r="AA314" s="1408"/>
    </row>
    <row r="315" spans="1:27" x14ac:dyDescent="0.25">
      <c r="A315" s="929" t="s">
        <v>1292</v>
      </c>
      <c r="B315" s="857" t="str">
        <f ca="1">IF('Pricing Schedule'!$K$5="No",_xlfn.CONCAT(IFERROR(SUBSTITUTE(ADDRESS(1,MATCH(A315,INDIRECT("'"&amp;E315&amp;"'"&amp;"!A10:Z10"),0),4),1,""),""),12),_xlfn.CONCAT(IFERROR(SUBSTITUTE(ADDRESS(1,MATCH(A315,INDIRECT("'"&amp;E315&amp;"'"&amp;"!A10:Z10"),0),4),1,""),""),46))</f>
        <v>C12</v>
      </c>
      <c r="C315" s="857" t="str">
        <f ca="1">IF('Pricing Schedule'!$K$5="No",IFERROR(SUBSTITUTE(ADDRESS(1,MATCH(A315,INDIRECT("'"&amp;E315&amp;"'"&amp;"!A10:Z10"),0),4),1,""),""),IFERROR(SUBSTITUTE(ADDRESS(1,MATCH(A315,INDIRECT("'"&amp;E315&amp;"'"&amp;"!A10:Z10"),0),4),1,""),""))</f>
        <v>C</v>
      </c>
      <c r="D315" s="859" t="s">
        <v>1374</v>
      </c>
      <c r="E315" s="859" t="s">
        <v>1291</v>
      </c>
      <c r="F315" s="1409"/>
      <c r="G315" s="1409"/>
      <c r="H315" s="1409"/>
      <c r="I315" s="857" t="str">
        <f t="shared" si="40"/>
        <v/>
      </c>
      <c r="J315" s="1409"/>
      <c r="K315" s="1409" t="str">
        <f t="shared" si="41"/>
        <v/>
      </c>
      <c r="L315" s="898" t="s">
        <v>252</v>
      </c>
      <c r="M315" s="1409">
        <v>284</v>
      </c>
      <c r="N315" s="1409"/>
      <c r="O315" s="1408"/>
      <c r="P315" s="1408"/>
      <c r="Q315" s="1408"/>
      <c r="R315" s="1408"/>
      <c r="S315" s="1408"/>
      <c r="T315" s="1408"/>
      <c r="U315" s="1408"/>
      <c r="V315" s="1408"/>
      <c r="W315" s="1408"/>
      <c r="X315" s="1408"/>
      <c r="Y315" s="1408"/>
      <c r="Z315" s="1408"/>
      <c r="AA315" s="1408"/>
    </row>
    <row r="316" spans="1:27" x14ac:dyDescent="0.25">
      <c r="A316" s="929" t="s">
        <v>1257</v>
      </c>
      <c r="B316" s="857" t="str">
        <f ca="1">IF('Pricing Schedule'!$K$5="No",_xlfn.CONCAT(IFERROR(SUBSTITUTE(ADDRESS(1,MATCH(A316,INDIRECT("'"&amp;E316&amp;"'"&amp;"!A10:Z10"),0),4),1,""),""),12),_xlfn.CONCAT(IFERROR(SUBSTITUTE(ADDRESS(1,MATCH(A316,INDIRECT("'"&amp;E316&amp;"'"&amp;"!A10:Z10"),0),4),1,""),""),46))</f>
        <v>H12</v>
      </c>
      <c r="C316" s="857" t="str">
        <f ca="1">IF('Pricing Schedule'!$K$5="No",IFERROR(SUBSTITUTE(ADDRESS(1,MATCH(A316,INDIRECT("'"&amp;E316&amp;"'"&amp;"!A10:Z10"),0),4),1,""),""),IFERROR(SUBSTITUTE(ADDRESS(1,MATCH(A316,INDIRECT("'"&amp;E316&amp;"'"&amp;"!A10:Z10"),0),4),1,""),""))</f>
        <v>H</v>
      </c>
      <c r="D316" s="859" t="s">
        <v>1374</v>
      </c>
      <c r="E316" s="859" t="s">
        <v>1291</v>
      </c>
      <c r="F316" s="1409"/>
      <c r="G316" s="1409"/>
      <c r="H316" s="1409"/>
      <c r="I316" s="857" t="str">
        <f t="shared" si="40"/>
        <v/>
      </c>
      <c r="J316" s="1409"/>
      <c r="K316" s="1409" t="str">
        <f t="shared" si="41"/>
        <v/>
      </c>
      <c r="L316" s="898" t="s">
        <v>1257</v>
      </c>
      <c r="M316" s="1409">
        <v>285</v>
      </c>
      <c r="N316" s="1409"/>
      <c r="O316" s="1408"/>
      <c r="P316" s="1408"/>
      <c r="Q316" s="1408"/>
      <c r="R316" s="1408"/>
      <c r="S316" s="1408"/>
      <c r="T316" s="1408"/>
      <c r="U316" s="1408"/>
      <c r="V316" s="1408"/>
      <c r="W316" s="1408"/>
      <c r="X316" s="1408"/>
      <c r="Y316" s="1408"/>
      <c r="Z316" s="1408"/>
      <c r="AA316" s="1408"/>
    </row>
    <row r="317" spans="1:27" x14ac:dyDescent="0.25">
      <c r="A317" s="929" t="s">
        <v>1295</v>
      </c>
      <c r="B317" s="857" t="str">
        <f ca="1">IF('Pricing Schedule'!$K$5="No",_xlfn.CONCAT(IFERROR(SUBSTITUTE(ADDRESS(1,MATCH(A317,INDIRECT("'"&amp;E317&amp;"'"&amp;"!A10:Z10"),0),4),1,""),""),12),_xlfn.CONCAT(IFERROR(SUBSTITUTE(ADDRESS(1,MATCH(A317,INDIRECT("'"&amp;E317&amp;"'"&amp;"!A10:Z10"),0),4),1,""),""),46))</f>
        <v>F12</v>
      </c>
      <c r="C317" s="857" t="str">
        <f ca="1">IF('Pricing Schedule'!$K$5="No",IFERROR(SUBSTITUTE(ADDRESS(1,MATCH(A317,INDIRECT("'"&amp;E317&amp;"'"&amp;"!A10:Z10"),0),4),1,""),""),IFERROR(SUBSTITUTE(ADDRESS(1,MATCH(A317,INDIRECT("'"&amp;E317&amp;"'"&amp;"!A10:Z10"),0),4),1,""),""))</f>
        <v>F</v>
      </c>
      <c r="D317" s="859" t="s">
        <v>1374</v>
      </c>
      <c r="E317" s="859" t="s">
        <v>1291</v>
      </c>
      <c r="F317" s="1409"/>
      <c r="G317" s="1409"/>
      <c r="H317" s="1409"/>
      <c r="I317" s="857" t="str">
        <f t="shared" si="40"/>
        <v/>
      </c>
      <c r="J317" s="1409"/>
      <c r="K317" s="1409" t="str">
        <f t="shared" si="41"/>
        <v/>
      </c>
      <c r="L317" s="898" t="s">
        <v>225</v>
      </c>
      <c r="M317" s="1409">
        <v>286</v>
      </c>
      <c r="N317" s="1409"/>
      <c r="O317" s="1408"/>
      <c r="P317" s="1408"/>
      <c r="Q317" s="1408"/>
      <c r="R317" s="1408"/>
      <c r="S317" s="1408"/>
      <c r="T317" s="1408"/>
      <c r="U317" s="1408"/>
      <c r="V317" s="1408"/>
      <c r="W317" s="1408"/>
      <c r="X317" s="1408"/>
      <c r="Y317" s="1408"/>
      <c r="Z317" s="1408"/>
      <c r="AA317" s="1408"/>
    </row>
    <row r="318" spans="1:27" x14ac:dyDescent="0.25">
      <c r="A318" s="930" t="s">
        <v>463</v>
      </c>
      <c r="B318" s="857" t="str">
        <f ca="1">_xlfn.CONCAT(IFERROR(SUBSTITUTE(ADDRESS(1,MATCH(A318,INDIRECT("'"&amp;E318&amp;"'"&amp;"!A9:Z9"),0),4),1,""),""),13)</f>
        <v>E13</v>
      </c>
      <c r="C318" s="857" t="str">
        <f ca="1">_xlfn.CONCAT(IFERROR(SUBSTITUTE(ADDRESS(1,MATCH(A318,INDIRECT("'"&amp;E318&amp;"'"&amp;"!A9:Z9"),0),4),1,""),""))</f>
        <v>E</v>
      </c>
      <c r="D318" s="1174" t="s">
        <v>1374</v>
      </c>
      <c r="E318" s="859" t="s">
        <v>208</v>
      </c>
      <c r="F318" s="1409"/>
      <c r="G318" s="1409"/>
      <c r="H318" s="1409"/>
      <c r="I318" s="857" t="str">
        <f t="shared" si="40"/>
        <v>Exclude PIM Classes Below</v>
      </c>
      <c r="J318" s="1409" t="str">
        <f t="shared" si="43"/>
        <v>F287</v>
      </c>
      <c r="K318" s="1409" t="str">
        <f t="shared" si="41"/>
        <v>PIM Model</v>
      </c>
      <c r="L318" s="898" t="s">
        <v>463</v>
      </c>
      <c r="M318" s="1409">
        <v>287</v>
      </c>
      <c r="N318" s="1409"/>
      <c r="O318" s="1408"/>
      <c r="P318" s="1408"/>
      <c r="Q318" s="1408"/>
      <c r="R318" s="1408"/>
      <c r="S318" s="1408"/>
      <c r="T318" s="1408"/>
      <c r="U318" s="1408"/>
      <c r="V318" s="1408"/>
      <c r="W318" s="1408"/>
      <c r="X318" s="1408"/>
      <c r="Y318" s="1408"/>
      <c r="Z318" s="1408"/>
      <c r="AA318" s="1408"/>
    </row>
    <row r="319" spans="1:27" x14ac:dyDescent="0.25">
      <c r="A319" s="930" t="s">
        <v>1294</v>
      </c>
      <c r="B319" s="857" t="str">
        <f ca="1">IF('Pricing Schedule'!$K$5="No",_xlfn.CONCAT(IFERROR(SUBSTITUTE(ADDRESS(1,MATCH(A319,INDIRECT("'"&amp;E319&amp;"'"&amp;"!A10:Z10"),0),4),1,""),""),12),_xlfn.CONCAT(IFERROR(SUBSTITUTE(ADDRESS(1,MATCH(A319,INDIRECT("'"&amp;E319&amp;"'"&amp;"!A10:Z10"),0),4),1,""),""),46))</f>
        <v>E12</v>
      </c>
      <c r="C319" s="857" t="str">
        <f ca="1">IF('Pricing Schedule'!$K$5="No",IFERROR(SUBSTITUTE(ADDRESS(1,MATCH(A319,INDIRECT("'"&amp;E319&amp;"'"&amp;"!A10:Z10"),0),4),1,""),""),IFERROR(SUBSTITUTE(ADDRESS(1,MATCH(A319,INDIRECT("'"&amp;E319&amp;"'"&amp;"!A10:Z10"),0),4),1,""),""))</f>
        <v>E</v>
      </c>
      <c r="D319" s="859" t="s">
        <v>1374</v>
      </c>
      <c r="E319" s="859" t="s">
        <v>1291</v>
      </c>
      <c r="F319" s="1409"/>
      <c r="G319" s="1409"/>
      <c r="H319" s="1409"/>
      <c r="I319" s="857" t="str">
        <f t="shared" si="40"/>
        <v>Special Pricing Code</v>
      </c>
      <c r="J319" s="1409" t="str">
        <f t="shared" si="43"/>
        <v>F288</v>
      </c>
      <c r="K319" s="1409" t="str">
        <f t="shared" si="41"/>
        <v>Pricing Schedule</v>
      </c>
      <c r="L319" s="898" t="s">
        <v>1294</v>
      </c>
      <c r="M319" s="1409">
        <v>288</v>
      </c>
      <c r="N319" s="1409"/>
      <c r="O319" s="1408"/>
      <c r="P319" s="1408"/>
      <c r="Q319" s="1408"/>
      <c r="R319" s="1408"/>
      <c r="S319" s="1408"/>
      <c r="T319" s="1408"/>
      <c r="U319" s="1408"/>
      <c r="V319" s="1408"/>
      <c r="W319" s="1408"/>
      <c r="X319" s="1408"/>
      <c r="Y319" s="1408"/>
      <c r="Z319" s="1408"/>
      <c r="AA319" s="1408"/>
    </row>
    <row r="320" spans="1:27" x14ac:dyDescent="0.25">
      <c r="A320" s="930" t="s">
        <v>1296</v>
      </c>
      <c r="B320" s="857" t="str">
        <f ca="1">IF('Pricing Schedule'!$K$5="No",_xlfn.CONCAT(IFERROR(SUBSTITUTE(ADDRESS(1,MATCH(A320,INDIRECT("'"&amp;E320&amp;"'"&amp;"!A10:Z10"),0),4),1,""),""),12),_xlfn.CONCAT(IFERROR(SUBSTITUTE(ADDRESS(1,MATCH(A320,INDIRECT("'"&amp;E320&amp;"'"&amp;"!A10:Z10"),0),4),1,""),""),46))</f>
        <v>G12</v>
      </c>
      <c r="C320" s="857" t="str">
        <f ca="1">IF('Pricing Schedule'!$K$5="No",IFERROR(SUBSTITUTE(ADDRESS(1,MATCH(A320,INDIRECT("'"&amp;E320&amp;"'"&amp;"!A10:Z10"),0),4),1,""),""),IFERROR(SUBSTITUTE(ADDRESS(1,MATCH(A320,INDIRECT("'"&amp;E320&amp;"'"&amp;"!A10:Z10"),0),4),1,""),""))</f>
        <v>G</v>
      </c>
      <c r="D320" s="859" t="s">
        <v>1374</v>
      </c>
      <c r="E320" s="859" t="s">
        <v>1291</v>
      </c>
      <c r="F320" s="1422"/>
      <c r="G320" s="1409"/>
      <c r="H320" s="1409"/>
      <c r="I320" s="857" t="str">
        <f t="shared" si="40"/>
        <v>EB Markup Amt</v>
      </c>
      <c r="J320" s="1409" t="str">
        <f t="shared" si="43"/>
        <v>F289</v>
      </c>
      <c r="K320" s="1409" t="str">
        <f t="shared" si="41"/>
        <v>Pricing Schedule</v>
      </c>
      <c r="L320" s="898" t="s">
        <v>1296</v>
      </c>
      <c r="M320" s="1409">
        <v>289</v>
      </c>
      <c r="N320" s="1409"/>
      <c r="O320" s="1408"/>
      <c r="P320" s="1408"/>
      <c r="Q320" s="1408"/>
      <c r="R320" s="1408"/>
      <c r="S320" s="1408"/>
      <c r="T320" s="1408"/>
      <c r="U320" s="1408"/>
      <c r="V320" s="1408"/>
      <c r="W320" s="1408"/>
      <c r="X320" s="1408"/>
      <c r="Y320" s="1408"/>
      <c r="Z320" s="1408"/>
      <c r="AA320" s="1408"/>
    </row>
    <row r="321" spans="1:27" x14ac:dyDescent="0.25">
      <c r="A321" s="930" t="s">
        <v>1297</v>
      </c>
      <c r="B321" s="857" t="str">
        <f ca="1">IF('Pricing Schedule'!$K$5="No",_xlfn.CONCAT(IFERROR(SUBSTITUTE(ADDRESS(1,MATCH(A321,INDIRECT("'"&amp;E321&amp;"'"&amp;"!A10:Z10"),0),4),1,""),""),12),_xlfn.CONCAT(IFERROR(SUBSTITUTE(ADDRESS(1,MATCH(A321,INDIRECT("'"&amp;E321&amp;"'"&amp;"!A10:Z10"),0),4),1,""),""),46))</f>
        <v>I12</v>
      </c>
      <c r="C321" s="857" t="str">
        <f ca="1">IF('Pricing Schedule'!$K$5="No",IFERROR(SUBSTITUTE(ADDRESS(1,MATCH(A321,INDIRECT("'"&amp;E321&amp;"'"&amp;"!A10:Z10"),0),4),1,""),""),IFERROR(SUBSTITUTE(ADDRESS(1,MATCH(A321,INDIRECT("'"&amp;E321&amp;"'"&amp;"!A10:Z10"),0),4),1,""),""))</f>
        <v>I</v>
      </c>
      <c r="D321" s="859" t="s">
        <v>1374</v>
      </c>
      <c r="E321" s="859" t="s">
        <v>1291</v>
      </c>
      <c r="F321" s="1422"/>
      <c r="G321" s="1409"/>
      <c r="H321" s="1409"/>
      <c r="I321" s="857" t="str">
        <f t="shared" si="40"/>
        <v>Min CS Markup Override Flag</v>
      </c>
      <c r="J321" s="1409" t="str">
        <f t="shared" si="43"/>
        <v>F290</v>
      </c>
      <c r="K321" s="1409" t="str">
        <f t="shared" si="41"/>
        <v>Pricing Schedule</v>
      </c>
      <c r="L321" s="898" t="s">
        <v>1297</v>
      </c>
      <c r="M321" s="1409">
        <v>290</v>
      </c>
      <c r="N321" s="1409"/>
      <c r="O321" s="1408"/>
      <c r="P321" s="1408"/>
      <c r="Q321" s="1408"/>
      <c r="R321" s="1408"/>
      <c r="S321" s="1408"/>
      <c r="T321" s="1408"/>
      <c r="U321" s="1408"/>
      <c r="V321" s="1408"/>
      <c r="W321" s="1408"/>
      <c r="X321" s="1408"/>
      <c r="Y321" s="1408"/>
      <c r="Z321" s="1408"/>
      <c r="AA321" s="1408"/>
    </row>
    <row r="322" spans="1:27" x14ac:dyDescent="0.25">
      <c r="A322" s="930" t="s">
        <v>1298</v>
      </c>
      <c r="B322" s="857" t="str">
        <f ca="1">IF('Pricing Schedule'!$K$5="No",_xlfn.CONCAT(IFERROR(SUBSTITUTE(ADDRESS(1,MATCH(A322,INDIRECT("'"&amp;E322&amp;"'"&amp;"!A10:Z10"),0),4),1,""),""),12),_xlfn.CONCAT(IFERROR(SUBSTITUTE(ADDRESS(1,MATCH(A322,INDIRECT("'"&amp;E322&amp;"'"&amp;"!A10:Z10"),0),4),1,""),""),46))</f>
        <v>J12</v>
      </c>
      <c r="C322" s="857" t="str">
        <f ca="1">IF('Pricing Schedule'!$K$5="No",IFERROR(SUBSTITUTE(ADDRESS(1,MATCH(A322,INDIRECT("'"&amp;E322&amp;"'"&amp;"!A10:Z10"),0),4),1,""),""),IFERROR(SUBSTITUTE(ADDRESS(1,MATCH(A322,INDIRECT("'"&amp;E322&amp;"'"&amp;"!A10:Z10"),0),4),1,""),""))</f>
        <v>J</v>
      </c>
      <c r="D322" s="859" t="s">
        <v>1374</v>
      </c>
      <c r="E322" s="859" t="s">
        <v>1291</v>
      </c>
      <c r="F322" s="1422"/>
      <c r="G322" s="1409"/>
      <c r="H322" s="1409"/>
      <c r="I322" s="857" t="str">
        <f t="shared" si="40"/>
        <v>Min CS Markup Amt</v>
      </c>
      <c r="J322" s="1409" t="str">
        <f t="shared" si="43"/>
        <v>F291</v>
      </c>
      <c r="K322" s="1409" t="str">
        <f t="shared" si="41"/>
        <v>Pricing Schedule</v>
      </c>
      <c r="L322" s="898" t="s">
        <v>1298</v>
      </c>
      <c r="M322" s="1409">
        <v>291</v>
      </c>
      <c r="N322" s="1409"/>
      <c r="O322" s="1408"/>
      <c r="P322" s="1408"/>
      <c r="Q322" s="1408"/>
      <c r="R322" s="1408"/>
      <c r="S322" s="1408"/>
      <c r="T322" s="1408"/>
      <c r="U322" s="1408"/>
      <c r="V322" s="1408"/>
      <c r="W322" s="1408"/>
      <c r="X322" s="1408"/>
      <c r="Y322" s="1408"/>
      <c r="Z322" s="1408"/>
      <c r="AA322" s="1408"/>
    </row>
    <row r="323" spans="1:27" x14ac:dyDescent="0.25">
      <c r="A323" s="930" t="s">
        <v>1299</v>
      </c>
      <c r="B323" s="857" t="str">
        <f ca="1">IF('Pricing Schedule'!$K$5="No",_xlfn.CONCAT(IFERROR(SUBSTITUTE(ADDRESS(1,MATCH(A323,INDIRECT("'"&amp;E323&amp;"'"&amp;"!A10:Z10"),0),4),1,""),""),12),_xlfn.CONCAT(IFERROR(SUBSTITUTE(ADDRESS(1,MATCH(A323,INDIRECT("'"&amp;E323&amp;"'"&amp;"!A10:Z10"),0),4),1,""),""),46))</f>
        <v>K12</v>
      </c>
      <c r="C323" s="857" t="str">
        <f ca="1">IF('Pricing Schedule'!$K$5="No",IFERROR(SUBSTITUTE(ADDRESS(1,MATCH(A323,INDIRECT("'"&amp;E323&amp;"'"&amp;"!A10:Z10"),0),4),1,""),""),IFERROR(SUBSTITUTE(ADDRESS(1,MATCH(A323,INDIRECT("'"&amp;E323&amp;"'"&amp;"!A10:Z10"),0),4),1,""),""))</f>
        <v>K</v>
      </c>
      <c r="D323" s="859" t="s">
        <v>1374</v>
      </c>
      <c r="E323" s="859" t="s">
        <v>1291</v>
      </c>
      <c r="F323" s="1422"/>
      <c r="G323" s="1409"/>
      <c r="H323" s="1409"/>
      <c r="I323" s="857" t="str">
        <f t="shared" si="40"/>
        <v>Split Case Fee Override Flag</v>
      </c>
      <c r="J323" s="1409" t="str">
        <f t="shared" si="43"/>
        <v>F292</v>
      </c>
      <c r="K323" s="1409" t="str">
        <f t="shared" si="41"/>
        <v>Pricing Schedule</v>
      </c>
      <c r="L323" s="898" t="s">
        <v>1299</v>
      </c>
      <c r="M323" s="1409">
        <v>292</v>
      </c>
      <c r="N323" s="1409"/>
      <c r="O323" s="1408"/>
      <c r="P323" s="1408"/>
      <c r="Q323" s="1408"/>
      <c r="R323" s="1408"/>
      <c r="S323" s="1408"/>
      <c r="T323" s="1408"/>
      <c r="U323" s="1408"/>
      <c r="V323" s="1408"/>
      <c r="W323" s="1408"/>
      <c r="X323" s="1408"/>
      <c r="Y323" s="1408"/>
      <c r="Z323" s="1408"/>
      <c r="AA323" s="1408"/>
    </row>
    <row r="324" spans="1:27" x14ac:dyDescent="0.25">
      <c r="A324" s="930" t="s">
        <v>1300</v>
      </c>
      <c r="B324" s="857" t="str">
        <f ca="1">IF('Pricing Schedule'!$K$5="No",_xlfn.CONCAT(IFERROR(SUBSTITUTE(ADDRESS(1,MATCH(A324,INDIRECT("'"&amp;E324&amp;"'"&amp;"!A10:Z10"),0),4),1,""),""),12),_xlfn.CONCAT(IFERROR(SUBSTITUTE(ADDRESS(1,MATCH(A324,INDIRECT("'"&amp;E324&amp;"'"&amp;"!A10:Z10"),0),4),1,""),""),46))</f>
        <v>L12</v>
      </c>
      <c r="C324" s="857" t="str">
        <f ca="1">IF('Pricing Schedule'!$K$5="No",IFERROR(SUBSTITUTE(ADDRESS(1,MATCH(A324,INDIRECT("'"&amp;E324&amp;"'"&amp;"!A10:Z10"),0),4),1,""),""),IFERROR(SUBSTITUTE(ADDRESS(1,MATCH(A324,INDIRECT("'"&amp;E324&amp;"'"&amp;"!A10:Z10"),0),4),1,""),""))</f>
        <v>L</v>
      </c>
      <c r="D324" s="859" t="s">
        <v>1374</v>
      </c>
      <c r="E324" s="859" t="s">
        <v>1291</v>
      </c>
      <c r="F324" s="1422"/>
      <c r="G324" s="1409"/>
      <c r="H324" s="1409"/>
      <c r="I324" s="857" t="str">
        <f t="shared" ref="I324:I387" si="44">IF(J324&lt;&gt;"",A324,"")</f>
        <v>Split Case Fee</v>
      </c>
      <c r="J324" s="1409" t="str">
        <f t="shared" si="43"/>
        <v>F293</v>
      </c>
      <c r="K324" s="1409" t="str">
        <f t="shared" ref="K324:K387" si="45">IF(J324&lt;&gt;"",E324,"")</f>
        <v>Pricing Schedule</v>
      </c>
      <c r="L324" s="898" t="s">
        <v>1300</v>
      </c>
      <c r="M324" s="1409">
        <v>293</v>
      </c>
      <c r="N324" s="1409"/>
      <c r="O324" s="1408"/>
      <c r="P324" s="1408"/>
      <c r="Q324" s="1408"/>
      <c r="R324" s="1408"/>
      <c r="S324" s="1408"/>
      <c r="T324" s="1408"/>
      <c r="U324" s="1408"/>
      <c r="V324" s="1408"/>
      <c r="W324" s="1408"/>
      <c r="X324" s="1408"/>
      <c r="Y324" s="1408"/>
      <c r="Z324" s="1408"/>
      <c r="AA324" s="1408"/>
    </row>
    <row r="325" spans="1:27" x14ac:dyDescent="0.25">
      <c r="A325" s="930" t="s">
        <v>1238</v>
      </c>
      <c r="B325" s="857" t="str">
        <f ca="1">IF('Pricing Schedule'!$K$5="No",_xlfn.CONCAT(IFERROR(SUBSTITUTE(ADDRESS(1,MATCH(A325,INDIRECT("'"&amp;E325&amp;"'"&amp;"!A10:Z10"),0),4),1,""),""),12),_xlfn.CONCAT(IFERROR(SUBSTITUTE(ADDRESS(1,MATCH(A325,INDIRECT("'"&amp;E325&amp;"'"&amp;"!A10:Z10"),0),4),1,""),""),46))</f>
        <v>M12</v>
      </c>
      <c r="C325" s="857" t="str">
        <f ca="1">IF('Pricing Schedule'!$K$5="No",IFERROR(SUBSTITUTE(ADDRESS(1,MATCH(A325,INDIRECT("'"&amp;E325&amp;"'"&amp;"!A10:Z10"),0),4),1,""),""),IFERROR(SUBSTITUTE(ADDRESS(1,MATCH(A325,INDIRECT("'"&amp;E325&amp;"'"&amp;"!A10:Z10"),0),4),1,""),""))</f>
        <v>M</v>
      </c>
      <c r="D325" s="859" t="s">
        <v>1374</v>
      </c>
      <c r="E325" s="859" t="s">
        <v>1291</v>
      </c>
      <c r="F325" s="1422"/>
      <c r="G325" s="1409"/>
      <c r="H325" s="1409"/>
      <c r="I325" s="857" t="str">
        <f t="shared" si="44"/>
        <v>Split Case Per</v>
      </c>
      <c r="J325" s="1409" t="str">
        <f t="shared" si="43"/>
        <v>F294</v>
      </c>
      <c r="K325" s="1409" t="str">
        <f t="shared" si="45"/>
        <v>Pricing Schedule</v>
      </c>
      <c r="L325" s="898" t="s">
        <v>1238</v>
      </c>
      <c r="M325" s="1409">
        <v>294</v>
      </c>
      <c r="N325" s="1409"/>
      <c r="O325" s="1408"/>
      <c r="P325" s="1408"/>
      <c r="Q325" s="1408"/>
      <c r="R325" s="1408"/>
      <c r="S325" s="1408"/>
      <c r="T325" s="1408"/>
      <c r="U325" s="1408"/>
      <c r="V325" s="1408"/>
      <c r="W325" s="1408"/>
      <c r="X325" s="1408"/>
      <c r="Y325" s="1408"/>
      <c r="Z325" s="1408"/>
      <c r="AA325" s="1408"/>
    </row>
    <row r="326" spans="1:27" x14ac:dyDescent="0.25">
      <c r="A326" s="925" t="s">
        <v>1301</v>
      </c>
      <c r="B326" s="857" t="str">
        <f ca="1">IF('Pricing Schedule'!$K$5="No",_xlfn.CONCAT(IFERROR(SUBSTITUTE(ADDRESS(1,MATCH(A326,INDIRECT("'"&amp;E326&amp;"'"&amp;"!A10:Z10"),0),4),1,""),""),14),_xlfn.CONCAT(IFERROR(SUBSTITUTE(ADDRESS(1,MATCH(A326,INDIRECT("'"&amp;E326&amp;"'"&amp;"!A10:Z10"),0),4),1,""),""),48))</f>
        <v>N14</v>
      </c>
      <c r="C326" s="857" t="str">
        <f ca="1">IF('Pricing Schedule'!$K$5="No",IFERROR(SUBSTITUTE(ADDRESS(1,MATCH(A326,INDIRECT("'"&amp;E326&amp;"'"&amp;"!A10:Z10"),0),4),1,""),""),IFERROR(SUBSTITUTE(ADDRESS(1,MATCH(A326,INDIRECT("'"&amp;E326&amp;"'"&amp;"!A10:Z10"),0),4),1,""),""))</f>
        <v>N</v>
      </c>
      <c r="D326" s="859" t="s">
        <v>1374</v>
      </c>
      <c r="E326" s="859" t="s">
        <v>1291</v>
      </c>
      <c r="F326" s="1409"/>
      <c r="G326" s="1409"/>
      <c r="H326" s="1409"/>
      <c r="I326" s="857" t="str">
        <f t="shared" si="44"/>
        <v/>
      </c>
      <c r="J326" s="1409"/>
      <c r="K326" s="1409" t="str">
        <f t="shared" si="45"/>
        <v/>
      </c>
      <c r="L326" s="898" t="s">
        <v>1301</v>
      </c>
      <c r="M326" s="1409">
        <v>295</v>
      </c>
      <c r="N326" s="1409"/>
      <c r="O326" s="1408"/>
      <c r="P326" s="1408"/>
      <c r="Q326" s="1408"/>
      <c r="R326" s="1408"/>
      <c r="S326" s="1408"/>
      <c r="T326" s="1408"/>
      <c r="U326" s="1408"/>
      <c r="V326" s="1408"/>
      <c r="W326" s="1408"/>
      <c r="X326" s="1408"/>
      <c r="Y326" s="1408"/>
      <c r="Z326" s="1408"/>
      <c r="AA326" s="1408"/>
    </row>
    <row r="327" spans="1:27" x14ac:dyDescent="0.25">
      <c r="A327" s="926" t="s">
        <v>1292</v>
      </c>
      <c r="B327" s="857" t="str">
        <f ca="1">IF('Pricing Schedule'!$K$5="No",_xlfn.CONCAT(IFERROR(SUBSTITUTE(ADDRESS(1,MATCH(A327,INDIRECT("'"&amp;E327&amp;"'"&amp;"!A10:Z10"),0),4),1,""),""),14),_xlfn.CONCAT(IFERROR(SUBSTITUTE(ADDRESS(1,MATCH(A327,INDIRECT("'"&amp;E327&amp;"'"&amp;"!A10:Z10"),0),4),1,""),""),48))</f>
        <v>C14</v>
      </c>
      <c r="C327" s="857" t="str">
        <f ca="1">IF('Pricing Schedule'!$K$5="No",IFERROR(SUBSTITUTE(ADDRESS(1,MATCH(A327,INDIRECT("'"&amp;E327&amp;"'"&amp;"!A10:Z10"),0),4),1,""),""),IFERROR(SUBSTITUTE(ADDRESS(1,MATCH(A327,INDIRECT("'"&amp;E327&amp;"'"&amp;"!A10:Z10"),0),4),1,""),""))</f>
        <v>C</v>
      </c>
      <c r="D327" s="859" t="s">
        <v>1374</v>
      </c>
      <c r="E327" s="859" t="s">
        <v>1291</v>
      </c>
      <c r="F327" s="1409"/>
      <c r="G327" s="1409"/>
      <c r="H327" s="1409"/>
      <c r="I327" s="857" t="str">
        <f t="shared" si="44"/>
        <v/>
      </c>
      <c r="J327" s="1409"/>
      <c r="K327" s="1409" t="str">
        <f t="shared" si="45"/>
        <v/>
      </c>
      <c r="L327" s="898" t="s">
        <v>252</v>
      </c>
      <c r="M327" s="1409">
        <v>296</v>
      </c>
      <c r="N327" s="1409"/>
      <c r="O327" s="1408"/>
      <c r="P327" s="1408"/>
      <c r="Q327" s="1408"/>
      <c r="R327" s="1408"/>
      <c r="S327" s="1408"/>
      <c r="T327" s="1408"/>
      <c r="U327" s="1408"/>
      <c r="V327" s="1408"/>
      <c r="W327" s="1408"/>
      <c r="X327" s="1408"/>
      <c r="Y327" s="1408"/>
      <c r="Z327" s="1408"/>
      <c r="AA327" s="1408"/>
    </row>
    <row r="328" spans="1:27" x14ac:dyDescent="0.25">
      <c r="A328" s="926" t="s">
        <v>1257</v>
      </c>
      <c r="B328" s="857" t="str">
        <f ca="1">IF('Pricing Schedule'!$K$5="No",_xlfn.CONCAT(IFERROR(SUBSTITUTE(ADDRESS(1,MATCH(A328,INDIRECT("'"&amp;E328&amp;"'"&amp;"!A10:Z10"),0),4),1,""),""),14),_xlfn.CONCAT(IFERROR(SUBSTITUTE(ADDRESS(1,MATCH(A328,INDIRECT("'"&amp;E328&amp;"'"&amp;"!A10:Z10"),0),4),1,""),""),48))</f>
        <v>H14</v>
      </c>
      <c r="C328" s="857" t="str">
        <f ca="1">IF('Pricing Schedule'!$K$5="No",IFERROR(SUBSTITUTE(ADDRESS(1,MATCH(A328,INDIRECT("'"&amp;E328&amp;"'"&amp;"!A10:Z10"),0),4),1,""),""),IFERROR(SUBSTITUTE(ADDRESS(1,MATCH(A328,INDIRECT("'"&amp;E328&amp;"'"&amp;"!A10:Z10"),0),4),1,""),""))</f>
        <v>H</v>
      </c>
      <c r="D328" s="859" t="s">
        <v>1374</v>
      </c>
      <c r="E328" s="859" t="s">
        <v>1291</v>
      </c>
      <c r="F328" s="1409"/>
      <c r="G328" s="1409"/>
      <c r="H328" s="1409"/>
      <c r="I328" s="857" t="str">
        <f t="shared" si="44"/>
        <v/>
      </c>
      <c r="J328" s="1409"/>
      <c r="K328" s="1409" t="str">
        <f t="shared" si="45"/>
        <v/>
      </c>
      <c r="L328" s="898" t="s">
        <v>1257</v>
      </c>
      <c r="M328" s="1409">
        <v>297</v>
      </c>
      <c r="N328" s="1409"/>
      <c r="O328" s="1408"/>
      <c r="P328" s="1408"/>
      <c r="Q328" s="1408"/>
      <c r="R328" s="1408"/>
      <c r="S328" s="1408"/>
      <c r="T328" s="1408"/>
      <c r="U328" s="1408"/>
      <c r="V328" s="1408"/>
      <c r="W328" s="1408"/>
      <c r="X328" s="1408"/>
      <c r="Y328" s="1408"/>
      <c r="Z328" s="1408"/>
      <c r="AA328" s="1408"/>
    </row>
    <row r="329" spans="1:27" x14ac:dyDescent="0.25">
      <c r="A329" s="926" t="s">
        <v>1295</v>
      </c>
      <c r="B329" s="857" t="str">
        <f ca="1">IF('Pricing Schedule'!$K$5="No",_xlfn.CONCAT(IFERROR(SUBSTITUTE(ADDRESS(1,MATCH(A329,INDIRECT("'"&amp;E329&amp;"'"&amp;"!A10:Z10"),0),4),1,""),""),14),_xlfn.CONCAT(IFERROR(SUBSTITUTE(ADDRESS(1,MATCH(A329,INDIRECT("'"&amp;E329&amp;"'"&amp;"!A10:Z10"),0),4),1,""),""),48))</f>
        <v>F14</v>
      </c>
      <c r="C329" s="857" t="str">
        <f ca="1">IF('Pricing Schedule'!$K$5="No",IFERROR(SUBSTITUTE(ADDRESS(1,MATCH(A329,INDIRECT("'"&amp;E329&amp;"'"&amp;"!A10:Z10"),0),4),1,""),""),IFERROR(SUBSTITUTE(ADDRESS(1,MATCH(A329,INDIRECT("'"&amp;E329&amp;"'"&amp;"!A10:Z10"),0),4),1,""),""))</f>
        <v>F</v>
      </c>
      <c r="D329" s="859" t="s">
        <v>1374</v>
      </c>
      <c r="E329" s="859" t="s">
        <v>1291</v>
      </c>
      <c r="F329" s="1409"/>
      <c r="G329" s="1409"/>
      <c r="H329" s="1409"/>
      <c r="I329" s="857" t="str">
        <f t="shared" si="44"/>
        <v/>
      </c>
      <c r="J329" s="1409"/>
      <c r="K329" s="1409" t="str">
        <f t="shared" si="45"/>
        <v/>
      </c>
      <c r="L329" s="898" t="s">
        <v>225</v>
      </c>
      <c r="M329" s="1409">
        <v>298</v>
      </c>
      <c r="N329" s="1409"/>
      <c r="O329" s="1408"/>
      <c r="P329" s="1408"/>
      <c r="Q329" s="1408"/>
      <c r="R329" s="1408"/>
      <c r="S329" s="1408"/>
      <c r="T329" s="1408"/>
      <c r="U329" s="1408"/>
      <c r="V329" s="1408"/>
      <c r="W329" s="1408"/>
      <c r="X329" s="1408"/>
      <c r="Y329" s="1408"/>
      <c r="Z329" s="1408"/>
      <c r="AA329" s="1408"/>
    </row>
    <row r="330" spans="1:27" x14ac:dyDescent="0.25">
      <c r="A330" s="927" t="s">
        <v>463</v>
      </c>
      <c r="B330" s="857" t="str">
        <f ca="1">_xlfn.CONCAT(IFERROR(SUBSTITUTE(ADDRESS(1,MATCH(A330,INDIRECT("'"&amp;E330&amp;"'"&amp;"!A9:Z9"),0),4),1,""),""),14)</f>
        <v>E14</v>
      </c>
      <c r="C330" s="857" t="str">
        <f ca="1">_xlfn.CONCAT(IFERROR(SUBSTITUTE(ADDRESS(1,MATCH(A330,INDIRECT("'"&amp;E330&amp;"'"&amp;"!A9:Z9"),0),4),1,""),""))</f>
        <v>E</v>
      </c>
      <c r="D330" s="1174" t="s">
        <v>1374</v>
      </c>
      <c r="E330" s="859" t="s">
        <v>208</v>
      </c>
      <c r="F330" s="1409"/>
      <c r="G330" s="1409"/>
      <c r="H330" s="1409"/>
      <c r="I330" s="857" t="str">
        <f t="shared" si="44"/>
        <v>Exclude PIM Classes Below</v>
      </c>
      <c r="J330" s="1409" t="str">
        <f t="shared" ref="J330:J385" si="46">IF(M330&lt;&gt;"",Q$1&amp;M330,"")</f>
        <v>F299</v>
      </c>
      <c r="K330" s="1409" t="str">
        <f t="shared" si="45"/>
        <v>PIM Model</v>
      </c>
      <c r="L330" s="898" t="s">
        <v>463</v>
      </c>
      <c r="M330" s="1409">
        <v>299</v>
      </c>
      <c r="N330" s="1409"/>
      <c r="O330" s="1408"/>
      <c r="P330" s="1408"/>
      <c r="Q330" s="1408"/>
      <c r="R330" s="1408"/>
      <c r="S330" s="1408"/>
      <c r="T330" s="1408"/>
      <c r="U330" s="1408"/>
      <c r="V330" s="1408"/>
      <c r="W330" s="1408"/>
      <c r="X330" s="1408"/>
      <c r="Y330" s="1408"/>
      <c r="Z330" s="1408"/>
      <c r="AA330" s="1408"/>
    </row>
    <row r="331" spans="1:27" x14ac:dyDescent="0.25">
      <c r="A331" s="927" t="s">
        <v>1294</v>
      </c>
      <c r="B331" s="857" t="str">
        <f ca="1">IF('Pricing Schedule'!$K$5="No",_xlfn.CONCAT(IFERROR(SUBSTITUTE(ADDRESS(1,MATCH(A331,INDIRECT("'"&amp;E331&amp;"'"&amp;"!A10:Z10"),0),4),1,""),""),14),_xlfn.CONCAT(IFERROR(SUBSTITUTE(ADDRESS(1,MATCH(A331,INDIRECT("'"&amp;E331&amp;"'"&amp;"!A10:Z10"),0),4),1,""),""),48))</f>
        <v>E14</v>
      </c>
      <c r="C331" s="857" t="str">
        <f ca="1">IF('Pricing Schedule'!$K$5="No",IFERROR(SUBSTITUTE(ADDRESS(1,MATCH(A331,INDIRECT("'"&amp;E331&amp;"'"&amp;"!A10:Z10"),0),4),1,""),""),IFERROR(SUBSTITUTE(ADDRESS(1,MATCH(A331,INDIRECT("'"&amp;E331&amp;"'"&amp;"!A10:Z10"),0),4),1,""),""))</f>
        <v>E</v>
      </c>
      <c r="D331" s="859" t="s">
        <v>1374</v>
      </c>
      <c r="E331" s="859" t="s">
        <v>1291</v>
      </c>
      <c r="F331" s="1409"/>
      <c r="G331" s="1409"/>
      <c r="H331" s="1409"/>
      <c r="I331" s="857" t="str">
        <f t="shared" si="44"/>
        <v>Special Pricing Code</v>
      </c>
      <c r="J331" s="1409" t="str">
        <f t="shared" si="46"/>
        <v>F300</v>
      </c>
      <c r="K331" s="1409" t="str">
        <f t="shared" si="45"/>
        <v>Pricing Schedule</v>
      </c>
      <c r="L331" s="898" t="s">
        <v>1294</v>
      </c>
      <c r="M331" s="1409">
        <v>300</v>
      </c>
      <c r="N331" s="1409"/>
      <c r="O331" s="1408"/>
      <c r="P331" s="1408"/>
      <c r="Q331" s="1408"/>
      <c r="R331" s="1408"/>
      <c r="S331" s="1408"/>
      <c r="T331" s="1408"/>
      <c r="U331" s="1408"/>
      <c r="V331" s="1408"/>
      <c r="W331" s="1408"/>
      <c r="X331" s="1408"/>
      <c r="Y331" s="1408"/>
      <c r="Z331" s="1408"/>
      <c r="AA331" s="1408"/>
    </row>
    <row r="332" spans="1:27" x14ac:dyDescent="0.25">
      <c r="A332" s="927" t="s">
        <v>1296</v>
      </c>
      <c r="B332" s="857" t="str">
        <f ca="1">IF('Pricing Schedule'!$K$5="No",_xlfn.CONCAT(IFERROR(SUBSTITUTE(ADDRESS(1,MATCH(A332,INDIRECT("'"&amp;E332&amp;"'"&amp;"!A10:Z10"),0),4),1,""),""),14),_xlfn.CONCAT(IFERROR(SUBSTITUTE(ADDRESS(1,MATCH(A332,INDIRECT("'"&amp;E332&amp;"'"&amp;"!A10:Z10"),0),4),1,""),""),48))</f>
        <v>G14</v>
      </c>
      <c r="C332" s="857" t="str">
        <f ca="1">IF('Pricing Schedule'!$K$5="No",IFERROR(SUBSTITUTE(ADDRESS(1,MATCH(A332,INDIRECT("'"&amp;E332&amp;"'"&amp;"!A10:Z10"),0),4),1,""),""),IFERROR(SUBSTITUTE(ADDRESS(1,MATCH(A332,INDIRECT("'"&amp;E332&amp;"'"&amp;"!A10:Z10"),0),4),1,""),""))</f>
        <v>G</v>
      </c>
      <c r="D332" s="859" t="s">
        <v>1374</v>
      </c>
      <c r="E332" s="859" t="s">
        <v>1291</v>
      </c>
      <c r="F332" s="1422"/>
      <c r="G332" s="1409"/>
      <c r="H332" s="1409"/>
      <c r="I332" s="857" t="str">
        <f t="shared" si="44"/>
        <v>EB Markup Amt</v>
      </c>
      <c r="J332" s="1409" t="str">
        <f t="shared" si="46"/>
        <v>F301</v>
      </c>
      <c r="K332" s="1409" t="str">
        <f t="shared" si="45"/>
        <v>Pricing Schedule</v>
      </c>
      <c r="L332" s="898" t="s">
        <v>1296</v>
      </c>
      <c r="M332" s="1409">
        <v>301</v>
      </c>
      <c r="N332" s="1409"/>
      <c r="O332" s="1408"/>
      <c r="P332" s="1408"/>
      <c r="Q332" s="1408"/>
      <c r="R332" s="1408"/>
      <c r="S332" s="1408"/>
      <c r="T332" s="1408"/>
      <c r="U332" s="1408"/>
      <c r="V332" s="1408"/>
      <c r="W332" s="1408"/>
      <c r="X332" s="1408"/>
      <c r="Y332" s="1408"/>
      <c r="Z332" s="1408"/>
      <c r="AA332" s="1408"/>
    </row>
    <row r="333" spans="1:27" x14ac:dyDescent="0.25">
      <c r="A333" s="927" t="s">
        <v>1297</v>
      </c>
      <c r="B333" s="857" t="str">
        <f ca="1">IF('Pricing Schedule'!$K$5="No",_xlfn.CONCAT(IFERROR(SUBSTITUTE(ADDRESS(1,MATCH(A333,INDIRECT("'"&amp;E333&amp;"'"&amp;"!A10:Z10"),0),4),1,""),""),14),_xlfn.CONCAT(IFERROR(SUBSTITUTE(ADDRESS(1,MATCH(A333,INDIRECT("'"&amp;E333&amp;"'"&amp;"!A10:Z10"),0),4),1,""),""),48))</f>
        <v>I14</v>
      </c>
      <c r="C333" s="857" t="str">
        <f ca="1">IF('Pricing Schedule'!$K$5="No",IFERROR(SUBSTITUTE(ADDRESS(1,MATCH(A333,INDIRECT("'"&amp;E333&amp;"'"&amp;"!A10:Z10"),0),4),1,""),""),IFERROR(SUBSTITUTE(ADDRESS(1,MATCH(A333,INDIRECT("'"&amp;E333&amp;"'"&amp;"!A10:Z10"),0),4),1,""),""))</f>
        <v>I</v>
      </c>
      <c r="D333" s="859" t="s">
        <v>1374</v>
      </c>
      <c r="E333" s="859" t="s">
        <v>1291</v>
      </c>
      <c r="F333" s="1422"/>
      <c r="G333" s="1409"/>
      <c r="H333" s="1409"/>
      <c r="I333" s="857" t="str">
        <f t="shared" si="44"/>
        <v>Min CS Markup Override Flag</v>
      </c>
      <c r="J333" s="1409" t="str">
        <f t="shared" si="46"/>
        <v>F302</v>
      </c>
      <c r="K333" s="1409" t="str">
        <f t="shared" si="45"/>
        <v>Pricing Schedule</v>
      </c>
      <c r="L333" s="898" t="s">
        <v>1297</v>
      </c>
      <c r="M333" s="1409">
        <v>302</v>
      </c>
      <c r="N333" s="1409"/>
      <c r="O333" s="1408"/>
      <c r="P333" s="1408"/>
      <c r="Q333" s="1408"/>
      <c r="R333" s="1408"/>
      <c r="S333" s="1408"/>
      <c r="T333" s="1408"/>
      <c r="U333" s="1408"/>
      <c r="V333" s="1408"/>
      <c r="W333" s="1408"/>
      <c r="X333" s="1408"/>
      <c r="Y333" s="1408"/>
      <c r="Z333" s="1408"/>
      <c r="AA333" s="1408"/>
    </row>
    <row r="334" spans="1:27" x14ac:dyDescent="0.25">
      <c r="A334" s="927" t="s">
        <v>1298</v>
      </c>
      <c r="B334" s="857" t="str">
        <f ca="1">IF('Pricing Schedule'!$K$5="No",_xlfn.CONCAT(IFERROR(SUBSTITUTE(ADDRESS(1,MATCH(A334,INDIRECT("'"&amp;E334&amp;"'"&amp;"!A10:Z10"),0),4),1,""),""),14),_xlfn.CONCAT(IFERROR(SUBSTITUTE(ADDRESS(1,MATCH(A334,INDIRECT("'"&amp;E334&amp;"'"&amp;"!A10:Z10"),0),4),1,""),""),48))</f>
        <v>J14</v>
      </c>
      <c r="C334" s="857" t="str">
        <f ca="1">IF('Pricing Schedule'!$K$5="No",IFERROR(SUBSTITUTE(ADDRESS(1,MATCH(A334,INDIRECT("'"&amp;E334&amp;"'"&amp;"!A10:Z10"),0),4),1,""),""),IFERROR(SUBSTITUTE(ADDRESS(1,MATCH(A334,INDIRECT("'"&amp;E334&amp;"'"&amp;"!A10:Z10"),0),4),1,""),""))</f>
        <v>J</v>
      </c>
      <c r="D334" s="859" t="s">
        <v>1374</v>
      </c>
      <c r="E334" s="859" t="s">
        <v>1291</v>
      </c>
      <c r="F334" s="1422"/>
      <c r="G334" s="1409"/>
      <c r="H334" s="1409"/>
      <c r="I334" s="857" t="str">
        <f t="shared" si="44"/>
        <v>Min CS Markup Amt</v>
      </c>
      <c r="J334" s="1409" t="str">
        <f t="shared" si="46"/>
        <v>F303</v>
      </c>
      <c r="K334" s="1409" t="str">
        <f t="shared" si="45"/>
        <v>Pricing Schedule</v>
      </c>
      <c r="L334" s="898" t="s">
        <v>1298</v>
      </c>
      <c r="M334" s="1409">
        <v>303</v>
      </c>
      <c r="N334" s="1409"/>
      <c r="O334" s="1408"/>
      <c r="P334" s="1408"/>
      <c r="Q334" s="1408"/>
      <c r="R334" s="1408"/>
      <c r="S334" s="1408"/>
      <c r="T334" s="1408"/>
      <c r="U334" s="1408"/>
      <c r="V334" s="1408"/>
      <c r="W334" s="1408"/>
      <c r="X334" s="1408"/>
      <c r="Y334" s="1408"/>
      <c r="Z334" s="1408"/>
      <c r="AA334" s="1408"/>
    </row>
    <row r="335" spans="1:27" x14ac:dyDescent="0.25">
      <c r="A335" s="927" t="s">
        <v>1299</v>
      </c>
      <c r="B335" s="857" t="str">
        <f ca="1">IF('Pricing Schedule'!$K$5="No",_xlfn.CONCAT(IFERROR(SUBSTITUTE(ADDRESS(1,MATCH(A335,INDIRECT("'"&amp;E335&amp;"'"&amp;"!A10:Z10"),0),4),1,""),""),14),_xlfn.CONCAT(IFERROR(SUBSTITUTE(ADDRESS(1,MATCH(A335,INDIRECT("'"&amp;E335&amp;"'"&amp;"!A10:Z10"),0),4),1,""),""),48))</f>
        <v>K14</v>
      </c>
      <c r="C335" s="857" t="str">
        <f ca="1">IF('Pricing Schedule'!$K$5="No",IFERROR(SUBSTITUTE(ADDRESS(1,MATCH(A335,INDIRECT("'"&amp;E335&amp;"'"&amp;"!A10:Z10"),0),4),1,""),""),IFERROR(SUBSTITUTE(ADDRESS(1,MATCH(A335,INDIRECT("'"&amp;E335&amp;"'"&amp;"!A10:Z10"),0),4),1,""),""))</f>
        <v>K</v>
      </c>
      <c r="D335" s="859" t="s">
        <v>1374</v>
      </c>
      <c r="E335" s="859" t="s">
        <v>1291</v>
      </c>
      <c r="F335" s="1422"/>
      <c r="G335" s="1409"/>
      <c r="H335" s="1409"/>
      <c r="I335" s="857" t="str">
        <f t="shared" si="44"/>
        <v>Split Case Fee Override Flag</v>
      </c>
      <c r="J335" s="1409" t="str">
        <f t="shared" si="46"/>
        <v>F304</v>
      </c>
      <c r="K335" s="1409" t="str">
        <f t="shared" si="45"/>
        <v>Pricing Schedule</v>
      </c>
      <c r="L335" s="898" t="s">
        <v>1299</v>
      </c>
      <c r="M335" s="1409">
        <v>304</v>
      </c>
      <c r="N335" s="1409"/>
      <c r="O335" s="1408"/>
      <c r="P335" s="1408"/>
      <c r="Q335" s="1408"/>
      <c r="R335" s="1408"/>
      <c r="S335" s="1408"/>
      <c r="T335" s="1408"/>
      <c r="U335" s="1408"/>
      <c r="V335" s="1408"/>
      <c r="W335" s="1408"/>
      <c r="X335" s="1408"/>
      <c r="Y335" s="1408"/>
      <c r="Z335" s="1408"/>
      <c r="AA335" s="1408"/>
    </row>
    <row r="336" spans="1:27" x14ac:dyDescent="0.25">
      <c r="A336" s="927" t="s">
        <v>1300</v>
      </c>
      <c r="B336" s="857" t="str">
        <f ca="1">IF('Pricing Schedule'!$K$5="No",_xlfn.CONCAT(IFERROR(SUBSTITUTE(ADDRESS(1,MATCH(A336,INDIRECT("'"&amp;E336&amp;"'"&amp;"!A10:Z10"),0),4),1,""),""),14),_xlfn.CONCAT(IFERROR(SUBSTITUTE(ADDRESS(1,MATCH(A336,INDIRECT("'"&amp;E336&amp;"'"&amp;"!A10:Z10"),0),4),1,""),""),48))</f>
        <v>L14</v>
      </c>
      <c r="C336" s="857" t="str">
        <f ca="1">IF('Pricing Schedule'!$K$5="No",IFERROR(SUBSTITUTE(ADDRESS(1,MATCH(A336,INDIRECT("'"&amp;E336&amp;"'"&amp;"!A10:Z10"),0),4),1,""),""),IFERROR(SUBSTITUTE(ADDRESS(1,MATCH(A336,INDIRECT("'"&amp;E336&amp;"'"&amp;"!A10:Z10"),0),4),1,""),""))</f>
        <v>L</v>
      </c>
      <c r="D336" s="859" t="s">
        <v>1374</v>
      </c>
      <c r="E336" s="859" t="s">
        <v>1291</v>
      </c>
      <c r="F336" s="1422"/>
      <c r="G336" s="1409"/>
      <c r="H336" s="1409"/>
      <c r="I336" s="857" t="str">
        <f t="shared" si="44"/>
        <v>Split Case Fee</v>
      </c>
      <c r="J336" s="1409" t="str">
        <f t="shared" si="46"/>
        <v>F305</v>
      </c>
      <c r="K336" s="1409" t="str">
        <f t="shared" si="45"/>
        <v>Pricing Schedule</v>
      </c>
      <c r="L336" s="898" t="s">
        <v>1300</v>
      </c>
      <c r="M336" s="1409">
        <v>305</v>
      </c>
      <c r="N336" s="1409"/>
      <c r="O336" s="1408"/>
      <c r="P336" s="1408"/>
      <c r="Q336" s="1408"/>
      <c r="R336" s="1408"/>
      <c r="S336" s="1408"/>
      <c r="T336" s="1408"/>
      <c r="U336" s="1408"/>
      <c r="V336" s="1408"/>
      <c r="W336" s="1408"/>
      <c r="X336" s="1408"/>
      <c r="Y336" s="1408"/>
      <c r="Z336" s="1408"/>
      <c r="AA336" s="1408"/>
    </row>
    <row r="337" spans="1:27" x14ac:dyDescent="0.25">
      <c r="A337" s="927" t="s">
        <v>1238</v>
      </c>
      <c r="B337" s="857" t="str">
        <f ca="1">IF('Pricing Schedule'!$K$5="No",_xlfn.CONCAT(IFERROR(SUBSTITUTE(ADDRESS(1,MATCH(A337,INDIRECT("'"&amp;E337&amp;"'"&amp;"!A10:Z10"),0),4),1,""),""),14),_xlfn.CONCAT(IFERROR(SUBSTITUTE(ADDRESS(1,MATCH(A337,INDIRECT("'"&amp;E337&amp;"'"&amp;"!A10:Z10"),0),4),1,""),""),48))</f>
        <v>M14</v>
      </c>
      <c r="C337" s="857" t="str">
        <f ca="1">IF('Pricing Schedule'!$K$5="No",IFERROR(SUBSTITUTE(ADDRESS(1,MATCH(A337,INDIRECT("'"&amp;E337&amp;"'"&amp;"!A10:Z10"),0),4),1,""),""),IFERROR(SUBSTITUTE(ADDRESS(1,MATCH(A337,INDIRECT("'"&amp;E337&amp;"'"&amp;"!A10:Z10"),0),4),1,""),""))</f>
        <v>M</v>
      </c>
      <c r="D337" s="859" t="s">
        <v>1374</v>
      </c>
      <c r="E337" s="859" t="s">
        <v>1291</v>
      </c>
      <c r="F337" s="1422"/>
      <c r="G337" s="1409"/>
      <c r="H337" s="1409"/>
      <c r="I337" s="857" t="str">
        <f t="shared" si="44"/>
        <v>Split Case Per</v>
      </c>
      <c r="J337" s="1409" t="str">
        <f t="shared" si="46"/>
        <v>F306</v>
      </c>
      <c r="K337" s="1409" t="str">
        <f t="shared" si="45"/>
        <v>Pricing Schedule</v>
      </c>
      <c r="L337" s="898" t="s">
        <v>1238</v>
      </c>
      <c r="M337" s="1409">
        <v>306</v>
      </c>
      <c r="N337" s="1409"/>
      <c r="O337" s="1408"/>
      <c r="P337" s="1408"/>
      <c r="Q337" s="1408"/>
      <c r="R337" s="1408"/>
      <c r="S337" s="1408"/>
      <c r="T337" s="1408"/>
      <c r="U337" s="1408"/>
      <c r="V337" s="1408"/>
      <c r="W337" s="1408"/>
      <c r="X337" s="1408"/>
      <c r="Y337" s="1408"/>
      <c r="Z337" s="1408"/>
      <c r="AA337" s="1408"/>
    </row>
    <row r="338" spans="1:27" x14ac:dyDescent="0.25">
      <c r="A338" s="928" t="s">
        <v>1301</v>
      </c>
      <c r="B338" s="857" t="str">
        <f ca="1">IF('Pricing Schedule'!$K$5="No",_xlfn.CONCAT(IFERROR(SUBSTITUTE(ADDRESS(1,MATCH(A338,INDIRECT("'"&amp;E338&amp;"'"&amp;"!A10:Z10"),0),4),1,""),""),15),_xlfn.CONCAT(IFERROR(SUBSTITUTE(ADDRESS(1,MATCH(A338,INDIRECT("'"&amp;E338&amp;"'"&amp;"!A10:Z10"),0),4),1,""),""),49))</f>
        <v>N15</v>
      </c>
      <c r="C338" s="857" t="str">
        <f ca="1">IF('Pricing Schedule'!$K$5="No",IFERROR(SUBSTITUTE(ADDRESS(1,MATCH(A338,INDIRECT("'"&amp;E338&amp;"'"&amp;"!A10:Z10"),0),4),1,""),""),IFERROR(SUBSTITUTE(ADDRESS(1,MATCH(A338,INDIRECT("'"&amp;E338&amp;"'"&amp;"!A10:Z10"),0),4),1,""),""))</f>
        <v>N</v>
      </c>
      <c r="D338" s="859" t="s">
        <v>1374</v>
      </c>
      <c r="E338" s="859" t="s">
        <v>1291</v>
      </c>
      <c r="F338" s="1409"/>
      <c r="G338" s="1409"/>
      <c r="H338" s="1409"/>
      <c r="I338" s="857" t="str">
        <f t="shared" si="44"/>
        <v/>
      </c>
      <c r="J338" s="1409"/>
      <c r="K338" s="1409" t="str">
        <f t="shared" si="45"/>
        <v/>
      </c>
      <c r="L338" s="898" t="s">
        <v>1301</v>
      </c>
      <c r="M338" s="1409">
        <v>307</v>
      </c>
      <c r="N338" s="1409"/>
      <c r="O338" s="1408"/>
      <c r="P338" s="1408"/>
      <c r="Q338" s="1408"/>
      <c r="R338" s="1408"/>
      <c r="S338" s="1408"/>
      <c r="T338" s="1408"/>
      <c r="U338" s="1408"/>
      <c r="V338" s="1408"/>
      <c r="W338" s="1408"/>
      <c r="X338" s="1408"/>
      <c r="Y338" s="1408"/>
      <c r="Z338" s="1408"/>
      <c r="AA338" s="1408"/>
    </row>
    <row r="339" spans="1:27" x14ac:dyDescent="0.25">
      <c r="A339" s="929" t="s">
        <v>1292</v>
      </c>
      <c r="B339" s="857" t="str">
        <f ca="1">IF('Pricing Schedule'!$K$5="No",_xlfn.CONCAT(IFERROR(SUBSTITUTE(ADDRESS(1,MATCH(A339,INDIRECT("'"&amp;E339&amp;"'"&amp;"!A10:Z10"),0),4),1,""),""),15),_xlfn.CONCAT(IFERROR(SUBSTITUTE(ADDRESS(1,MATCH(A339,INDIRECT("'"&amp;E339&amp;"'"&amp;"!A10:Z10"),0),4),1,""),""),49))</f>
        <v>C15</v>
      </c>
      <c r="C339" s="857" t="str">
        <f ca="1">IF('Pricing Schedule'!$K$5="No",IFERROR(SUBSTITUTE(ADDRESS(1,MATCH(A339,INDIRECT("'"&amp;E339&amp;"'"&amp;"!A10:Z10"),0),4),1,""),""),IFERROR(SUBSTITUTE(ADDRESS(1,MATCH(A339,INDIRECT("'"&amp;E339&amp;"'"&amp;"!A10:Z10"),0),4),1,""),""))</f>
        <v>C</v>
      </c>
      <c r="D339" s="859" t="s">
        <v>1374</v>
      </c>
      <c r="E339" s="859" t="s">
        <v>1291</v>
      </c>
      <c r="F339" s="1409"/>
      <c r="G339" s="1409"/>
      <c r="H339" s="1409"/>
      <c r="I339" s="857" t="str">
        <f t="shared" si="44"/>
        <v/>
      </c>
      <c r="J339" s="1409"/>
      <c r="K339" s="1409" t="str">
        <f t="shared" si="45"/>
        <v/>
      </c>
      <c r="L339" s="898" t="s">
        <v>252</v>
      </c>
      <c r="M339" s="1409">
        <v>308</v>
      </c>
      <c r="N339" s="1409"/>
      <c r="O339" s="1408"/>
      <c r="P339" s="1408"/>
      <c r="Q339" s="1408"/>
      <c r="R339" s="1408"/>
      <c r="S339" s="1408"/>
      <c r="T339" s="1408"/>
      <c r="U339" s="1408"/>
      <c r="V339" s="1408"/>
      <c r="W339" s="1408"/>
      <c r="X339" s="1408"/>
      <c r="Y339" s="1408"/>
      <c r="Z339" s="1408"/>
      <c r="AA339" s="1408"/>
    </row>
    <row r="340" spans="1:27" x14ac:dyDescent="0.25">
      <c r="A340" s="929" t="s">
        <v>1257</v>
      </c>
      <c r="B340" s="857" t="str">
        <f ca="1">IF('Pricing Schedule'!$K$5="No",_xlfn.CONCAT(IFERROR(SUBSTITUTE(ADDRESS(1,MATCH(A340,INDIRECT("'"&amp;E340&amp;"'"&amp;"!A10:Z10"),0),4),1,""),""),15),_xlfn.CONCAT(IFERROR(SUBSTITUTE(ADDRESS(1,MATCH(A340,INDIRECT("'"&amp;E340&amp;"'"&amp;"!A10:Z10"),0),4),1,""),""),49))</f>
        <v>H15</v>
      </c>
      <c r="C340" s="857" t="str">
        <f ca="1">IF('Pricing Schedule'!$K$5="No",IFERROR(SUBSTITUTE(ADDRESS(1,MATCH(A340,INDIRECT("'"&amp;E340&amp;"'"&amp;"!A10:Z10"),0),4),1,""),""),IFERROR(SUBSTITUTE(ADDRESS(1,MATCH(A340,INDIRECT("'"&amp;E340&amp;"'"&amp;"!A10:Z10"),0),4),1,""),""))</f>
        <v>H</v>
      </c>
      <c r="D340" s="859" t="s">
        <v>1374</v>
      </c>
      <c r="E340" s="859" t="s">
        <v>1291</v>
      </c>
      <c r="F340" s="1409"/>
      <c r="G340" s="1409"/>
      <c r="H340" s="1409"/>
      <c r="I340" s="857" t="str">
        <f t="shared" si="44"/>
        <v/>
      </c>
      <c r="J340" s="1409"/>
      <c r="K340" s="1409" t="str">
        <f t="shared" si="45"/>
        <v/>
      </c>
      <c r="L340" s="898" t="s">
        <v>1257</v>
      </c>
      <c r="M340" s="1409">
        <v>309</v>
      </c>
      <c r="N340" s="1409"/>
      <c r="O340" s="1408"/>
      <c r="P340" s="1408"/>
      <c r="Q340" s="1408"/>
      <c r="R340" s="1408"/>
      <c r="S340" s="1408"/>
      <c r="T340" s="1408"/>
      <c r="U340" s="1408"/>
      <c r="V340" s="1408"/>
      <c r="W340" s="1408"/>
      <c r="X340" s="1408"/>
      <c r="Y340" s="1408"/>
      <c r="Z340" s="1408"/>
      <c r="AA340" s="1408"/>
    </row>
    <row r="341" spans="1:27" x14ac:dyDescent="0.25">
      <c r="A341" s="929" t="s">
        <v>1295</v>
      </c>
      <c r="B341" s="857" t="str">
        <f ca="1">IF('Pricing Schedule'!$K$5="No",_xlfn.CONCAT(IFERROR(SUBSTITUTE(ADDRESS(1,MATCH(A341,INDIRECT("'"&amp;E341&amp;"'"&amp;"!A10:Z10"),0),4),1,""),""),15),_xlfn.CONCAT(IFERROR(SUBSTITUTE(ADDRESS(1,MATCH(A341,INDIRECT("'"&amp;E341&amp;"'"&amp;"!A10:Z10"),0),4),1,""),""),49))</f>
        <v>F15</v>
      </c>
      <c r="C341" s="857" t="str">
        <f ca="1">IF('Pricing Schedule'!$K$5="No",IFERROR(SUBSTITUTE(ADDRESS(1,MATCH(A341,INDIRECT("'"&amp;E341&amp;"'"&amp;"!A10:Z10"),0),4),1,""),""),IFERROR(SUBSTITUTE(ADDRESS(1,MATCH(A341,INDIRECT("'"&amp;E341&amp;"'"&amp;"!A10:Z10"),0),4),1,""),""))</f>
        <v>F</v>
      </c>
      <c r="D341" s="859" t="s">
        <v>1374</v>
      </c>
      <c r="E341" s="859" t="s">
        <v>1291</v>
      </c>
      <c r="F341" s="1409"/>
      <c r="G341" s="1409"/>
      <c r="H341" s="1409"/>
      <c r="I341" s="857" t="str">
        <f t="shared" si="44"/>
        <v/>
      </c>
      <c r="J341" s="1409"/>
      <c r="K341" s="1409" t="str">
        <f t="shared" si="45"/>
        <v/>
      </c>
      <c r="L341" s="898" t="s">
        <v>225</v>
      </c>
      <c r="M341" s="1409">
        <v>310</v>
      </c>
      <c r="N341" s="1409"/>
      <c r="O341" s="1408"/>
      <c r="P341" s="1408"/>
      <c r="Q341" s="1408"/>
      <c r="R341" s="1408"/>
      <c r="S341" s="1408"/>
      <c r="T341" s="1408"/>
      <c r="U341" s="1408"/>
      <c r="V341" s="1408"/>
      <c r="W341" s="1408"/>
      <c r="X341" s="1408"/>
      <c r="Y341" s="1408"/>
      <c r="Z341" s="1408"/>
      <c r="AA341" s="1408"/>
    </row>
    <row r="342" spans="1:27" x14ac:dyDescent="0.25">
      <c r="A342" s="930" t="s">
        <v>463</v>
      </c>
      <c r="B342" s="857" t="str">
        <f ca="1">_xlfn.CONCAT(IFERROR(SUBSTITUTE(ADDRESS(1,MATCH(A342,INDIRECT("'"&amp;E342&amp;"'"&amp;"!A9:Z9"),0),4),1,""),""),15)</f>
        <v>E15</v>
      </c>
      <c r="C342" s="857" t="str">
        <f ca="1">_xlfn.CONCAT(IFERROR(SUBSTITUTE(ADDRESS(1,MATCH(A342,INDIRECT("'"&amp;E342&amp;"'"&amp;"!A9:Z9"),0),4),1,""),""))</f>
        <v>E</v>
      </c>
      <c r="D342" s="1174" t="s">
        <v>1374</v>
      </c>
      <c r="E342" s="859" t="s">
        <v>208</v>
      </c>
      <c r="F342" s="1409"/>
      <c r="G342" s="1409"/>
      <c r="H342" s="1409"/>
      <c r="I342" s="857" t="str">
        <f t="shared" si="44"/>
        <v>Exclude PIM Classes Below</v>
      </c>
      <c r="J342" s="1409" t="str">
        <f t="shared" si="46"/>
        <v>F311</v>
      </c>
      <c r="K342" s="1409" t="str">
        <f t="shared" si="45"/>
        <v>PIM Model</v>
      </c>
      <c r="L342" s="898" t="s">
        <v>463</v>
      </c>
      <c r="M342" s="1409">
        <v>311</v>
      </c>
      <c r="N342" s="1409"/>
      <c r="O342" s="1408"/>
      <c r="P342" s="1408"/>
      <c r="Q342" s="1408"/>
      <c r="R342" s="1408"/>
      <c r="S342" s="1408"/>
      <c r="T342" s="1408"/>
      <c r="U342" s="1408"/>
      <c r="V342" s="1408"/>
      <c r="W342" s="1408"/>
      <c r="X342" s="1408"/>
      <c r="Y342" s="1408"/>
      <c r="Z342" s="1408"/>
      <c r="AA342" s="1408"/>
    </row>
    <row r="343" spans="1:27" x14ac:dyDescent="0.25">
      <c r="A343" s="930" t="s">
        <v>1294</v>
      </c>
      <c r="B343" s="857" t="str">
        <f ca="1">IF('Pricing Schedule'!$K$5="No",_xlfn.CONCAT(IFERROR(SUBSTITUTE(ADDRESS(1,MATCH(A343,INDIRECT("'"&amp;E343&amp;"'"&amp;"!A10:Z10"),0),4),1,""),""),15),_xlfn.CONCAT(IFERROR(SUBSTITUTE(ADDRESS(1,MATCH(A343,INDIRECT("'"&amp;E343&amp;"'"&amp;"!A10:Z10"),0),4),1,""),""),49))</f>
        <v>E15</v>
      </c>
      <c r="C343" s="857" t="str">
        <f ca="1">IF('Pricing Schedule'!$K$5="No",IFERROR(SUBSTITUTE(ADDRESS(1,MATCH(A343,INDIRECT("'"&amp;E343&amp;"'"&amp;"!A10:Z10"),0),4),1,""),""),IFERROR(SUBSTITUTE(ADDRESS(1,MATCH(A343,INDIRECT("'"&amp;E343&amp;"'"&amp;"!A10:Z10"),0),4),1,""),""))</f>
        <v>E</v>
      </c>
      <c r="D343" s="859" t="s">
        <v>1374</v>
      </c>
      <c r="E343" s="859" t="s">
        <v>1291</v>
      </c>
      <c r="F343" s="1409"/>
      <c r="G343" s="1409"/>
      <c r="H343" s="1409"/>
      <c r="I343" s="857" t="str">
        <f t="shared" si="44"/>
        <v>Special Pricing Code</v>
      </c>
      <c r="J343" s="1409" t="str">
        <f t="shared" si="46"/>
        <v>F312</v>
      </c>
      <c r="K343" s="1409" t="str">
        <f t="shared" si="45"/>
        <v>Pricing Schedule</v>
      </c>
      <c r="L343" s="898" t="s">
        <v>1294</v>
      </c>
      <c r="M343" s="1409">
        <v>312</v>
      </c>
      <c r="N343" s="1409"/>
      <c r="O343" s="1408"/>
      <c r="P343" s="1408"/>
      <c r="Q343" s="1408"/>
      <c r="R343" s="1408"/>
      <c r="S343" s="1408"/>
      <c r="T343" s="1408"/>
      <c r="U343" s="1408"/>
      <c r="V343" s="1408"/>
      <c r="W343" s="1408"/>
      <c r="X343" s="1408"/>
      <c r="Y343" s="1408"/>
      <c r="Z343" s="1408"/>
      <c r="AA343" s="1408"/>
    </row>
    <row r="344" spans="1:27" x14ac:dyDescent="0.25">
      <c r="A344" s="930" t="s">
        <v>1296</v>
      </c>
      <c r="B344" s="857" t="str">
        <f ca="1">IF('Pricing Schedule'!$K$5="No",_xlfn.CONCAT(IFERROR(SUBSTITUTE(ADDRESS(1,MATCH(A344,INDIRECT("'"&amp;E344&amp;"'"&amp;"!A10:Z10"),0),4),1,""),""),15),_xlfn.CONCAT(IFERROR(SUBSTITUTE(ADDRESS(1,MATCH(A344,INDIRECT("'"&amp;E344&amp;"'"&amp;"!A10:Z10"),0),4),1,""),""),49))</f>
        <v>G15</v>
      </c>
      <c r="C344" s="857" t="str">
        <f ca="1">IF('Pricing Schedule'!$K$5="No",IFERROR(SUBSTITUTE(ADDRESS(1,MATCH(A344,INDIRECT("'"&amp;E344&amp;"'"&amp;"!A10:Z10"),0),4),1,""),""),IFERROR(SUBSTITUTE(ADDRESS(1,MATCH(A344,INDIRECT("'"&amp;E344&amp;"'"&amp;"!A10:Z10"),0),4),1,""),""))</f>
        <v>G</v>
      </c>
      <c r="D344" s="859" t="s">
        <v>1374</v>
      </c>
      <c r="E344" s="859" t="s">
        <v>1291</v>
      </c>
      <c r="F344" s="1422"/>
      <c r="G344" s="1409"/>
      <c r="H344" s="1409"/>
      <c r="I344" s="857" t="str">
        <f t="shared" si="44"/>
        <v>EB Markup Amt</v>
      </c>
      <c r="J344" s="1409" t="str">
        <f t="shared" si="46"/>
        <v>F313</v>
      </c>
      <c r="K344" s="1409" t="str">
        <f t="shared" si="45"/>
        <v>Pricing Schedule</v>
      </c>
      <c r="L344" s="898" t="s">
        <v>1296</v>
      </c>
      <c r="M344" s="1409">
        <v>313</v>
      </c>
      <c r="N344" s="1409"/>
      <c r="O344" s="1408"/>
      <c r="P344" s="1408"/>
      <c r="Q344" s="1408"/>
      <c r="R344" s="1408"/>
      <c r="S344" s="1408"/>
      <c r="T344" s="1408"/>
      <c r="U344" s="1408"/>
      <c r="V344" s="1408"/>
      <c r="W344" s="1408"/>
      <c r="X344" s="1408"/>
      <c r="Y344" s="1408"/>
      <c r="Z344" s="1408"/>
      <c r="AA344" s="1408"/>
    </row>
    <row r="345" spans="1:27" x14ac:dyDescent="0.25">
      <c r="A345" s="930" t="s">
        <v>1297</v>
      </c>
      <c r="B345" s="857" t="str">
        <f ca="1">IF('Pricing Schedule'!$K$5="No",_xlfn.CONCAT(IFERROR(SUBSTITUTE(ADDRESS(1,MATCH(A345,INDIRECT("'"&amp;E345&amp;"'"&amp;"!A10:Z10"),0),4),1,""),""),15),_xlfn.CONCAT(IFERROR(SUBSTITUTE(ADDRESS(1,MATCH(A345,INDIRECT("'"&amp;E345&amp;"'"&amp;"!A10:Z10"),0),4),1,""),""),49))</f>
        <v>I15</v>
      </c>
      <c r="C345" s="857" t="str">
        <f ca="1">IF('Pricing Schedule'!$K$5="No",IFERROR(SUBSTITUTE(ADDRESS(1,MATCH(A345,INDIRECT("'"&amp;E345&amp;"'"&amp;"!A10:Z10"),0),4),1,""),""),IFERROR(SUBSTITUTE(ADDRESS(1,MATCH(A345,INDIRECT("'"&amp;E345&amp;"'"&amp;"!A10:Z10"),0),4),1,""),""))</f>
        <v>I</v>
      </c>
      <c r="D345" s="859" t="s">
        <v>1374</v>
      </c>
      <c r="E345" s="859" t="s">
        <v>1291</v>
      </c>
      <c r="F345" s="1422"/>
      <c r="G345" s="1409"/>
      <c r="H345" s="1409"/>
      <c r="I345" s="857" t="str">
        <f t="shared" si="44"/>
        <v>Min CS Markup Override Flag</v>
      </c>
      <c r="J345" s="1409" t="str">
        <f t="shared" si="46"/>
        <v>F314</v>
      </c>
      <c r="K345" s="1409" t="str">
        <f t="shared" si="45"/>
        <v>Pricing Schedule</v>
      </c>
      <c r="L345" s="898" t="s">
        <v>1297</v>
      </c>
      <c r="M345" s="1409">
        <v>314</v>
      </c>
      <c r="N345" s="1409"/>
      <c r="O345" s="1408"/>
      <c r="P345" s="1408"/>
      <c r="Q345" s="1408"/>
      <c r="R345" s="1408"/>
      <c r="S345" s="1408"/>
      <c r="T345" s="1408"/>
      <c r="U345" s="1408"/>
      <c r="V345" s="1408"/>
      <c r="W345" s="1408"/>
      <c r="X345" s="1408"/>
      <c r="Y345" s="1408"/>
      <c r="Z345" s="1408"/>
      <c r="AA345" s="1408"/>
    </row>
    <row r="346" spans="1:27" x14ac:dyDescent="0.25">
      <c r="A346" s="930" t="s">
        <v>1298</v>
      </c>
      <c r="B346" s="857" t="str">
        <f ca="1">IF('Pricing Schedule'!$K$5="No",_xlfn.CONCAT(IFERROR(SUBSTITUTE(ADDRESS(1,MATCH(A346,INDIRECT("'"&amp;E346&amp;"'"&amp;"!A10:Z10"),0),4),1,""),""),15),_xlfn.CONCAT(IFERROR(SUBSTITUTE(ADDRESS(1,MATCH(A346,INDIRECT("'"&amp;E346&amp;"'"&amp;"!A10:Z10"),0),4),1,""),""),49))</f>
        <v>J15</v>
      </c>
      <c r="C346" s="857" t="str">
        <f ca="1">IF('Pricing Schedule'!$K$5="No",IFERROR(SUBSTITUTE(ADDRESS(1,MATCH(A346,INDIRECT("'"&amp;E346&amp;"'"&amp;"!A10:Z10"),0),4),1,""),""),IFERROR(SUBSTITUTE(ADDRESS(1,MATCH(A346,INDIRECT("'"&amp;E346&amp;"'"&amp;"!A10:Z10"),0),4),1,""),""))</f>
        <v>J</v>
      </c>
      <c r="D346" s="859" t="s">
        <v>1374</v>
      </c>
      <c r="E346" s="859" t="s">
        <v>1291</v>
      </c>
      <c r="F346" s="1422"/>
      <c r="G346" s="1409"/>
      <c r="H346" s="1409"/>
      <c r="I346" s="857" t="str">
        <f t="shared" si="44"/>
        <v>Min CS Markup Amt</v>
      </c>
      <c r="J346" s="1409" t="str">
        <f t="shared" si="46"/>
        <v>F315</v>
      </c>
      <c r="K346" s="1409" t="str">
        <f t="shared" si="45"/>
        <v>Pricing Schedule</v>
      </c>
      <c r="L346" s="898" t="s">
        <v>1298</v>
      </c>
      <c r="M346" s="1409">
        <v>315</v>
      </c>
      <c r="N346" s="1409"/>
      <c r="O346" s="1408"/>
      <c r="P346" s="1408"/>
      <c r="Q346" s="1408"/>
      <c r="R346" s="1408"/>
      <c r="S346" s="1408"/>
      <c r="T346" s="1408"/>
      <c r="U346" s="1408"/>
      <c r="V346" s="1408"/>
      <c r="W346" s="1408"/>
      <c r="X346" s="1408"/>
      <c r="Y346" s="1408"/>
      <c r="Z346" s="1408"/>
      <c r="AA346" s="1408"/>
    </row>
    <row r="347" spans="1:27" x14ac:dyDescent="0.25">
      <c r="A347" s="930" t="s">
        <v>1299</v>
      </c>
      <c r="B347" s="857" t="str">
        <f ca="1">IF('Pricing Schedule'!$K$5="No",_xlfn.CONCAT(IFERROR(SUBSTITUTE(ADDRESS(1,MATCH(A347,INDIRECT("'"&amp;E347&amp;"'"&amp;"!A10:Z10"),0),4),1,""),""),15),_xlfn.CONCAT(IFERROR(SUBSTITUTE(ADDRESS(1,MATCH(A347,INDIRECT("'"&amp;E347&amp;"'"&amp;"!A10:Z10"),0),4),1,""),""),49))</f>
        <v>K15</v>
      </c>
      <c r="C347" s="857" t="str">
        <f ca="1">IF('Pricing Schedule'!$K$5="No",IFERROR(SUBSTITUTE(ADDRESS(1,MATCH(A347,INDIRECT("'"&amp;E347&amp;"'"&amp;"!A10:Z10"),0),4),1,""),""),IFERROR(SUBSTITUTE(ADDRESS(1,MATCH(A347,INDIRECT("'"&amp;E347&amp;"'"&amp;"!A10:Z10"),0),4),1,""),""))</f>
        <v>K</v>
      </c>
      <c r="D347" s="859" t="s">
        <v>1374</v>
      </c>
      <c r="E347" s="859" t="s">
        <v>1291</v>
      </c>
      <c r="F347" s="1422"/>
      <c r="G347" s="1409"/>
      <c r="H347" s="1409"/>
      <c r="I347" s="857" t="str">
        <f t="shared" si="44"/>
        <v>Split Case Fee Override Flag</v>
      </c>
      <c r="J347" s="1409" t="str">
        <f t="shared" si="46"/>
        <v>F316</v>
      </c>
      <c r="K347" s="1409" t="str">
        <f t="shared" si="45"/>
        <v>Pricing Schedule</v>
      </c>
      <c r="L347" s="898" t="s">
        <v>1299</v>
      </c>
      <c r="M347" s="1409">
        <v>316</v>
      </c>
      <c r="N347" s="1409"/>
      <c r="O347" s="1408"/>
      <c r="P347" s="1408"/>
      <c r="Q347" s="1408"/>
      <c r="R347" s="1408"/>
      <c r="S347" s="1408"/>
      <c r="T347" s="1408"/>
      <c r="U347" s="1408"/>
      <c r="V347" s="1408"/>
      <c r="W347" s="1408"/>
      <c r="X347" s="1408"/>
      <c r="Y347" s="1408"/>
      <c r="Z347" s="1408"/>
      <c r="AA347" s="1408"/>
    </row>
    <row r="348" spans="1:27" x14ac:dyDescent="0.25">
      <c r="A348" s="930" t="s">
        <v>1300</v>
      </c>
      <c r="B348" s="857" t="str">
        <f ca="1">IF('Pricing Schedule'!$K$5="No",_xlfn.CONCAT(IFERROR(SUBSTITUTE(ADDRESS(1,MATCH(A348,INDIRECT("'"&amp;E348&amp;"'"&amp;"!A10:Z10"),0),4),1,""),""),15),_xlfn.CONCAT(IFERROR(SUBSTITUTE(ADDRESS(1,MATCH(A348,INDIRECT("'"&amp;E348&amp;"'"&amp;"!A10:Z10"),0),4),1,""),""),49))</f>
        <v>L15</v>
      </c>
      <c r="C348" s="857" t="str">
        <f ca="1">IF('Pricing Schedule'!$K$5="No",IFERROR(SUBSTITUTE(ADDRESS(1,MATCH(A348,INDIRECT("'"&amp;E348&amp;"'"&amp;"!A10:Z10"),0),4),1,""),""),IFERROR(SUBSTITUTE(ADDRESS(1,MATCH(A348,INDIRECT("'"&amp;E348&amp;"'"&amp;"!A10:Z10"),0),4),1,""),""))</f>
        <v>L</v>
      </c>
      <c r="D348" s="859" t="s">
        <v>1374</v>
      </c>
      <c r="E348" s="859" t="s">
        <v>1291</v>
      </c>
      <c r="F348" s="1422"/>
      <c r="G348" s="1409"/>
      <c r="H348" s="1409"/>
      <c r="I348" s="857" t="str">
        <f t="shared" si="44"/>
        <v>Split Case Fee</v>
      </c>
      <c r="J348" s="1409" t="str">
        <f t="shared" si="46"/>
        <v>F317</v>
      </c>
      <c r="K348" s="1409" t="str">
        <f t="shared" si="45"/>
        <v>Pricing Schedule</v>
      </c>
      <c r="L348" s="898" t="s">
        <v>1300</v>
      </c>
      <c r="M348" s="1409">
        <v>317</v>
      </c>
      <c r="N348" s="1409"/>
      <c r="O348" s="1408"/>
      <c r="P348" s="1408"/>
      <c r="Q348" s="1408"/>
      <c r="R348" s="1408"/>
      <c r="S348" s="1408"/>
      <c r="T348" s="1408"/>
      <c r="U348" s="1408"/>
      <c r="V348" s="1408"/>
      <c r="W348" s="1408"/>
      <c r="X348" s="1408"/>
      <c r="Y348" s="1408"/>
      <c r="Z348" s="1408"/>
      <c r="AA348" s="1408"/>
    </row>
    <row r="349" spans="1:27" x14ac:dyDescent="0.25">
      <c r="A349" s="930" t="s">
        <v>1238</v>
      </c>
      <c r="B349" s="857" t="str">
        <f ca="1">IF('Pricing Schedule'!$K$5="No",_xlfn.CONCAT(IFERROR(SUBSTITUTE(ADDRESS(1,MATCH(A349,INDIRECT("'"&amp;E349&amp;"'"&amp;"!A10:Z10"),0),4),1,""),""),15),_xlfn.CONCAT(IFERROR(SUBSTITUTE(ADDRESS(1,MATCH(A349,INDIRECT("'"&amp;E349&amp;"'"&amp;"!A10:Z10"),0),4),1,""),""),49))</f>
        <v>M15</v>
      </c>
      <c r="C349" s="857" t="str">
        <f ca="1">IF('Pricing Schedule'!$K$5="No",IFERROR(SUBSTITUTE(ADDRESS(1,MATCH(A349,INDIRECT("'"&amp;E349&amp;"'"&amp;"!A10:Z10"),0),4),1,""),""),IFERROR(SUBSTITUTE(ADDRESS(1,MATCH(A349,INDIRECT("'"&amp;E349&amp;"'"&amp;"!A10:Z10"),0),4),1,""),""))</f>
        <v>M</v>
      </c>
      <c r="D349" s="859" t="s">
        <v>1374</v>
      </c>
      <c r="E349" s="859" t="s">
        <v>1291</v>
      </c>
      <c r="F349" s="1422"/>
      <c r="G349" s="1409"/>
      <c r="H349" s="1409"/>
      <c r="I349" s="857" t="str">
        <f t="shared" si="44"/>
        <v>Split Case Per</v>
      </c>
      <c r="J349" s="1409" t="str">
        <f t="shared" si="46"/>
        <v>F318</v>
      </c>
      <c r="K349" s="1409" t="str">
        <f t="shared" si="45"/>
        <v>Pricing Schedule</v>
      </c>
      <c r="L349" s="898" t="s">
        <v>1238</v>
      </c>
      <c r="M349" s="1409">
        <v>318</v>
      </c>
      <c r="N349" s="1409"/>
      <c r="O349" s="1408"/>
      <c r="P349" s="1408"/>
      <c r="Q349" s="1408"/>
      <c r="R349" s="1408"/>
      <c r="S349" s="1408"/>
      <c r="T349" s="1408"/>
      <c r="U349" s="1408"/>
      <c r="V349" s="1408"/>
      <c r="W349" s="1408"/>
      <c r="X349" s="1408"/>
      <c r="Y349" s="1408"/>
      <c r="Z349" s="1408"/>
      <c r="AA349" s="1408"/>
    </row>
    <row r="350" spans="1:27" x14ac:dyDescent="0.25">
      <c r="A350" s="925" t="s">
        <v>1301</v>
      </c>
      <c r="B350" s="857" t="str">
        <f ca="1">IF('Pricing Schedule'!$K$5="No",_xlfn.CONCAT(IFERROR(SUBSTITUTE(ADDRESS(1,MATCH(A350,INDIRECT("'"&amp;E350&amp;"'"&amp;"!A10:Z10"),0),4),1,""),""),17),_xlfn.CONCAT(IFERROR(SUBSTITUTE(ADDRESS(1,MATCH(A350,INDIRECT("'"&amp;E350&amp;"'"&amp;"!A10:Z10"),0),4),1,""),""),51))</f>
        <v>N17</v>
      </c>
      <c r="C350" s="857" t="str">
        <f ca="1">IF('Pricing Schedule'!$K$5="No",IFERROR(SUBSTITUTE(ADDRESS(1,MATCH(A350,INDIRECT("'"&amp;E350&amp;"'"&amp;"!A10:Z10"),0),4),1,""),""),IFERROR(SUBSTITUTE(ADDRESS(1,MATCH(A350,INDIRECT("'"&amp;E350&amp;"'"&amp;"!A10:Z10"),0),4),1,""),""))</f>
        <v>N</v>
      </c>
      <c r="D350" s="859" t="s">
        <v>1374</v>
      </c>
      <c r="E350" s="859" t="s">
        <v>1291</v>
      </c>
      <c r="F350" s="1409"/>
      <c r="G350" s="1409"/>
      <c r="H350" s="1409"/>
      <c r="I350" s="857" t="str">
        <f t="shared" si="44"/>
        <v/>
      </c>
      <c r="J350" s="1409"/>
      <c r="K350" s="1409" t="str">
        <f t="shared" si="45"/>
        <v/>
      </c>
      <c r="L350" s="898" t="s">
        <v>1301</v>
      </c>
      <c r="M350" s="1409">
        <v>319</v>
      </c>
      <c r="N350" s="1409"/>
      <c r="O350" s="1408"/>
      <c r="P350" s="1408"/>
      <c r="Q350" s="1408"/>
      <c r="R350" s="1408"/>
      <c r="S350" s="1408"/>
      <c r="T350" s="1408"/>
      <c r="U350" s="1408"/>
      <c r="V350" s="1408"/>
      <c r="W350" s="1408"/>
      <c r="X350" s="1408"/>
      <c r="Y350" s="1408"/>
      <c r="Z350" s="1408"/>
      <c r="AA350" s="1408"/>
    </row>
    <row r="351" spans="1:27" x14ac:dyDescent="0.25">
      <c r="A351" s="926" t="s">
        <v>1292</v>
      </c>
      <c r="B351" s="857" t="str">
        <f ca="1">IF('Pricing Schedule'!$K$5="No",_xlfn.CONCAT(IFERROR(SUBSTITUTE(ADDRESS(1,MATCH(A351,INDIRECT("'"&amp;E351&amp;"'"&amp;"!A10:Z10"),0),4),1,""),""),17),_xlfn.CONCAT(IFERROR(SUBSTITUTE(ADDRESS(1,MATCH(A351,INDIRECT("'"&amp;E351&amp;"'"&amp;"!A10:Z10"),0),4),1,""),""),51))</f>
        <v>C17</v>
      </c>
      <c r="C351" s="857" t="str">
        <f ca="1">IF('Pricing Schedule'!$K$5="No",IFERROR(SUBSTITUTE(ADDRESS(1,MATCH(A351,INDIRECT("'"&amp;E351&amp;"'"&amp;"!A10:Z10"),0),4),1,""),""),IFERROR(SUBSTITUTE(ADDRESS(1,MATCH(A351,INDIRECT("'"&amp;E351&amp;"'"&amp;"!A10:Z10"),0),4),1,""),""))</f>
        <v>C</v>
      </c>
      <c r="D351" s="859" t="s">
        <v>1374</v>
      </c>
      <c r="E351" s="859" t="s">
        <v>1291</v>
      </c>
      <c r="F351" s="1409"/>
      <c r="G351" s="1409"/>
      <c r="H351" s="1409"/>
      <c r="I351" s="857" t="str">
        <f t="shared" si="44"/>
        <v/>
      </c>
      <c r="J351" s="1409"/>
      <c r="K351" s="1409" t="str">
        <f t="shared" si="45"/>
        <v/>
      </c>
      <c r="L351" s="898" t="s">
        <v>252</v>
      </c>
      <c r="M351" s="1409">
        <v>320</v>
      </c>
      <c r="N351" s="1409"/>
      <c r="O351" s="1408"/>
      <c r="P351" s="1408"/>
      <c r="Q351" s="1408"/>
      <c r="R351" s="1408"/>
      <c r="S351" s="1408"/>
      <c r="T351" s="1408"/>
      <c r="U351" s="1408"/>
      <c r="V351" s="1408"/>
      <c r="W351" s="1408"/>
      <c r="X351" s="1408"/>
      <c r="Y351" s="1408"/>
      <c r="Z351" s="1408"/>
      <c r="AA351" s="1408"/>
    </row>
    <row r="352" spans="1:27" x14ac:dyDescent="0.25">
      <c r="A352" s="926" t="s">
        <v>1257</v>
      </c>
      <c r="B352" s="857" t="str">
        <f ca="1">IF('Pricing Schedule'!$K$5="No",_xlfn.CONCAT(IFERROR(SUBSTITUTE(ADDRESS(1,MATCH(A352,INDIRECT("'"&amp;E352&amp;"'"&amp;"!A10:Z10"),0),4),1,""),""),17),_xlfn.CONCAT(IFERROR(SUBSTITUTE(ADDRESS(1,MATCH(A352,INDIRECT("'"&amp;E352&amp;"'"&amp;"!A10:Z10"),0),4),1,""),""),51))</f>
        <v>H17</v>
      </c>
      <c r="C352" s="857" t="str">
        <f ca="1">IF('Pricing Schedule'!$K$5="No",IFERROR(SUBSTITUTE(ADDRESS(1,MATCH(A352,INDIRECT("'"&amp;E352&amp;"'"&amp;"!A10:Z10"),0),4),1,""),""),IFERROR(SUBSTITUTE(ADDRESS(1,MATCH(A352,INDIRECT("'"&amp;E352&amp;"'"&amp;"!A10:Z10"),0),4),1,""),""))</f>
        <v>H</v>
      </c>
      <c r="D352" s="859" t="s">
        <v>1374</v>
      </c>
      <c r="E352" s="859" t="s">
        <v>1291</v>
      </c>
      <c r="F352" s="1409"/>
      <c r="G352" s="1409"/>
      <c r="H352" s="1409"/>
      <c r="I352" s="857" t="str">
        <f t="shared" si="44"/>
        <v/>
      </c>
      <c r="J352" s="1409"/>
      <c r="K352" s="1409" t="str">
        <f t="shared" si="45"/>
        <v/>
      </c>
      <c r="L352" s="898" t="s">
        <v>1257</v>
      </c>
      <c r="M352" s="1409">
        <v>321</v>
      </c>
      <c r="N352" s="1409"/>
      <c r="O352" s="1408"/>
      <c r="P352" s="1408"/>
      <c r="Q352" s="1408"/>
      <c r="R352" s="1408"/>
      <c r="S352" s="1408"/>
      <c r="T352" s="1408"/>
      <c r="U352" s="1408"/>
      <c r="V352" s="1408"/>
      <c r="W352" s="1408"/>
      <c r="X352" s="1408"/>
      <c r="Y352" s="1408"/>
      <c r="Z352" s="1408"/>
      <c r="AA352" s="1408"/>
    </row>
    <row r="353" spans="1:27" x14ac:dyDescent="0.25">
      <c r="A353" s="926" t="s">
        <v>1295</v>
      </c>
      <c r="B353" s="857" t="str">
        <f ca="1">IF('Pricing Schedule'!$K$5="No",_xlfn.CONCAT(IFERROR(SUBSTITUTE(ADDRESS(1,MATCH(A353,INDIRECT("'"&amp;E353&amp;"'"&amp;"!A10:Z10"),0),4),1,""),""),17),_xlfn.CONCAT(IFERROR(SUBSTITUTE(ADDRESS(1,MATCH(A353,INDIRECT("'"&amp;E353&amp;"'"&amp;"!A10:Z10"),0),4),1,""),""),51))</f>
        <v>F17</v>
      </c>
      <c r="C353" s="857" t="str">
        <f ca="1">IF('Pricing Schedule'!$K$5="No",IFERROR(SUBSTITUTE(ADDRESS(1,MATCH(A353,INDIRECT("'"&amp;E353&amp;"'"&amp;"!A10:Z10"),0),4),1,""),""),IFERROR(SUBSTITUTE(ADDRESS(1,MATCH(A353,INDIRECT("'"&amp;E353&amp;"'"&amp;"!A10:Z10"),0),4),1,""),""))</f>
        <v>F</v>
      </c>
      <c r="D353" s="859" t="s">
        <v>1374</v>
      </c>
      <c r="E353" s="859" t="s">
        <v>1291</v>
      </c>
      <c r="F353" s="1409"/>
      <c r="G353" s="1409"/>
      <c r="H353" s="1409"/>
      <c r="I353" s="857" t="str">
        <f t="shared" si="44"/>
        <v/>
      </c>
      <c r="J353" s="1409"/>
      <c r="K353" s="1409" t="str">
        <f t="shared" si="45"/>
        <v/>
      </c>
      <c r="L353" s="898" t="s">
        <v>225</v>
      </c>
      <c r="M353" s="1409">
        <v>322</v>
      </c>
      <c r="N353" s="1409"/>
      <c r="O353" s="1408"/>
      <c r="P353" s="1408"/>
      <c r="Q353" s="1408"/>
      <c r="R353" s="1408"/>
      <c r="S353" s="1408"/>
      <c r="T353" s="1408"/>
      <c r="U353" s="1408"/>
      <c r="V353" s="1408"/>
      <c r="W353" s="1408"/>
      <c r="X353" s="1408"/>
      <c r="Y353" s="1408"/>
      <c r="Z353" s="1408"/>
      <c r="AA353" s="1408"/>
    </row>
    <row r="354" spans="1:27" x14ac:dyDescent="0.25">
      <c r="A354" s="927" t="s">
        <v>463</v>
      </c>
      <c r="B354" s="857" t="str">
        <f ca="1">_xlfn.CONCAT(IFERROR(SUBSTITUTE(ADDRESS(1,MATCH(A354,INDIRECT("'"&amp;E354&amp;"'"&amp;"!A9:Z9"),0),4),1,""),""),16)</f>
        <v>E16</v>
      </c>
      <c r="C354" s="857" t="str">
        <f ca="1">_xlfn.CONCAT(IFERROR(SUBSTITUTE(ADDRESS(1,MATCH(A354,INDIRECT("'"&amp;E354&amp;"'"&amp;"!A9:Z9"),0),4),1,""),""))</f>
        <v>E</v>
      </c>
      <c r="D354" s="1174" t="s">
        <v>1374</v>
      </c>
      <c r="E354" s="859" t="s">
        <v>208</v>
      </c>
      <c r="F354" s="1409"/>
      <c r="G354" s="1409"/>
      <c r="H354" s="1409"/>
      <c r="I354" s="857" t="str">
        <f t="shared" si="44"/>
        <v>Exclude PIM Classes Below</v>
      </c>
      <c r="J354" s="1409" t="str">
        <f t="shared" si="46"/>
        <v>F323</v>
      </c>
      <c r="K354" s="1409" t="str">
        <f t="shared" si="45"/>
        <v>PIM Model</v>
      </c>
      <c r="L354" s="898" t="s">
        <v>463</v>
      </c>
      <c r="M354" s="1409">
        <v>323</v>
      </c>
      <c r="N354" s="1409"/>
      <c r="O354" s="1408"/>
      <c r="P354" s="1408"/>
      <c r="Q354" s="1408"/>
      <c r="R354" s="1408"/>
      <c r="S354" s="1408"/>
      <c r="T354" s="1408"/>
      <c r="U354" s="1408"/>
      <c r="V354" s="1408"/>
      <c r="W354" s="1408"/>
      <c r="X354" s="1408"/>
      <c r="Y354" s="1408"/>
      <c r="Z354" s="1408"/>
      <c r="AA354" s="1408"/>
    </row>
    <row r="355" spans="1:27" x14ac:dyDescent="0.25">
      <c r="A355" s="927" t="s">
        <v>1294</v>
      </c>
      <c r="B355" s="857" t="str">
        <f ca="1">IF('Pricing Schedule'!$K$5="No",_xlfn.CONCAT(IFERROR(SUBSTITUTE(ADDRESS(1,MATCH(A355,INDIRECT("'"&amp;E355&amp;"'"&amp;"!A10:Z10"),0),4),1,""),""),17),_xlfn.CONCAT(IFERROR(SUBSTITUTE(ADDRESS(1,MATCH(A355,INDIRECT("'"&amp;E355&amp;"'"&amp;"!A10:Z10"),0),4),1,""),""),51))</f>
        <v>E17</v>
      </c>
      <c r="C355" s="857" t="str">
        <f ca="1">IF('Pricing Schedule'!$K$5="No",IFERROR(SUBSTITUTE(ADDRESS(1,MATCH(A355,INDIRECT("'"&amp;E355&amp;"'"&amp;"!A10:Z10"),0),4),1,""),""),IFERROR(SUBSTITUTE(ADDRESS(1,MATCH(A355,INDIRECT("'"&amp;E355&amp;"'"&amp;"!A10:Z10"),0),4),1,""),""))</f>
        <v>E</v>
      </c>
      <c r="D355" s="859" t="s">
        <v>1374</v>
      </c>
      <c r="E355" s="859" t="s">
        <v>1291</v>
      </c>
      <c r="F355" s="1409"/>
      <c r="G355" s="1409"/>
      <c r="H355" s="1409"/>
      <c r="I355" s="857" t="str">
        <f t="shared" si="44"/>
        <v>Special Pricing Code</v>
      </c>
      <c r="J355" s="1409" t="str">
        <f t="shared" si="46"/>
        <v>F324</v>
      </c>
      <c r="K355" s="1409" t="str">
        <f t="shared" si="45"/>
        <v>Pricing Schedule</v>
      </c>
      <c r="L355" s="898" t="s">
        <v>1294</v>
      </c>
      <c r="M355" s="1409">
        <v>324</v>
      </c>
      <c r="N355" s="1409"/>
      <c r="O355" s="1408"/>
      <c r="P355" s="1408"/>
      <c r="Q355" s="1408"/>
      <c r="R355" s="1408"/>
      <c r="S355" s="1408"/>
      <c r="T355" s="1408"/>
      <c r="U355" s="1408"/>
      <c r="V355" s="1408"/>
      <c r="W355" s="1408"/>
      <c r="X355" s="1408"/>
      <c r="Y355" s="1408"/>
      <c r="Z355" s="1408"/>
      <c r="AA355" s="1408"/>
    </row>
    <row r="356" spans="1:27" x14ac:dyDescent="0.25">
      <c r="A356" s="927" t="s">
        <v>1296</v>
      </c>
      <c r="B356" s="857" t="str">
        <f ca="1">IF('Pricing Schedule'!$K$5="No",_xlfn.CONCAT(IFERROR(SUBSTITUTE(ADDRESS(1,MATCH(A356,INDIRECT("'"&amp;E356&amp;"'"&amp;"!A10:Z10"),0),4),1,""),""),17),_xlfn.CONCAT(IFERROR(SUBSTITUTE(ADDRESS(1,MATCH(A356,INDIRECT("'"&amp;E356&amp;"'"&amp;"!A10:Z10"),0),4),1,""),""),51))</f>
        <v>G17</v>
      </c>
      <c r="C356" s="857" t="str">
        <f ca="1">IF('Pricing Schedule'!$K$5="No",IFERROR(SUBSTITUTE(ADDRESS(1,MATCH(A356,INDIRECT("'"&amp;E356&amp;"'"&amp;"!A10:Z10"),0),4),1,""),""),IFERROR(SUBSTITUTE(ADDRESS(1,MATCH(A356,INDIRECT("'"&amp;E356&amp;"'"&amp;"!A10:Z10"),0),4),1,""),""))</f>
        <v>G</v>
      </c>
      <c r="D356" s="859" t="s">
        <v>1374</v>
      </c>
      <c r="E356" s="859" t="s">
        <v>1291</v>
      </c>
      <c r="F356" s="1422"/>
      <c r="G356" s="1409"/>
      <c r="H356" s="1409"/>
      <c r="I356" s="857" t="str">
        <f t="shared" si="44"/>
        <v>EB Markup Amt</v>
      </c>
      <c r="J356" s="1409" t="str">
        <f t="shared" si="46"/>
        <v>F325</v>
      </c>
      <c r="K356" s="1409" t="str">
        <f t="shared" si="45"/>
        <v>Pricing Schedule</v>
      </c>
      <c r="L356" s="898" t="s">
        <v>1296</v>
      </c>
      <c r="M356" s="1409">
        <v>325</v>
      </c>
      <c r="N356" s="1409"/>
      <c r="O356" s="1408"/>
      <c r="P356" s="1408"/>
      <c r="Q356" s="1408"/>
      <c r="R356" s="1408"/>
      <c r="S356" s="1408"/>
      <c r="T356" s="1408"/>
      <c r="U356" s="1408"/>
      <c r="V356" s="1408"/>
      <c r="W356" s="1408"/>
      <c r="X356" s="1408"/>
      <c r="Y356" s="1408"/>
      <c r="Z356" s="1408"/>
      <c r="AA356" s="1408"/>
    </row>
    <row r="357" spans="1:27" x14ac:dyDescent="0.25">
      <c r="A357" s="927" t="s">
        <v>1297</v>
      </c>
      <c r="B357" s="857" t="str">
        <f ca="1">IF('Pricing Schedule'!$K$5="No",_xlfn.CONCAT(IFERROR(SUBSTITUTE(ADDRESS(1,MATCH(A357,INDIRECT("'"&amp;E357&amp;"'"&amp;"!A10:Z10"),0),4),1,""),""),17),_xlfn.CONCAT(IFERROR(SUBSTITUTE(ADDRESS(1,MATCH(A357,INDIRECT("'"&amp;E357&amp;"'"&amp;"!A10:Z10"),0),4),1,""),""),51))</f>
        <v>I17</v>
      </c>
      <c r="C357" s="857" t="str">
        <f ca="1">IF('Pricing Schedule'!$K$5="No",IFERROR(SUBSTITUTE(ADDRESS(1,MATCH(A357,INDIRECT("'"&amp;E357&amp;"'"&amp;"!A10:Z10"),0),4),1,""),""),IFERROR(SUBSTITUTE(ADDRESS(1,MATCH(A357,INDIRECT("'"&amp;E357&amp;"'"&amp;"!A10:Z10"),0),4),1,""),""))</f>
        <v>I</v>
      </c>
      <c r="D357" s="859" t="s">
        <v>1374</v>
      </c>
      <c r="E357" s="859" t="s">
        <v>1291</v>
      </c>
      <c r="F357" s="1422"/>
      <c r="G357" s="1409"/>
      <c r="H357" s="1409"/>
      <c r="I357" s="857" t="str">
        <f t="shared" si="44"/>
        <v>Min CS Markup Override Flag</v>
      </c>
      <c r="J357" s="1409" t="str">
        <f t="shared" si="46"/>
        <v>F326</v>
      </c>
      <c r="K357" s="1409" t="str">
        <f t="shared" si="45"/>
        <v>Pricing Schedule</v>
      </c>
      <c r="L357" s="898" t="s">
        <v>1297</v>
      </c>
      <c r="M357" s="1409">
        <v>326</v>
      </c>
      <c r="N357" s="1409"/>
      <c r="O357" s="1408"/>
      <c r="P357" s="1408"/>
      <c r="Q357" s="1408"/>
      <c r="R357" s="1408"/>
      <c r="S357" s="1408"/>
      <c r="T357" s="1408"/>
      <c r="U357" s="1408"/>
      <c r="V357" s="1408"/>
      <c r="W357" s="1408"/>
      <c r="X357" s="1408"/>
      <c r="Y357" s="1408"/>
      <c r="Z357" s="1408"/>
      <c r="AA357" s="1408"/>
    </row>
    <row r="358" spans="1:27" x14ac:dyDescent="0.25">
      <c r="A358" s="927" t="s">
        <v>1298</v>
      </c>
      <c r="B358" s="857" t="str">
        <f ca="1">IF('Pricing Schedule'!$K$5="No",_xlfn.CONCAT(IFERROR(SUBSTITUTE(ADDRESS(1,MATCH(A358,INDIRECT("'"&amp;E358&amp;"'"&amp;"!A10:Z10"),0),4),1,""),""),17),_xlfn.CONCAT(IFERROR(SUBSTITUTE(ADDRESS(1,MATCH(A358,INDIRECT("'"&amp;E358&amp;"'"&amp;"!A10:Z10"),0),4),1,""),""),51))</f>
        <v>J17</v>
      </c>
      <c r="C358" s="857" t="str">
        <f ca="1">IF('Pricing Schedule'!$K$5="No",IFERROR(SUBSTITUTE(ADDRESS(1,MATCH(A358,INDIRECT("'"&amp;E358&amp;"'"&amp;"!A10:Z10"),0),4),1,""),""),IFERROR(SUBSTITUTE(ADDRESS(1,MATCH(A358,INDIRECT("'"&amp;E358&amp;"'"&amp;"!A10:Z10"),0),4),1,""),""))</f>
        <v>J</v>
      </c>
      <c r="D358" s="859" t="s">
        <v>1374</v>
      </c>
      <c r="E358" s="859" t="s">
        <v>1291</v>
      </c>
      <c r="F358" s="1422"/>
      <c r="G358" s="1409"/>
      <c r="H358" s="1409"/>
      <c r="I358" s="857" t="str">
        <f t="shared" si="44"/>
        <v>Min CS Markup Amt</v>
      </c>
      <c r="J358" s="1409" t="str">
        <f t="shared" si="46"/>
        <v>F327</v>
      </c>
      <c r="K358" s="1409" t="str">
        <f t="shared" si="45"/>
        <v>Pricing Schedule</v>
      </c>
      <c r="L358" s="898" t="s">
        <v>1298</v>
      </c>
      <c r="M358" s="1409">
        <v>327</v>
      </c>
      <c r="N358" s="1409"/>
      <c r="O358" s="1408"/>
      <c r="P358" s="1408"/>
      <c r="Q358" s="1408"/>
      <c r="R358" s="1408"/>
      <c r="S358" s="1408"/>
      <c r="T358" s="1408"/>
      <c r="U358" s="1408"/>
      <c r="V358" s="1408"/>
      <c r="W358" s="1408"/>
      <c r="X358" s="1408"/>
      <c r="Y358" s="1408"/>
      <c r="Z358" s="1408"/>
      <c r="AA358" s="1408"/>
    </row>
    <row r="359" spans="1:27" x14ac:dyDescent="0.25">
      <c r="A359" s="927" t="s">
        <v>1299</v>
      </c>
      <c r="B359" s="857" t="str">
        <f ca="1">IF('Pricing Schedule'!$K$5="No",_xlfn.CONCAT(IFERROR(SUBSTITUTE(ADDRESS(1,MATCH(A359,INDIRECT("'"&amp;E359&amp;"'"&amp;"!A10:Z10"),0),4),1,""),""),17),_xlfn.CONCAT(IFERROR(SUBSTITUTE(ADDRESS(1,MATCH(A359,INDIRECT("'"&amp;E359&amp;"'"&amp;"!A10:Z10"),0),4),1,""),""),51))</f>
        <v>K17</v>
      </c>
      <c r="C359" s="857" t="str">
        <f ca="1">IF('Pricing Schedule'!$K$5="No",IFERROR(SUBSTITUTE(ADDRESS(1,MATCH(A359,INDIRECT("'"&amp;E359&amp;"'"&amp;"!A10:Z10"),0),4),1,""),""),IFERROR(SUBSTITUTE(ADDRESS(1,MATCH(A359,INDIRECT("'"&amp;E359&amp;"'"&amp;"!A10:Z10"),0),4),1,""),""))</f>
        <v>K</v>
      </c>
      <c r="D359" s="859" t="s">
        <v>1374</v>
      </c>
      <c r="E359" s="859" t="s">
        <v>1291</v>
      </c>
      <c r="F359" s="1422"/>
      <c r="G359" s="1409"/>
      <c r="H359" s="1409"/>
      <c r="I359" s="857" t="str">
        <f t="shared" si="44"/>
        <v>Split Case Fee Override Flag</v>
      </c>
      <c r="J359" s="1409" t="str">
        <f t="shared" si="46"/>
        <v>F328</v>
      </c>
      <c r="K359" s="1409" t="str">
        <f t="shared" si="45"/>
        <v>Pricing Schedule</v>
      </c>
      <c r="L359" s="898" t="s">
        <v>1299</v>
      </c>
      <c r="M359" s="1409">
        <v>328</v>
      </c>
      <c r="N359" s="1409"/>
      <c r="O359" s="1408"/>
      <c r="P359" s="1408"/>
      <c r="Q359" s="1408"/>
      <c r="R359" s="1408"/>
      <c r="S359" s="1408"/>
      <c r="T359" s="1408"/>
      <c r="U359" s="1408"/>
      <c r="V359" s="1408"/>
      <c r="W359" s="1408"/>
      <c r="X359" s="1408"/>
      <c r="Y359" s="1408"/>
      <c r="Z359" s="1408"/>
      <c r="AA359" s="1408"/>
    </row>
    <row r="360" spans="1:27" x14ac:dyDescent="0.25">
      <c r="A360" s="927" t="s">
        <v>1300</v>
      </c>
      <c r="B360" s="857" t="str">
        <f ca="1">IF('Pricing Schedule'!$K$5="No",_xlfn.CONCAT(IFERROR(SUBSTITUTE(ADDRESS(1,MATCH(A360,INDIRECT("'"&amp;E360&amp;"'"&amp;"!A10:Z10"),0),4),1,""),""),17),_xlfn.CONCAT(IFERROR(SUBSTITUTE(ADDRESS(1,MATCH(A360,INDIRECT("'"&amp;E360&amp;"'"&amp;"!A10:Z10"),0),4),1,""),""),51))</f>
        <v>L17</v>
      </c>
      <c r="C360" s="857" t="str">
        <f ca="1">IF('Pricing Schedule'!$K$5="No",IFERROR(SUBSTITUTE(ADDRESS(1,MATCH(A360,INDIRECT("'"&amp;E360&amp;"'"&amp;"!A10:Z10"),0),4),1,""),""),IFERROR(SUBSTITUTE(ADDRESS(1,MATCH(A360,INDIRECT("'"&amp;E360&amp;"'"&amp;"!A10:Z10"),0),4),1,""),""))</f>
        <v>L</v>
      </c>
      <c r="D360" s="859" t="s">
        <v>1374</v>
      </c>
      <c r="E360" s="859" t="s">
        <v>1291</v>
      </c>
      <c r="F360" s="1422"/>
      <c r="G360" s="1409"/>
      <c r="H360" s="1409"/>
      <c r="I360" s="857" t="str">
        <f t="shared" si="44"/>
        <v>Split Case Fee</v>
      </c>
      <c r="J360" s="1409" t="str">
        <f t="shared" si="46"/>
        <v>F329</v>
      </c>
      <c r="K360" s="1409" t="str">
        <f t="shared" si="45"/>
        <v>Pricing Schedule</v>
      </c>
      <c r="L360" s="898" t="s">
        <v>1300</v>
      </c>
      <c r="M360" s="1409">
        <v>329</v>
      </c>
      <c r="N360" s="1409"/>
      <c r="O360" s="1408"/>
      <c r="P360" s="1408"/>
      <c r="Q360" s="1408"/>
      <c r="R360" s="1408"/>
      <c r="S360" s="1408"/>
      <c r="T360" s="1408"/>
      <c r="U360" s="1408"/>
      <c r="V360" s="1408"/>
      <c r="W360" s="1408"/>
      <c r="X360" s="1408"/>
      <c r="Y360" s="1408"/>
      <c r="Z360" s="1408"/>
      <c r="AA360" s="1408"/>
    </row>
    <row r="361" spans="1:27" x14ac:dyDescent="0.25">
      <c r="A361" s="927" t="s">
        <v>1238</v>
      </c>
      <c r="B361" s="857" t="str">
        <f ca="1">IF('Pricing Schedule'!$K$5="No",_xlfn.CONCAT(IFERROR(SUBSTITUTE(ADDRESS(1,MATCH(A361,INDIRECT("'"&amp;E361&amp;"'"&amp;"!A10:Z10"),0),4),1,""),""),17),_xlfn.CONCAT(IFERROR(SUBSTITUTE(ADDRESS(1,MATCH(A361,INDIRECT("'"&amp;E361&amp;"'"&amp;"!A10:Z10"),0),4),1,""),""),51))</f>
        <v>M17</v>
      </c>
      <c r="C361" s="857" t="str">
        <f ca="1">IF('Pricing Schedule'!$K$5="No",IFERROR(SUBSTITUTE(ADDRESS(1,MATCH(A361,INDIRECT("'"&amp;E361&amp;"'"&amp;"!A10:Z10"),0),4),1,""),""),IFERROR(SUBSTITUTE(ADDRESS(1,MATCH(A361,INDIRECT("'"&amp;E361&amp;"'"&amp;"!A10:Z10"),0),4),1,""),""))</f>
        <v>M</v>
      </c>
      <c r="D361" s="859" t="s">
        <v>1374</v>
      </c>
      <c r="E361" s="859" t="s">
        <v>1291</v>
      </c>
      <c r="F361" s="1422"/>
      <c r="G361" s="1409"/>
      <c r="H361" s="1409"/>
      <c r="I361" s="857" t="str">
        <f t="shared" si="44"/>
        <v>Split Case Per</v>
      </c>
      <c r="J361" s="1409" t="str">
        <f t="shared" si="46"/>
        <v>F330</v>
      </c>
      <c r="K361" s="1409" t="str">
        <f t="shared" si="45"/>
        <v>Pricing Schedule</v>
      </c>
      <c r="L361" s="898" t="s">
        <v>1238</v>
      </c>
      <c r="M361" s="1409">
        <v>330</v>
      </c>
      <c r="N361" s="1409"/>
      <c r="O361" s="1408"/>
      <c r="P361" s="1408"/>
      <c r="Q361" s="1408"/>
      <c r="R361" s="1408"/>
      <c r="S361" s="1408"/>
      <c r="T361" s="1408"/>
      <c r="U361" s="1408"/>
      <c r="V361" s="1408"/>
      <c r="W361" s="1408"/>
      <c r="X361" s="1408"/>
      <c r="Y361" s="1408"/>
      <c r="Z361" s="1408"/>
      <c r="AA361" s="1408"/>
    </row>
    <row r="362" spans="1:27" x14ac:dyDescent="0.25">
      <c r="A362" s="928" t="s">
        <v>1301</v>
      </c>
      <c r="B362" s="857" t="str">
        <f ca="1">IF('Pricing Schedule'!$K$5="No",_xlfn.CONCAT(IFERROR(SUBSTITUTE(ADDRESS(1,MATCH(A362,INDIRECT("'"&amp;E362&amp;"'"&amp;"!A10:Z10"),0),4),1,""),""),20),_xlfn.CONCAT(IFERROR(SUBSTITUTE(ADDRESS(1,MATCH(A362,INDIRECT("'"&amp;E362&amp;"'"&amp;"!A10:Z10"),0),4),1,""),""),54))</f>
        <v>N20</v>
      </c>
      <c r="C362" s="857" t="str">
        <f ca="1">IF('Pricing Schedule'!$K$5="No",IFERROR(SUBSTITUTE(ADDRESS(1,MATCH(A362,INDIRECT("'"&amp;E362&amp;"'"&amp;"!A10:Z10"),0),4),1,""),""),IFERROR(SUBSTITUTE(ADDRESS(1,MATCH(A362,INDIRECT("'"&amp;E362&amp;"'"&amp;"!A10:Z10"),0),4),1,""),""))</f>
        <v>N</v>
      </c>
      <c r="D362" s="859" t="s">
        <v>1374</v>
      </c>
      <c r="E362" s="859" t="s">
        <v>1291</v>
      </c>
      <c r="F362" s="1409"/>
      <c r="G362" s="1409"/>
      <c r="H362" s="1409"/>
      <c r="I362" s="857" t="str">
        <f t="shared" si="44"/>
        <v/>
      </c>
      <c r="J362" s="1409"/>
      <c r="K362" s="1409" t="str">
        <f t="shared" si="45"/>
        <v/>
      </c>
      <c r="L362" s="898" t="s">
        <v>1301</v>
      </c>
      <c r="M362" s="1409">
        <v>331</v>
      </c>
      <c r="N362" s="1409"/>
      <c r="O362" s="1408"/>
      <c r="P362" s="1408"/>
      <c r="Q362" s="1408"/>
      <c r="R362" s="1408"/>
      <c r="S362" s="1408"/>
      <c r="T362" s="1408"/>
      <c r="U362" s="1408"/>
      <c r="V362" s="1408"/>
      <c r="W362" s="1408"/>
      <c r="X362" s="1408"/>
      <c r="Y362" s="1408"/>
      <c r="Z362" s="1408"/>
      <c r="AA362" s="1408"/>
    </row>
    <row r="363" spans="1:27" x14ac:dyDescent="0.25">
      <c r="A363" s="929" t="s">
        <v>1292</v>
      </c>
      <c r="B363" s="857" t="str">
        <f ca="1">IF('Pricing Schedule'!$K$5="No",_xlfn.CONCAT(IFERROR(SUBSTITUTE(ADDRESS(1,MATCH(A363,INDIRECT("'"&amp;E363&amp;"'"&amp;"!A10:Z10"),0),4),1,""),""),20),_xlfn.CONCAT(IFERROR(SUBSTITUTE(ADDRESS(1,MATCH(A363,INDIRECT("'"&amp;E363&amp;"'"&amp;"!A10:Z10"),0),4),1,""),""),54))</f>
        <v>C20</v>
      </c>
      <c r="C363" s="857" t="str">
        <f ca="1">IF('Pricing Schedule'!$K$5="No",IFERROR(SUBSTITUTE(ADDRESS(1,MATCH(A363,INDIRECT("'"&amp;E363&amp;"'"&amp;"!A10:Z10"),0),4),1,""),""),IFERROR(SUBSTITUTE(ADDRESS(1,MATCH(A363,INDIRECT("'"&amp;E363&amp;"'"&amp;"!A10:Z10"),0),4),1,""),""))</f>
        <v>C</v>
      </c>
      <c r="D363" s="859" t="s">
        <v>1374</v>
      </c>
      <c r="E363" s="859" t="s">
        <v>1291</v>
      </c>
      <c r="F363" s="1409"/>
      <c r="G363" s="1409"/>
      <c r="H363" s="1409"/>
      <c r="I363" s="857" t="str">
        <f t="shared" si="44"/>
        <v/>
      </c>
      <c r="J363" s="1409"/>
      <c r="K363" s="1409" t="str">
        <f t="shared" si="45"/>
        <v/>
      </c>
      <c r="L363" s="898" t="s">
        <v>252</v>
      </c>
      <c r="M363" s="1409">
        <v>332</v>
      </c>
      <c r="N363" s="1409"/>
      <c r="O363" s="1408"/>
      <c r="P363" s="1408"/>
      <c r="Q363" s="1408"/>
      <c r="R363" s="1408"/>
      <c r="S363" s="1408"/>
      <c r="T363" s="1408"/>
      <c r="U363" s="1408"/>
      <c r="V363" s="1408"/>
      <c r="W363" s="1408"/>
      <c r="X363" s="1408"/>
      <c r="Y363" s="1408"/>
      <c r="Z363" s="1408"/>
      <c r="AA363" s="1408"/>
    </row>
    <row r="364" spans="1:27" x14ac:dyDescent="0.25">
      <c r="A364" s="929" t="s">
        <v>1257</v>
      </c>
      <c r="B364" s="857" t="str">
        <f ca="1">IF('Pricing Schedule'!$K$5="No",_xlfn.CONCAT(IFERROR(SUBSTITUTE(ADDRESS(1,MATCH(A364,INDIRECT("'"&amp;E364&amp;"'"&amp;"!A10:Z10"),0),4),1,""),""),20),_xlfn.CONCAT(IFERROR(SUBSTITUTE(ADDRESS(1,MATCH(A364,INDIRECT("'"&amp;E364&amp;"'"&amp;"!A10:Z10"),0),4),1,""),""),54))</f>
        <v>H20</v>
      </c>
      <c r="C364" s="857" t="str">
        <f ca="1">IF('Pricing Schedule'!$K$5="No",IFERROR(SUBSTITUTE(ADDRESS(1,MATCH(A364,INDIRECT("'"&amp;E364&amp;"'"&amp;"!A10:Z10"),0),4),1,""),""),IFERROR(SUBSTITUTE(ADDRESS(1,MATCH(A364,INDIRECT("'"&amp;E364&amp;"'"&amp;"!A10:Z10"),0),4),1,""),""))</f>
        <v>H</v>
      </c>
      <c r="D364" s="859" t="s">
        <v>1374</v>
      </c>
      <c r="E364" s="859" t="s">
        <v>1291</v>
      </c>
      <c r="F364" s="1409"/>
      <c r="G364" s="1409"/>
      <c r="H364" s="1409"/>
      <c r="I364" s="857" t="str">
        <f t="shared" si="44"/>
        <v/>
      </c>
      <c r="J364" s="1409"/>
      <c r="K364" s="1409" t="str">
        <f t="shared" si="45"/>
        <v/>
      </c>
      <c r="L364" s="898" t="s">
        <v>1257</v>
      </c>
      <c r="M364" s="1409">
        <v>333</v>
      </c>
      <c r="N364" s="1409"/>
      <c r="O364" s="1408"/>
      <c r="P364" s="1408"/>
      <c r="Q364" s="1408"/>
      <c r="R364" s="1408"/>
      <c r="S364" s="1408"/>
      <c r="T364" s="1408"/>
      <c r="U364" s="1408"/>
      <c r="V364" s="1408"/>
      <c r="W364" s="1408"/>
      <c r="X364" s="1408"/>
      <c r="Y364" s="1408"/>
      <c r="Z364" s="1408"/>
      <c r="AA364" s="1408"/>
    </row>
    <row r="365" spans="1:27" x14ac:dyDescent="0.25">
      <c r="A365" s="929" t="s">
        <v>1295</v>
      </c>
      <c r="B365" s="857" t="str">
        <f ca="1">IF('Pricing Schedule'!$K$5="No",_xlfn.CONCAT(IFERROR(SUBSTITUTE(ADDRESS(1,MATCH(A365,INDIRECT("'"&amp;E365&amp;"'"&amp;"!A10:Z10"),0),4),1,""),""),20),_xlfn.CONCAT(IFERROR(SUBSTITUTE(ADDRESS(1,MATCH(A365,INDIRECT("'"&amp;E365&amp;"'"&amp;"!A10:Z10"),0),4),1,""),""),54))</f>
        <v>F20</v>
      </c>
      <c r="C365" s="857" t="str">
        <f ca="1">IF('Pricing Schedule'!$K$5="No",IFERROR(SUBSTITUTE(ADDRESS(1,MATCH(A365,INDIRECT("'"&amp;E365&amp;"'"&amp;"!A10:Z10"),0),4),1,""),""),IFERROR(SUBSTITUTE(ADDRESS(1,MATCH(A365,INDIRECT("'"&amp;E365&amp;"'"&amp;"!A10:Z10"),0),4),1,""),""))</f>
        <v>F</v>
      </c>
      <c r="D365" s="859" t="s">
        <v>1374</v>
      </c>
      <c r="E365" s="859" t="s">
        <v>1291</v>
      </c>
      <c r="F365" s="1409"/>
      <c r="G365" s="1409"/>
      <c r="H365" s="1409"/>
      <c r="I365" s="857" t="str">
        <f t="shared" si="44"/>
        <v/>
      </c>
      <c r="J365" s="1409"/>
      <c r="K365" s="1409" t="str">
        <f t="shared" si="45"/>
        <v/>
      </c>
      <c r="L365" s="898" t="s">
        <v>225</v>
      </c>
      <c r="M365" s="1409">
        <v>334</v>
      </c>
      <c r="N365" s="1409"/>
      <c r="O365" s="1408"/>
      <c r="P365" s="1408"/>
      <c r="Q365" s="1408"/>
      <c r="R365" s="1408"/>
      <c r="S365" s="1408"/>
      <c r="T365" s="1408"/>
      <c r="U365" s="1408"/>
      <c r="V365" s="1408"/>
      <c r="W365" s="1408"/>
      <c r="X365" s="1408"/>
      <c r="Y365" s="1408"/>
      <c r="Z365" s="1408"/>
      <c r="AA365" s="1408"/>
    </row>
    <row r="366" spans="1:27" x14ac:dyDescent="0.25">
      <c r="A366" s="930" t="s">
        <v>463</v>
      </c>
      <c r="B366" s="857" t="str">
        <f ca="1">_xlfn.CONCAT(IFERROR(SUBSTITUTE(ADDRESS(1,MATCH(A366,INDIRECT("'"&amp;E366&amp;"'"&amp;"!A9:Z9"),0),4),1,""),""),17)</f>
        <v>E17</v>
      </c>
      <c r="C366" s="857" t="str">
        <f ca="1">_xlfn.CONCAT(IFERROR(SUBSTITUTE(ADDRESS(1,MATCH(A366,INDIRECT("'"&amp;E366&amp;"'"&amp;"!A9:Z9"),0),4),1,""),""))</f>
        <v>E</v>
      </c>
      <c r="D366" s="1174" t="s">
        <v>1374</v>
      </c>
      <c r="E366" s="859" t="s">
        <v>208</v>
      </c>
      <c r="F366" s="1409"/>
      <c r="G366" s="1409"/>
      <c r="H366" s="1409"/>
      <c r="I366" s="857" t="str">
        <f t="shared" si="44"/>
        <v>Exclude PIM Classes Below</v>
      </c>
      <c r="J366" s="1409" t="str">
        <f t="shared" si="46"/>
        <v>F335</v>
      </c>
      <c r="K366" s="1409" t="str">
        <f t="shared" si="45"/>
        <v>PIM Model</v>
      </c>
      <c r="L366" s="898" t="s">
        <v>463</v>
      </c>
      <c r="M366" s="1409">
        <v>335</v>
      </c>
      <c r="N366" s="1409"/>
      <c r="O366" s="1408"/>
      <c r="P366" s="1408"/>
      <c r="Q366" s="1408"/>
      <c r="R366" s="1408"/>
      <c r="S366" s="1408"/>
      <c r="T366" s="1408"/>
      <c r="U366" s="1408"/>
      <c r="V366" s="1408"/>
      <c r="W366" s="1408"/>
      <c r="X366" s="1408"/>
      <c r="Y366" s="1408"/>
      <c r="Z366" s="1408"/>
      <c r="AA366" s="1408"/>
    </row>
    <row r="367" spans="1:27" x14ac:dyDescent="0.25">
      <c r="A367" s="930" t="s">
        <v>1294</v>
      </c>
      <c r="B367" s="857" t="str">
        <f ca="1">IF('Pricing Schedule'!$K$5="No",_xlfn.CONCAT(IFERROR(SUBSTITUTE(ADDRESS(1,MATCH(A367,INDIRECT("'"&amp;E367&amp;"'"&amp;"!A10:Z10"),0),4),1,""),""),20),_xlfn.CONCAT(IFERROR(SUBSTITUTE(ADDRESS(1,MATCH(A367,INDIRECT("'"&amp;E367&amp;"'"&amp;"!A10:Z10"),0),4),1,""),""),54))</f>
        <v>E20</v>
      </c>
      <c r="C367" s="857" t="str">
        <f ca="1">IF('Pricing Schedule'!$K$5="No",IFERROR(SUBSTITUTE(ADDRESS(1,MATCH(A367,INDIRECT("'"&amp;E367&amp;"'"&amp;"!A10:Z10"),0),4),1,""),""),IFERROR(SUBSTITUTE(ADDRESS(1,MATCH(A367,INDIRECT("'"&amp;E367&amp;"'"&amp;"!A10:Z10"),0),4),1,""),""))</f>
        <v>E</v>
      </c>
      <c r="D367" s="859" t="s">
        <v>1374</v>
      </c>
      <c r="E367" s="859" t="s">
        <v>1291</v>
      </c>
      <c r="F367" s="1409"/>
      <c r="G367" s="1409"/>
      <c r="H367" s="1409"/>
      <c r="I367" s="857" t="str">
        <f t="shared" si="44"/>
        <v>Special Pricing Code</v>
      </c>
      <c r="J367" s="1409" t="str">
        <f t="shared" si="46"/>
        <v>F336</v>
      </c>
      <c r="K367" s="1409" t="str">
        <f t="shared" si="45"/>
        <v>Pricing Schedule</v>
      </c>
      <c r="L367" s="898" t="s">
        <v>1294</v>
      </c>
      <c r="M367" s="1409">
        <v>336</v>
      </c>
      <c r="N367" s="1409"/>
      <c r="O367" s="1408"/>
      <c r="P367" s="1408"/>
      <c r="Q367" s="1408"/>
      <c r="R367" s="1408"/>
      <c r="S367" s="1408"/>
      <c r="T367" s="1408"/>
      <c r="U367" s="1408"/>
      <c r="V367" s="1408"/>
      <c r="W367" s="1408"/>
      <c r="X367" s="1408"/>
      <c r="Y367" s="1408"/>
      <c r="Z367" s="1408"/>
      <c r="AA367" s="1408"/>
    </row>
    <row r="368" spans="1:27" x14ac:dyDescent="0.25">
      <c r="A368" s="930" t="s">
        <v>1296</v>
      </c>
      <c r="B368" s="857" t="str">
        <f ca="1">IF('Pricing Schedule'!$K$5="No",_xlfn.CONCAT(IFERROR(SUBSTITUTE(ADDRESS(1,MATCH(A368,INDIRECT("'"&amp;E368&amp;"'"&amp;"!A10:Z10"),0),4),1,""),""),20),_xlfn.CONCAT(IFERROR(SUBSTITUTE(ADDRESS(1,MATCH(A368,INDIRECT("'"&amp;E368&amp;"'"&amp;"!A10:Z10"),0),4),1,""),""),54))</f>
        <v>G20</v>
      </c>
      <c r="C368" s="857" t="str">
        <f ca="1">IF('Pricing Schedule'!$K$5="No",IFERROR(SUBSTITUTE(ADDRESS(1,MATCH(A368,INDIRECT("'"&amp;E368&amp;"'"&amp;"!A10:Z10"),0),4),1,""),""),IFERROR(SUBSTITUTE(ADDRESS(1,MATCH(A368,INDIRECT("'"&amp;E368&amp;"'"&amp;"!A10:Z10"),0),4),1,""),""))</f>
        <v>G</v>
      </c>
      <c r="D368" s="859" t="s">
        <v>1374</v>
      </c>
      <c r="E368" s="859" t="s">
        <v>1291</v>
      </c>
      <c r="F368" s="1422"/>
      <c r="G368" s="1409"/>
      <c r="H368" s="1409"/>
      <c r="I368" s="857" t="str">
        <f t="shared" si="44"/>
        <v>EB Markup Amt</v>
      </c>
      <c r="J368" s="1409" t="str">
        <f t="shared" si="46"/>
        <v>F337</v>
      </c>
      <c r="K368" s="1409" t="str">
        <f t="shared" si="45"/>
        <v>Pricing Schedule</v>
      </c>
      <c r="L368" s="898" t="s">
        <v>1296</v>
      </c>
      <c r="M368" s="1409">
        <v>337</v>
      </c>
      <c r="N368" s="1409"/>
      <c r="O368" s="1408"/>
      <c r="P368" s="1408"/>
      <c r="Q368" s="1408"/>
      <c r="R368" s="1408"/>
      <c r="S368" s="1408"/>
      <c r="T368" s="1408"/>
      <c r="U368" s="1408"/>
      <c r="V368" s="1408"/>
      <c r="W368" s="1408"/>
      <c r="X368" s="1408"/>
      <c r="Y368" s="1408"/>
      <c r="Z368" s="1408"/>
      <c r="AA368" s="1408"/>
    </row>
    <row r="369" spans="1:27" x14ac:dyDescent="0.25">
      <c r="A369" s="930" t="s">
        <v>1297</v>
      </c>
      <c r="B369" s="857" t="str">
        <f ca="1">IF('Pricing Schedule'!$K$5="No",_xlfn.CONCAT(IFERROR(SUBSTITUTE(ADDRESS(1,MATCH(A369,INDIRECT("'"&amp;E369&amp;"'"&amp;"!A10:Z10"),0),4),1,""),""),20),_xlfn.CONCAT(IFERROR(SUBSTITUTE(ADDRESS(1,MATCH(A369,INDIRECT("'"&amp;E369&amp;"'"&amp;"!A10:Z10"),0),4),1,""),""),54))</f>
        <v>I20</v>
      </c>
      <c r="C369" s="857" t="str">
        <f ca="1">IF('Pricing Schedule'!$K$5="No",IFERROR(SUBSTITUTE(ADDRESS(1,MATCH(A369,INDIRECT("'"&amp;E369&amp;"'"&amp;"!A10:Z10"),0),4),1,""),""),IFERROR(SUBSTITUTE(ADDRESS(1,MATCH(A369,INDIRECT("'"&amp;E369&amp;"'"&amp;"!A10:Z10"),0),4),1,""),""))</f>
        <v>I</v>
      </c>
      <c r="D369" s="859" t="s">
        <v>1374</v>
      </c>
      <c r="E369" s="859" t="s">
        <v>1291</v>
      </c>
      <c r="F369" s="1422"/>
      <c r="G369" s="1409"/>
      <c r="H369" s="1409"/>
      <c r="I369" s="857" t="str">
        <f t="shared" si="44"/>
        <v>Min CS Markup Override Flag</v>
      </c>
      <c r="J369" s="1409" t="str">
        <f t="shared" si="46"/>
        <v>F338</v>
      </c>
      <c r="K369" s="1409" t="str">
        <f t="shared" si="45"/>
        <v>Pricing Schedule</v>
      </c>
      <c r="L369" s="898" t="s">
        <v>1297</v>
      </c>
      <c r="M369" s="1409">
        <v>338</v>
      </c>
      <c r="N369" s="1409"/>
      <c r="O369" s="1408"/>
      <c r="P369" s="1408"/>
      <c r="Q369" s="1408"/>
      <c r="R369" s="1408"/>
      <c r="S369" s="1408"/>
      <c r="T369" s="1408"/>
      <c r="U369" s="1408"/>
      <c r="V369" s="1408"/>
      <c r="W369" s="1408"/>
      <c r="X369" s="1408"/>
      <c r="Y369" s="1408"/>
      <c r="Z369" s="1408"/>
      <c r="AA369" s="1408"/>
    </row>
    <row r="370" spans="1:27" x14ac:dyDescent="0.25">
      <c r="A370" s="930" t="s">
        <v>1298</v>
      </c>
      <c r="B370" s="857" t="str">
        <f ca="1">IF('Pricing Schedule'!$K$5="No",_xlfn.CONCAT(IFERROR(SUBSTITUTE(ADDRESS(1,MATCH(A370,INDIRECT("'"&amp;E370&amp;"'"&amp;"!A10:Z10"),0),4),1,""),""),20),_xlfn.CONCAT(IFERROR(SUBSTITUTE(ADDRESS(1,MATCH(A370,INDIRECT("'"&amp;E370&amp;"'"&amp;"!A10:Z10"),0),4),1,""),""),54))</f>
        <v>J20</v>
      </c>
      <c r="C370" s="857" t="str">
        <f ca="1">IF('Pricing Schedule'!$K$5="No",IFERROR(SUBSTITUTE(ADDRESS(1,MATCH(A370,INDIRECT("'"&amp;E370&amp;"'"&amp;"!A10:Z10"),0),4),1,""),""),IFERROR(SUBSTITUTE(ADDRESS(1,MATCH(A370,INDIRECT("'"&amp;E370&amp;"'"&amp;"!A10:Z10"),0),4),1,""),""))</f>
        <v>J</v>
      </c>
      <c r="D370" s="859" t="s">
        <v>1374</v>
      </c>
      <c r="E370" s="859" t="s">
        <v>1291</v>
      </c>
      <c r="F370" s="1422"/>
      <c r="G370" s="1409"/>
      <c r="H370" s="1409"/>
      <c r="I370" s="857" t="str">
        <f t="shared" si="44"/>
        <v>Min CS Markup Amt</v>
      </c>
      <c r="J370" s="1409" t="str">
        <f t="shared" si="46"/>
        <v>F339</v>
      </c>
      <c r="K370" s="1409" t="str">
        <f t="shared" si="45"/>
        <v>Pricing Schedule</v>
      </c>
      <c r="L370" s="898" t="s">
        <v>1298</v>
      </c>
      <c r="M370" s="1409">
        <v>339</v>
      </c>
      <c r="N370" s="1409"/>
      <c r="O370" s="1408"/>
      <c r="P370" s="1408"/>
      <c r="Q370" s="1408"/>
      <c r="R370" s="1408"/>
      <c r="S370" s="1408"/>
      <c r="T370" s="1408"/>
      <c r="U370" s="1408"/>
      <c r="V370" s="1408"/>
      <c r="W370" s="1408"/>
      <c r="X370" s="1408"/>
      <c r="Y370" s="1408"/>
      <c r="Z370" s="1408"/>
      <c r="AA370" s="1408"/>
    </row>
    <row r="371" spans="1:27" x14ac:dyDescent="0.25">
      <c r="A371" s="930" t="s">
        <v>1299</v>
      </c>
      <c r="B371" s="857" t="str">
        <f ca="1">IF('Pricing Schedule'!$K$5="No",_xlfn.CONCAT(IFERROR(SUBSTITUTE(ADDRESS(1,MATCH(A371,INDIRECT("'"&amp;E371&amp;"'"&amp;"!A10:Z10"),0),4),1,""),""),20),_xlfn.CONCAT(IFERROR(SUBSTITUTE(ADDRESS(1,MATCH(A371,INDIRECT("'"&amp;E371&amp;"'"&amp;"!A10:Z10"),0),4),1,""),""),54))</f>
        <v>K20</v>
      </c>
      <c r="C371" s="857" t="str">
        <f ca="1">IF('Pricing Schedule'!$K$5="No",IFERROR(SUBSTITUTE(ADDRESS(1,MATCH(A371,INDIRECT("'"&amp;E371&amp;"'"&amp;"!A10:Z10"),0),4),1,""),""),IFERROR(SUBSTITUTE(ADDRESS(1,MATCH(A371,INDIRECT("'"&amp;E371&amp;"'"&amp;"!A10:Z10"),0),4),1,""),""))</f>
        <v>K</v>
      </c>
      <c r="D371" s="859" t="s">
        <v>1374</v>
      </c>
      <c r="E371" s="859" t="s">
        <v>1291</v>
      </c>
      <c r="F371" s="1422"/>
      <c r="G371" s="1409"/>
      <c r="H371" s="1409"/>
      <c r="I371" s="857" t="str">
        <f t="shared" si="44"/>
        <v>Split Case Fee Override Flag</v>
      </c>
      <c r="J371" s="1409" t="str">
        <f t="shared" si="46"/>
        <v>F340</v>
      </c>
      <c r="K371" s="1409" t="str">
        <f t="shared" si="45"/>
        <v>Pricing Schedule</v>
      </c>
      <c r="L371" s="898" t="s">
        <v>1299</v>
      </c>
      <c r="M371" s="1409">
        <v>340</v>
      </c>
      <c r="N371" s="1409"/>
      <c r="O371" s="1408"/>
      <c r="P371" s="1408"/>
      <c r="Q371" s="1408"/>
      <c r="R371" s="1408"/>
      <c r="S371" s="1408"/>
      <c r="T371" s="1408"/>
      <c r="U371" s="1408"/>
      <c r="V371" s="1408"/>
      <c r="W371" s="1408"/>
      <c r="X371" s="1408"/>
      <c r="Y371" s="1408"/>
      <c r="Z371" s="1408"/>
      <c r="AA371" s="1408"/>
    </row>
    <row r="372" spans="1:27" x14ac:dyDescent="0.25">
      <c r="A372" s="930" t="s">
        <v>1300</v>
      </c>
      <c r="B372" s="857" t="str">
        <f ca="1">IF('Pricing Schedule'!$K$5="No",_xlfn.CONCAT(IFERROR(SUBSTITUTE(ADDRESS(1,MATCH(A372,INDIRECT("'"&amp;E372&amp;"'"&amp;"!A10:Z10"),0),4),1,""),""),20),_xlfn.CONCAT(IFERROR(SUBSTITUTE(ADDRESS(1,MATCH(A372,INDIRECT("'"&amp;E372&amp;"'"&amp;"!A10:Z10"),0),4),1,""),""),54))</f>
        <v>L20</v>
      </c>
      <c r="C372" s="857" t="str">
        <f ca="1">IF('Pricing Schedule'!$K$5="No",IFERROR(SUBSTITUTE(ADDRESS(1,MATCH(A372,INDIRECT("'"&amp;E372&amp;"'"&amp;"!A10:Z10"),0),4),1,""),""),IFERROR(SUBSTITUTE(ADDRESS(1,MATCH(A372,INDIRECT("'"&amp;E372&amp;"'"&amp;"!A10:Z10"),0),4),1,""),""))</f>
        <v>L</v>
      </c>
      <c r="D372" s="859" t="s">
        <v>1374</v>
      </c>
      <c r="E372" s="859" t="s">
        <v>1291</v>
      </c>
      <c r="F372" s="1422"/>
      <c r="G372" s="1409"/>
      <c r="H372" s="1409"/>
      <c r="I372" s="857" t="str">
        <f t="shared" si="44"/>
        <v>Split Case Fee</v>
      </c>
      <c r="J372" s="1409" t="str">
        <f t="shared" si="46"/>
        <v>F341</v>
      </c>
      <c r="K372" s="1409" t="str">
        <f t="shared" si="45"/>
        <v>Pricing Schedule</v>
      </c>
      <c r="L372" s="898" t="s">
        <v>1300</v>
      </c>
      <c r="M372" s="1409">
        <v>341</v>
      </c>
      <c r="N372" s="1409"/>
      <c r="O372" s="1408"/>
      <c r="P372" s="1408"/>
      <c r="Q372" s="1408"/>
      <c r="R372" s="1408"/>
      <c r="S372" s="1408"/>
      <c r="T372" s="1408"/>
      <c r="U372" s="1408"/>
      <c r="V372" s="1408"/>
      <c r="W372" s="1408"/>
      <c r="X372" s="1408"/>
      <c r="Y372" s="1408"/>
      <c r="Z372" s="1408"/>
      <c r="AA372" s="1408"/>
    </row>
    <row r="373" spans="1:27" x14ac:dyDescent="0.25">
      <c r="A373" s="930" t="s">
        <v>1238</v>
      </c>
      <c r="B373" s="857" t="str">
        <f ca="1">IF('Pricing Schedule'!$K$5="No",_xlfn.CONCAT(IFERROR(SUBSTITUTE(ADDRESS(1,MATCH(A373,INDIRECT("'"&amp;E373&amp;"'"&amp;"!A10:Z10"),0),4),1,""),""),20),_xlfn.CONCAT(IFERROR(SUBSTITUTE(ADDRESS(1,MATCH(A373,INDIRECT("'"&amp;E373&amp;"'"&amp;"!A10:Z10"),0),4),1,""),""),54))</f>
        <v>M20</v>
      </c>
      <c r="C373" s="857" t="str">
        <f ca="1">IF('Pricing Schedule'!$K$5="No",IFERROR(SUBSTITUTE(ADDRESS(1,MATCH(A373,INDIRECT("'"&amp;E373&amp;"'"&amp;"!A10:Z10"),0),4),1,""),""),IFERROR(SUBSTITUTE(ADDRESS(1,MATCH(A373,INDIRECT("'"&amp;E373&amp;"'"&amp;"!A10:Z10"),0),4),1,""),""))</f>
        <v>M</v>
      </c>
      <c r="D373" s="859" t="s">
        <v>1374</v>
      </c>
      <c r="E373" s="859" t="s">
        <v>1291</v>
      </c>
      <c r="F373" s="1422"/>
      <c r="G373" s="1409"/>
      <c r="H373" s="1409"/>
      <c r="I373" s="857" t="str">
        <f t="shared" si="44"/>
        <v>Split Case Per</v>
      </c>
      <c r="J373" s="1409" t="str">
        <f t="shared" si="46"/>
        <v>F342</v>
      </c>
      <c r="K373" s="1409" t="str">
        <f t="shared" si="45"/>
        <v>Pricing Schedule</v>
      </c>
      <c r="L373" s="898" t="s">
        <v>1238</v>
      </c>
      <c r="M373" s="1409">
        <v>342</v>
      </c>
      <c r="N373" s="1409"/>
      <c r="O373" s="1408"/>
      <c r="P373" s="1408"/>
      <c r="Q373" s="1408"/>
      <c r="R373" s="1408"/>
      <c r="S373" s="1408"/>
      <c r="T373" s="1408"/>
      <c r="U373" s="1408"/>
      <c r="V373" s="1408"/>
      <c r="W373" s="1408"/>
      <c r="X373" s="1408"/>
      <c r="Y373" s="1408"/>
      <c r="Z373" s="1408"/>
      <c r="AA373" s="1408"/>
    </row>
    <row r="374" spans="1:27" x14ac:dyDescent="0.25">
      <c r="A374" s="925" t="s">
        <v>1301</v>
      </c>
      <c r="B374" s="857" t="str">
        <f ca="1">IF('Pricing Schedule'!$K$5="No",_xlfn.CONCAT(IFERROR(SUBSTITUTE(ADDRESS(1,MATCH(A374,INDIRECT("'"&amp;E374&amp;"'"&amp;"!A10:Z10"),0),4),1,""),""),19),_xlfn.CONCAT(IFERROR(SUBSTITUTE(ADDRESS(1,MATCH(A374,INDIRECT("'"&amp;E374&amp;"'"&amp;"!A10:Z10"),0),4),1,""),""),53))</f>
        <v>N19</v>
      </c>
      <c r="C374" s="857" t="str">
        <f ca="1">IF('Pricing Schedule'!$K$5="No",IFERROR(SUBSTITUTE(ADDRESS(1,MATCH(A374,INDIRECT("'"&amp;E374&amp;"'"&amp;"!A10:Z10"),0),4),1,""),""),IFERROR(SUBSTITUTE(ADDRESS(1,MATCH(A374,INDIRECT("'"&amp;E374&amp;"'"&amp;"!A10:Z10"),0),4),1,""),""))</f>
        <v>N</v>
      </c>
      <c r="D374" s="859" t="s">
        <v>1374</v>
      </c>
      <c r="E374" s="859" t="s">
        <v>1291</v>
      </c>
      <c r="F374" s="1409"/>
      <c r="G374" s="1409"/>
      <c r="H374" s="1409"/>
      <c r="I374" s="857" t="str">
        <f t="shared" si="44"/>
        <v/>
      </c>
      <c r="J374" s="1409"/>
      <c r="K374" s="1409" t="str">
        <f t="shared" si="45"/>
        <v/>
      </c>
      <c r="L374" s="898" t="s">
        <v>1301</v>
      </c>
      <c r="M374" s="1409">
        <v>343</v>
      </c>
      <c r="N374" s="1409"/>
      <c r="O374" s="1408"/>
      <c r="P374" s="1408"/>
      <c r="Q374" s="1408"/>
      <c r="R374" s="1408"/>
      <c r="S374" s="1408"/>
      <c r="T374" s="1408"/>
      <c r="U374" s="1408"/>
      <c r="V374" s="1408"/>
      <c r="W374" s="1408"/>
      <c r="X374" s="1408"/>
      <c r="Y374" s="1408"/>
      <c r="Z374" s="1408"/>
      <c r="AA374" s="1408"/>
    </row>
    <row r="375" spans="1:27" x14ac:dyDescent="0.25">
      <c r="A375" s="926" t="s">
        <v>1292</v>
      </c>
      <c r="B375" s="857" t="str">
        <f ca="1">IF('Pricing Schedule'!$K$5="No",_xlfn.CONCAT(IFERROR(SUBSTITUTE(ADDRESS(1,MATCH(A375,INDIRECT("'"&amp;E375&amp;"'"&amp;"!A10:Z10"),0),4),1,""),""),19),_xlfn.CONCAT(IFERROR(SUBSTITUTE(ADDRESS(1,MATCH(A375,INDIRECT("'"&amp;E375&amp;"'"&amp;"!A10:Z10"),0),4),1,""),""),53))</f>
        <v>C19</v>
      </c>
      <c r="C375" s="857" t="str">
        <f ca="1">IF('Pricing Schedule'!$K$5="No",IFERROR(SUBSTITUTE(ADDRESS(1,MATCH(A375,INDIRECT("'"&amp;E375&amp;"'"&amp;"!A10:Z10"),0),4),1,""),""),IFERROR(SUBSTITUTE(ADDRESS(1,MATCH(A375,INDIRECT("'"&amp;E375&amp;"'"&amp;"!A10:Z10"),0),4),1,""),""))</f>
        <v>C</v>
      </c>
      <c r="D375" s="859" t="s">
        <v>1374</v>
      </c>
      <c r="E375" s="859" t="s">
        <v>1291</v>
      </c>
      <c r="F375" s="1409"/>
      <c r="G375" s="1409"/>
      <c r="H375" s="1409"/>
      <c r="I375" s="857" t="str">
        <f t="shared" si="44"/>
        <v/>
      </c>
      <c r="J375" s="1409"/>
      <c r="K375" s="1409" t="str">
        <f t="shared" si="45"/>
        <v/>
      </c>
      <c r="L375" s="898" t="s">
        <v>252</v>
      </c>
      <c r="M375" s="1409">
        <v>344</v>
      </c>
      <c r="N375" s="1409"/>
      <c r="O375" s="1408"/>
      <c r="P375" s="1408"/>
      <c r="Q375" s="1408"/>
      <c r="R375" s="1408"/>
      <c r="S375" s="1408"/>
      <c r="T375" s="1408"/>
      <c r="U375" s="1408"/>
      <c r="V375" s="1408"/>
      <c r="W375" s="1408"/>
      <c r="X375" s="1408"/>
      <c r="Y375" s="1408"/>
      <c r="Z375" s="1408"/>
      <c r="AA375" s="1408"/>
    </row>
    <row r="376" spans="1:27" x14ac:dyDescent="0.25">
      <c r="A376" s="926" t="s">
        <v>1257</v>
      </c>
      <c r="B376" s="857" t="str">
        <f ca="1">IF('Pricing Schedule'!$K$5="No",_xlfn.CONCAT(IFERROR(SUBSTITUTE(ADDRESS(1,MATCH(A376,INDIRECT("'"&amp;E376&amp;"'"&amp;"!A10:Z10"),0),4),1,""),""),19),_xlfn.CONCAT(IFERROR(SUBSTITUTE(ADDRESS(1,MATCH(A376,INDIRECT("'"&amp;E376&amp;"'"&amp;"!A10:Z10"),0),4),1,""),""),53))</f>
        <v>H19</v>
      </c>
      <c r="C376" s="857" t="str">
        <f ca="1">IF('Pricing Schedule'!$K$5="No",IFERROR(SUBSTITUTE(ADDRESS(1,MATCH(A376,INDIRECT("'"&amp;E376&amp;"'"&amp;"!A10:Z10"),0),4),1,""),""),IFERROR(SUBSTITUTE(ADDRESS(1,MATCH(A376,INDIRECT("'"&amp;E376&amp;"'"&amp;"!A10:Z10"),0),4),1,""),""))</f>
        <v>H</v>
      </c>
      <c r="D376" s="859" t="s">
        <v>1374</v>
      </c>
      <c r="E376" s="859" t="s">
        <v>1291</v>
      </c>
      <c r="F376" s="1409"/>
      <c r="G376" s="1409"/>
      <c r="H376" s="1409"/>
      <c r="I376" s="857" t="str">
        <f t="shared" si="44"/>
        <v/>
      </c>
      <c r="J376" s="1409"/>
      <c r="K376" s="1409" t="str">
        <f t="shared" si="45"/>
        <v/>
      </c>
      <c r="L376" s="898" t="s">
        <v>1257</v>
      </c>
      <c r="M376" s="1409">
        <v>345</v>
      </c>
      <c r="N376" s="1409"/>
      <c r="O376" s="1408"/>
      <c r="P376" s="1408"/>
      <c r="Q376" s="1408"/>
      <c r="R376" s="1408"/>
      <c r="S376" s="1408"/>
      <c r="T376" s="1408"/>
      <c r="U376" s="1408"/>
      <c r="V376" s="1408"/>
      <c r="W376" s="1408"/>
      <c r="X376" s="1408"/>
      <c r="Y376" s="1408"/>
      <c r="Z376" s="1408"/>
      <c r="AA376" s="1408"/>
    </row>
    <row r="377" spans="1:27" x14ac:dyDescent="0.25">
      <c r="A377" s="926" t="s">
        <v>1295</v>
      </c>
      <c r="B377" s="857" t="str">
        <f ca="1">IF('Pricing Schedule'!$K$5="No",_xlfn.CONCAT(IFERROR(SUBSTITUTE(ADDRESS(1,MATCH(A377,INDIRECT("'"&amp;E377&amp;"'"&amp;"!A10:Z10"),0),4),1,""),""),19),_xlfn.CONCAT(IFERROR(SUBSTITUTE(ADDRESS(1,MATCH(A377,INDIRECT("'"&amp;E377&amp;"'"&amp;"!A10:Z10"),0),4),1,""),""),53))</f>
        <v>F19</v>
      </c>
      <c r="C377" s="857" t="str">
        <f ca="1">IF('Pricing Schedule'!$K$5="No",IFERROR(SUBSTITUTE(ADDRESS(1,MATCH(A377,INDIRECT("'"&amp;E377&amp;"'"&amp;"!A10:Z10"),0),4),1,""),""),IFERROR(SUBSTITUTE(ADDRESS(1,MATCH(A377,INDIRECT("'"&amp;E377&amp;"'"&amp;"!A10:Z10"),0),4),1,""),""))</f>
        <v>F</v>
      </c>
      <c r="D377" s="859" t="s">
        <v>1374</v>
      </c>
      <c r="E377" s="859" t="s">
        <v>1291</v>
      </c>
      <c r="F377" s="1409"/>
      <c r="G377" s="1409"/>
      <c r="H377" s="1409"/>
      <c r="I377" s="857" t="str">
        <f t="shared" si="44"/>
        <v/>
      </c>
      <c r="J377" s="1409"/>
      <c r="K377" s="1409" t="str">
        <f t="shared" si="45"/>
        <v/>
      </c>
      <c r="L377" s="898" t="s">
        <v>225</v>
      </c>
      <c r="M377" s="1409">
        <v>346</v>
      </c>
      <c r="N377" s="1409"/>
      <c r="O377" s="1408"/>
      <c r="P377" s="1408"/>
      <c r="Q377" s="1408"/>
      <c r="R377" s="1408"/>
      <c r="S377" s="1408"/>
      <c r="T377" s="1408"/>
      <c r="U377" s="1408"/>
      <c r="V377" s="1408"/>
      <c r="W377" s="1408"/>
      <c r="X377" s="1408"/>
      <c r="Y377" s="1408"/>
      <c r="Z377" s="1408"/>
      <c r="AA377" s="1408"/>
    </row>
    <row r="378" spans="1:27" x14ac:dyDescent="0.25">
      <c r="A378" s="927" t="s">
        <v>463</v>
      </c>
      <c r="B378" s="857" t="str">
        <f ca="1">_xlfn.CONCAT(IFERROR(SUBSTITUTE(ADDRESS(1,MATCH(A378,INDIRECT("'"&amp;E378&amp;"'"&amp;"!A9:Z9"),0),4),1,""),""),18)</f>
        <v>E18</v>
      </c>
      <c r="C378" s="857" t="str">
        <f ca="1">_xlfn.CONCAT(IFERROR(SUBSTITUTE(ADDRESS(1,MATCH(A378,INDIRECT("'"&amp;E378&amp;"'"&amp;"!A9:Z9"),0),4),1,""),""))</f>
        <v>E</v>
      </c>
      <c r="D378" s="1174" t="s">
        <v>1374</v>
      </c>
      <c r="E378" s="859" t="s">
        <v>208</v>
      </c>
      <c r="F378" s="1409"/>
      <c r="G378" s="1409"/>
      <c r="H378" s="1409"/>
      <c r="I378" s="857" t="str">
        <f t="shared" si="44"/>
        <v>Exclude PIM Classes Below</v>
      </c>
      <c r="J378" s="1409" t="str">
        <f t="shared" si="46"/>
        <v>F347</v>
      </c>
      <c r="K378" s="1409" t="str">
        <f t="shared" si="45"/>
        <v>PIM Model</v>
      </c>
      <c r="L378" s="898" t="s">
        <v>463</v>
      </c>
      <c r="M378" s="1409">
        <v>347</v>
      </c>
      <c r="N378" s="1409"/>
      <c r="O378" s="1408"/>
      <c r="P378" s="1408"/>
      <c r="Q378" s="1408"/>
      <c r="R378" s="1408"/>
      <c r="S378" s="1408"/>
      <c r="T378" s="1408"/>
      <c r="U378" s="1408"/>
      <c r="V378" s="1408"/>
      <c r="W378" s="1408"/>
      <c r="X378" s="1408"/>
      <c r="Y378" s="1408"/>
      <c r="Z378" s="1408"/>
      <c r="AA378" s="1408"/>
    </row>
    <row r="379" spans="1:27" x14ac:dyDescent="0.25">
      <c r="A379" s="927" t="s">
        <v>1294</v>
      </c>
      <c r="B379" s="857" t="str">
        <f ca="1">IF('Pricing Schedule'!$K$5="No",_xlfn.CONCAT(IFERROR(SUBSTITUTE(ADDRESS(1,MATCH(A379,INDIRECT("'"&amp;E379&amp;"'"&amp;"!A10:Z10"),0),4),1,""),""),19),_xlfn.CONCAT(IFERROR(SUBSTITUTE(ADDRESS(1,MATCH(A379,INDIRECT("'"&amp;E379&amp;"'"&amp;"!A10:Z10"),0),4),1,""),""),53))</f>
        <v>E19</v>
      </c>
      <c r="C379" s="857" t="str">
        <f ca="1">IF('Pricing Schedule'!$K$5="No",IFERROR(SUBSTITUTE(ADDRESS(1,MATCH(A379,INDIRECT("'"&amp;E379&amp;"'"&amp;"!A10:Z10"),0),4),1,""),""),IFERROR(SUBSTITUTE(ADDRESS(1,MATCH(A379,INDIRECT("'"&amp;E379&amp;"'"&amp;"!A10:Z10"),0),4),1,""),""))</f>
        <v>E</v>
      </c>
      <c r="D379" s="859" t="s">
        <v>1374</v>
      </c>
      <c r="E379" s="859" t="s">
        <v>1291</v>
      </c>
      <c r="F379" s="1409"/>
      <c r="G379" s="1409"/>
      <c r="H379" s="1409"/>
      <c r="I379" s="857" t="str">
        <f t="shared" si="44"/>
        <v>Special Pricing Code</v>
      </c>
      <c r="J379" s="1409" t="str">
        <f t="shared" si="46"/>
        <v>F348</v>
      </c>
      <c r="K379" s="1409" t="str">
        <f t="shared" si="45"/>
        <v>Pricing Schedule</v>
      </c>
      <c r="L379" s="898" t="s">
        <v>1294</v>
      </c>
      <c r="M379" s="1409">
        <v>348</v>
      </c>
      <c r="N379" s="1409"/>
      <c r="O379" s="1408"/>
      <c r="P379" s="1408"/>
      <c r="Q379" s="1408"/>
      <c r="R379" s="1408"/>
      <c r="S379" s="1408"/>
      <c r="T379" s="1408"/>
      <c r="U379" s="1408"/>
      <c r="V379" s="1408"/>
      <c r="W379" s="1408"/>
      <c r="X379" s="1408"/>
      <c r="Y379" s="1408"/>
      <c r="Z379" s="1408"/>
      <c r="AA379" s="1408"/>
    </row>
    <row r="380" spans="1:27" x14ac:dyDescent="0.25">
      <c r="A380" s="927" t="s">
        <v>1296</v>
      </c>
      <c r="B380" s="857" t="str">
        <f ca="1">IF('Pricing Schedule'!$K$5="No",_xlfn.CONCAT(IFERROR(SUBSTITUTE(ADDRESS(1,MATCH(A380,INDIRECT("'"&amp;E380&amp;"'"&amp;"!A10:Z10"),0),4),1,""),""),19),_xlfn.CONCAT(IFERROR(SUBSTITUTE(ADDRESS(1,MATCH(A380,INDIRECT("'"&amp;E380&amp;"'"&amp;"!A10:Z10"),0),4),1,""),""),53))</f>
        <v>G19</v>
      </c>
      <c r="C380" s="857" t="str">
        <f ca="1">IF('Pricing Schedule'!$K$5="No",IFERROR(SUBSTITUTE(ADDRESS(1,MATCH(A380,INDIRECT("'"&amp;E380&amp;"'"&amp;"!A10:Z10"),0),4),1,""),""),IFERROR(SUBSTITUTE(ADDRESS(1,MATCH(A380,INDIRECT("'"&amp;E380&amp;"'"&amp;"!A10:Z10"),0),4),1,""),""))</f>
        <v>G</v>
      </c>
      <c r="D380" s="859" t="s">
        <v>1374</v>
      </c>
      <c r="E380" s="859" t="s">
        <v>1291</v>
      </c>
      <c r="F380" s="1422"/>
      <c r="G380" s="1409"/>
      <c r="H380" s="1409"/>
      <c r="I380" s="857" t="str">
        <f t="shared" si="44"/>
        <v>EB Markup Amt</v>
      </c>
      <c r="J380" s="1409" t="str">
        <f t="shared" si="46"/>
        <v>F349</v>
      </c>
      <c r="K380" s="1409" t="str">
        <f t="shared" si="45"/>
        <v>Pricing Schedule</v>
      </c>
      <c r="L380" s="898" t="s">
        <v>1296</v>
      </c>
      <c r="M380" s="1409">
        <v>349</v>
      </c>
      <c r="N380" s="1409"/>
      <c r="O380" s="1408"/>
      <c r="P380" s="1408"/>
      <c r="Q380" s="1408"/>
      <c r="R380" s="1408"/>
      <c r="S380" s="1408"/>
      <c r="T380" s="1408"/>
      <c r="U380" s="1408"/>
      <c r="V380" s="1408"/>
      <c r="W380" s="1408"/>
      <c r="X380" s="1408"/>
      <c r="Y380" s="1408"/>
      <c r="Z380" s="1408"/>
      <c r="AA380" s="1408"/>
    </row>
    <row r="381" spans="1:27" x14ac:dyDescent="0.25">
      <c r="A381" s="927" t="s">
        <v>1297</v>
      </c>
      <c r="B381" s="857" t="str">
        <f ca="1">IF('Pricing Schedule'!$K$5="No",_xlfn.CONCAT(IFERROR(SUBSTITUTE(ADDRESS(1,MATCH(A381,INDIRECT("'"&amp;E381&amp;"'"&amp;"!A10:Z10"),0),4),1,""),""),19),_xlfn.CONCAT(IFERROR(SUBSTITUTE(ADDRESS(1,MATCH(A381,INDIRECT("'"&amp;E381&amp;"'"&amp;"!A10:Z10"),0),4),1,""),""),53))</f>
        <v>I19</v>
      </c>
      <c r="C381" s="857" t="str">
        <f ca="1">IF('Pricing Schedule'!$K$5="No",IFERROR(SUBSTITUTE(ADDRESS(1,MATCH(A381,INDIRECT("'"&amp;E381&amp;"'"&amp;"!A10:Z10"),0),4),1,""),""),IFERROR(SUBSTITUTE(ADDRESS(1,MATCH(A381,INDIRECT("'"&amp;E381&amp;"'"&amp;"!A10:Z10"),0),4),1,""),""))</f>
        <v>I</v>
      </c>
      <c r="D381" s="859" t="s">
        <v>1374</v>
      </c>
      <c r="E381" s="859" t="s">
        <v>1291</v>
      </c>
      <c r="F381" s="1422"/>
      <c r="G381" s="1409"/>
      <c r="H381" s="1409"/>
      <c r="I381" s="857" t="str">
        <f t="shared" si="44"/>
        <v>Min CS Markup Override Flag</v>
      </c>
      <c r="J381" s="1409" t="str">
        <f t="shared" si="46"/>
        <v>F350</v>
      </c>
      <c r="K381" s="1409" t="str">
        <f t="shared" si="45"/>
        <v>Pricing Schedule</v>
      </c>
      <c r="L381" s="898" t="s">
        <v>1297</v>
      </c>
      <c r="M381" s="1409">
        <v>350</v>
      </c>
      <c r="N381" s="1409"/>
      <c r="O381" s="1408"/>
      <c r="P381" s="1408"/>
      <c r="Q381" s="1408"/>
      <c r="R381" s="1408"/>
      <c r="S381" s="1408"/>
      <c r="T381" s="1408"/>
      <c r="U381" s="1408"/>
      <c r="V381" s="1408"/>
      <c r="W381" s="1408"/>
      <c r="X381" s="1408"/>
      <c r="Y381" s="1408"/>
      <c r="Z381" s="1408"/>
      <c r="AA381" s="1408"/>
    </row>
    <row r="382" spans="1:27" x14ac:dyDescent="0.25">
      <c r="A382" s="927" t="s">
        <v>1298</v>
      </c>
      <c r="B382" s="857" t="str">
        <f ca="1">IF('Pricing Schedule'!$K$5="No",_xlfn.CONCAT(IFERROR(SUBSTITUTE(ADDRESS(1,MATCH(A382,INDIRECT("'"&amp;E382&amp;"'"&amp;"!A10:Z10"),0),4),1,""),""),19),_xlfn.CONCAT(IFERROR(SUBSTITUTE(ADDRESS(1,MATCH(A382,INDIRECT("'"&amp;E382&amp;"'"&amp;"!A10:Z10"),0),4),1,""),""),53))</f>
        <v>J19</v>
      </c>
      <c r="C382" s="857" t="str">
        <f ca="1">IF('Pricing Schedule'!$K$5="No",IFERROR(SUBSTITUTE(ADDRESS(1,MATCH(A382,INDIRECT("'"&amp;E382&amp;"'"&amp;"!A10:Z10"),0),4),1,""),""),IFERROR(SUBSTITUTE(ADDRESS(1,MATCH(A382,INDIRECT("'"&amp;E382&amp;"'"&amp;"!A10:Z10"),0),4),1,""),""))</f>
        <v>J</v>
      </c>
      <c r="D382" s="859" t="s">
        <v>1374</v>
      </c>
      <c r="E382" s="859" t="s">
        <v>1291</v>
      </c>
      <c r="F382" s="1422"/>
      <c r="G382" s="1409"/>
      <c r="H382" s="1409"/>
      <c r="I382" s="857" t="str">
        <f t="shared" si="44"/>
        <v>Min CS Markup Amt</v>
      </c>
      <c r="J382" s="1409" t="str">
        <f t="shared" si="46"/>
        <v>F351</v>
      </c>
      <c r="K382" s="1409" t="str">
        <f t="shared" si="45"/>
        <v>Pricing Schedule</v>
      </c>
      <c r="L382" s="898" t="s">
        <v>1298</v>
      </c>
      <c r="M382" s="1409">
        <v>351</v>
      </c>
      <c r="N382" s="1409"/>
      <c r="O382" s="1408"/>
      <c r="P382" s="1408"/>
      <c r="Q382" s="1408"/>
      <c r="R382" s="1408"/>
      <c r="S382" s="1408"/>
      <c r="T382" s="1408"/>
      <c r="U382" s="1408"/>
      <c r="V382" s="1408"/>
      <c r="W382" s="1408"/>
      <c r="X382" s="1408"/>
      <c r="Y382" s="1408"/>
      <c r="Z382" s="1408"/>
      <c r="AA382" s="1408"/>
    </row>
    <row r="383" spans="1:27" x14ac:dyDescent="0.25">
      <c r="A383" s="927" t="s">
        <v>1299</v>
      </c>
      <c r="B383" s="857" t="str">
        <f ca="1">IF('Pricing Schedule'!$K$5="No",_xlfn.CONCAT(IFERROR(SUBSTITUTE(ADDRESS(1,MATCH(A383,INDIRECT("'"&amp;E383&amp;"'"&amp;"!A10:Z10"),0),4),1,""),""),19),_xlfn.CONCAT(IFERROR(SUBSTITUTE(ADDRESS(1,MATCH(A383,INDIRECT("'"&amp;E383&amp;"'"&amp;"!A10:Z10"),0),4),1,""),""),53))</f>
        <v>K19</v>
      </c>
      <c r="C383" s="857" t="str">
        <f ca="1">IF('Pricing Schedule'!$K$5="No",IFERROR(SUBSTITUTE(ADDRESS(1,MATCH(A383,INDIRECT("'"&amp;E383&amp;"'"&amp;"!A10:Z10"),0),4),1,""),""),IFERROR(SUBSTITUTE(ADDRESS(1,MATCH(A383,INDIRECT("'"&amp;E383&amp;"'"&amp;"!A10:Z10"),0),4),1,""),""))</f>
        <v>K</v>
      </c>
      <c r="D383" s="859" t="s">
        <v>1374</v>
      </c>
      <c r="E383" s="859" t="s">
        <v>1291</v>
      </c>
      <c r="F383" s="1422"/>
      <c r="G383" s="1409"/>
      <c r="H383" s="1409"/>
      <c r="I383" s="857" t="str">
        <f t="shared" si="44"/>
        <v>Split Case Fee Override Flag</v>
      </c>
      <c r="J383" s="1409" t="str">
        <f t="shared" si="46"/>
        <v>F352</v>
      </c>
      <c r="K383" s="1409" t="str">
        <f t="shared" si="45"/>
        <v>Pricing Schedule</v>
      </c>
      <c r="L383" s="898" t="s">
        <v>1299</v>
      </c>
      <c r="M383" s="1409">
        <v>352</v>
      </c>
      <c r="N383" s="1409"/>
      <c r="O383" s="1408"/>
      <c r="P383" s="1408"/>
      <c r="Q383" s="1408"/>
      <c r="R383" s="1408"/>
      <c r="S383" s="1408"/>
      <c r="T383" s="1408"/>
      <c r="U383" s="1408"/>
      <c r="V383" s="1408"/>
      <c r="W383" s="1408"/>
      <c r="X383" s="1408"/>
      <c r="Y383" s="1408"/>
      <c r="Z383" s="1408"/>
      <c r="AA383" s="1408"/>
    </row>
    <row r="384" spans="1:27" x14ac:dyDescent="0.25">
      <c r="A384" s="927" t="s">
        <v>1300</v>
      </c>
      <c r="B384" s="857" t="str">
        <f ca="1">IF('Pricing Schedule'!$K$5="No",_xlfn.CONCAT(IFERROR(SUBSTITUTE(ADDRESS(1,MATCH(A384,INDIRECT("'"&amp;E384&amp;"'"&amp;"!A10:Z10"),0),4),1,""),""),19),_xlfn.CONCAT(IFERROR(SUBSTITUTE(ADDRESS(1,MATCH(A384,INDIRECT("'"&amp;E384&amp;"'"&amp;"!A10:Z10"),0),4),1,""),""),53))</f>
        <v>L19</v>
      </c>
      <c r="C384" s="857" t="str">
        <f ca="1">IF('Pricing Schedule'!$K$5="No",IFERROR(SUBSTITUTE(ADDRESS(1,MATCH(A384,INDIRECT("'"&amp;E384&amp;"'"&amp;"!A10:Z10"),0),4),1,""),""),IFERROR(SUBSTITUTE(ADDRESS(1,MATCH(A384,INDIRECT("'"&amp;E384&amp;"'"&amp;"!A10:Z10"),0),4),1,""),""))</f>
        <v>L</v>
      </c>
      <c r="D384" s="859" t="s">
        <v>1374</v>
      </c>
      <c r="E384" s="859" t="s">
        <v>1291</v>
      </c>
      <c r="F384" s="1422"/>
      <c r="G384" s="1409"/>
      <c r="H384" s="1409"/>
      <c r="I384" s="857" t="str">
        <f t="shared" si="44"/>
        <v>Split Case Fee</v>
      </c>
      <c r="J384" s="1409" t="str">
        <f t="shared" si="46"/>
        <v>F353</v>
      </c>
      <c r="K384" s="1409" t="str">
        <f t="shared" si="45"/>
        <v>Pricing Schedule</v>
      </c>
      <c r="L384" s="898" t="s">
        <v>1300</v>
      </c>
      <c r="M384" s="1409">
        <v>353</v>
      </c>
      <c r="N384" s="1409"/>
      <c r="O384" s="1408"/>
      <c r="P384" s="1408"/>
      <c r="Q384" s="1408"/>
      <c r="R384" s="1408"/>
      <c r="S384" s="1408"/>
      <c r="T384" s="1408"/>
      <c r="U384" s="1408"/>
      <c r="V384" s="1408"/>
      <c r="W384" s="1408"/>
      <c r="X384" s="1408"/>
      <c r="Y384" s="1408"/>
      <c r="Z384" s="1408"/>
      <c r="AA384" s="1408"/>
    </row>
    <row r="385" spans="1:27" x14ac:dyDescent="0.25">
      <c r="A385" s="927" t="s">
        <v>1238</v>
      </c>
      <c r="B385" s="857" t="str">
        <f ca="1">IF('Pricing Schedule'!$K$5="No",_xlfn.CONCAT(IFERROR(SUBSTITUTE(ADDRESS(1,MATCH(A385,INDIRECT("'"&amp;E385&amp;"'"&amp;"!A10:Z10"),0),4),1,""),""),19),_xlfn.CONCAT(IFERROR(SUBSTITUTE(ADDRESS(1,MATCH(A385,INDIRECT("'"&amp;E385&amp;"'"&amp;"!A10:Z10"),0),4),1,""),""),53))</f>
        <v>M19</v>
      </c>
      <c r="C385" s="857" t="str">
        <f ca="1">IF('Pricing Schedule'!$K$5="No",IFERROR(SUBSTITUTE(ADDRESS(1,MATCH(A385,INDIRECT("'"&amp;E385&amp;"'"&amp;"!A10:Z10"),0),4),1,""),""),IFERROR(SUBSTITUTE(ADDRESS(1,MATCH(A385,INDIRECT("'"&amp;E385&amp;"'"&amp;"!A10:Z10"),0),4),1,""),""))</f>
        <v>M</v>
      </c>
      <c r="D385" s="859" t="s">
        <v>1374</v>
      </c>
      <c r="E385" s="859" t="s">
        <v>1291</v>
      </c>
      <c r="F385" s="1422"/>
      <c r="G385" s="1409"/>
      <c r="H385" s="1409"/>
      <c r="I385" s="857" t="str">
        <f t="shared" si="44"/>
        <v>Split Case Per</v>
      </c>
      <c r="J385" s="1409" t="str">
        <f t="shared" si="46"/>
        <v>F354</v>
      </c>
      <c r="K385" s="1409" t="str">
        <f t="shared" si="45"/>
        <v>Pricing Schedule</v>
      </c>
      <c r="L385" s="898" t="s">
        <v>1238</v>
      </c>
      <c r="M385" s="1409">
        <v>354</v>
      </c>
      <c r="N385" s="1409"/>
      <c r="O385" s="1408"/>
      <c r="P385" s="1408"/>
      <c r="Q385" s="1408"/>
      <c r="R385" s="1408"/>
      <c r="S385" s="1408"/>
      <c r="T385" s="1408"/>
      <c r="U385" s="1408"/>
      <c r="V385" s="1408"/>
      <c r="W385" s="1408"/>
      <c r="X385" s="1408"/>
      <c r="Y385" s="1408"/>
      <c r="Z385" s="1408"/>
      <c r="AA385" s="1408"/>
    </row>
    <row r="386" spans="1:27" x14ac:dyDescent="0.25">
      <c r="A386" s="928" t="s">
        <v>1301</v>
      </c>
      <c r="B386" s="857" t="str">
        <f ca="1">IF('Pricing Schedule'!$K$5="No",_xlfn.CONCAT(IFERROR(SUBSTITUTE(ADDRESS(1,MATCH(A386,INDIRECT("'"&amp;E386&amp;"'"&amp;"!A10:Z10"),0),4),1,""),""),13),_xlfn.CONCAT(IFERROR(SUBSTITUTE(ADDRESS(1,MATCH(A386,INDIRECT("'"&amp;E386&amp;"'"&amp;"!A10:Z10"),0),4),1,""),""),47))</f>
        <v>N13</v>
      </c>
      <c r="C386" s="857" t="str">
        <f ca="1">IF('Pricing Schedule'!$K$5="No",IFERROR(SUBSTITUTE(ADDRESS(1,MATCH(A386,INDIRECT("'"&amp;E386&amp;"'"&amp;"!A10:Z10"),0),4),1,""),""),IFERROR(SUBSTITUTE(ADDRESS(1,MATCH(A386,INDIRECT("'"&amp;E386&amp;"'"&amp;"!A10:Z10"),0),4),1,""),""))</f>
        <v>N</v>
      </c>
      <c r="D386" s="859" t="s">
        <v>1374</v>
      </c>
      <c r="E386" s="859" t="s">
        <v>1291</v>
      </c>
      <c r="F386" s="1409"/>
      <c r="G386" s="1409"/>
      <c r="H386" s="1409"/>
      <c r="I386" s="857" t="str">
        <f t="shared" si="44"/>
        <v/>
      </c>
      <c r="J386" s="1409"/>
      <c r="K386" s="1409" t="str">
        <f t="shared" si="45"/>
        <v/>
      </c>
      <c r="L386" s="898" t="s">
        <v>1301</v>
      </c>
      <c r="M386" s="1409">
        <v>355</v>
      </c>
      <c r="N386" s="1409"/>
      <c r="O386" s="1408"/>
      <c r="P386" s="1408"/>
      <c r="Q386" s="1408"/>
      <c r="R386" s="1408"/>
      <c r="S386" s="1408"/>
      <c r="T386" s="1408"/>
      <c r="U386" s="1408"/>
      <c r="V386" s="1408"/>
      <c r="W386" s="1408"/>
      <c r="X386" s="1408"/>
      <c r="Y386" s="1408"/>
      <c r="Z386" s="1408"/>
      <c r="AA386" s="1408"/>
    </row>
    <row r="387" spans="1:27" x14ac:dyDescent="0.25">
      <c r="A387" s="929" t="s">
        <v>1292</v>
      </c>
      <c r="B387" s="857" t="str">
        <f ca="1">IF('Pricing Schedule'!$K$5="No",_xlfn.CONCAT(IFERROR(SUBSTITUTE(ADDRESS(1,MATCH(A387,INDIRECT("'"&amp;E387&amp;"'"&amp;"!A10:Z10"),0),4),1,""),""),13),_xlfn.CONCAT(IFERROR(SUBSTITUTE(ADDRESS(1,MATCH(A387,INDIRECT("'"&amp;E387&amp;"'"&amp;"!A10:Z10"),0),4),1,""),""),47))</f>
        <v>C13</v>
      </c>
      <c r="C387" s="857" t="str">
        <f ca="1">IF('Pricing Schedule'!$K$5="No",IFERROR(SUBSTITUTE(ADDRESS(1,MATCH(A387,INDIRECT("'"&amp;E387&amp;"'"&amp;"!A10:Z10"),0),4),1,""),""),IFERROR(SUBSTITUTE(ADDRESS(1,MATCH(A387,INDIRECT("'"&amp;E387&amp;"'"&amp;"!A10:Z10"),0),4),1,""),""))</f>
        <v>C</v>
      </c>
      <c r="D387" s="859" t="s">
        <v>1374</v>
      </c>
      <c r="E387" s="859" t="s">
        <v>1291</v>
      </c>
      <c r="F387" s="1409"/>
      <c r="G387" s="1409"/>
      <c r="H387" s="1409"/>
      <c r="I387" s="857" t="str">
        <f t="shared" si="44"/>
        <v/>
      </c>
      <c r="J387" s="1409"/>
      <c r="K387" s="1409" t="str">
        <f t="shared" si="45"/>
        <v/>
      </c>
      <c r="L387" s="898" t="s">
        <v>252</v>
      </c>
      <c r="M387" s="1409">
        <v>356</v>
      </c>
      <c r="N387" s="1409"/>
      <c r="O387" s="1408"/>
      <c r="P387" s="1408"/>
      <c r="Q387" s="1408"/>
      <c r="R387" s="1408"/>
      <c r="S387" s="1408"/>
      <c r="T387" s="1408"/>
      <c r="U387" s="1408"/>
      <c r="V387" s="1408"/>
      <c r="W387" s="1408"/>
      <c r="X387" s="1408"/>
      <c r="Y387" s="1408"/>
      <c r="Z387" s="1408"/>
      <c r="AA387" s="1408"/>
    </row>
    <row r="388" spans="1:27" x14ac:dyDescent="0.25">
      <c r="A388" s="929" t="s">
        <v>1257</v>
      </c>
      <c r="B388" s="857" t="str">
        <f ca="1">IF('Pricing Schedule'!$K$5="No",_xlfn.CONCAT(IFERROR(SUBSTITUTE(ADDRESS(1,MATCH(A388,INDIRECT("'"&amp;E388&amp;"'"&amp;"!A10:Z10"),0),4),1,""),""),13),_xlfn.CONCAT(IFERROR(SUBSTITUTE(ADDRESS(1,MATCH(A388,INDIRECT("'"&amp;E388&amp;"'"&amp;"!A10:Z10"),0),4),1,""),""),47))</f>
        <v>H13</v>
      </c>
      <c r="C388" s="857" t="str">
        <f ca="1">IF('Pricing Schedule'!$K$5="No",IFERROR(SUBSTITUTE(ADDRESS(1,MATCH(A388,INDIRECT("'"&amp;E388&amp;"'"&amp;"!A10:Z10"),0),4),1,""),""),IFERROR(SUBSTITUTE(ADDRESS(1,MATCH(A388,INDIRECT("'"&amp;E388&amp;"'"&amp;"!A10:Z10"),0),4),1,""),""))</f>
        <v>H</v>
      </c>
      <c r="D388" s="859" t="s">
        <v>1374</v>
      </c>
      <c r="E388" s="859" t="s">
        <v>1291</v>
      </c>
      <c r="F388" s="1409"/>
      <c r="G388" s="1409"/>
      <c r="H388" s="1409"/>
      <c r="I388" s="857" t="str">
        <f t="shared" ref="I388:I451" si="47">IF(J388&lt;&gt;"",A388,"")</f>
        <v/>
      </c>
      <c r="J388" s="1409"/>
      <c r="K388" s="1409" t="str">
        <f t="shared" ref="K388:K451" si="48">IF(J388&lt;&gt;"",E388,"")</f>
        <v/>
      </c>
      <c r="L388" s="898" t="s">
        <v>1257</v>
      </c>
      <c r="M388" s="1409">
        <v>357</v>
      </c>
      <c r="N388" s="1409"/>
      <c r="O388" s="1408"/>
      <c r="P388" s="1408"/>
      <c r="Q388" s="1408"/>
      <c r="R388" s="1408"/>
      <c r="S388" s="1408"/>
      <c r="T388" s="1408"/>
      <c r="U388" s="1408"/>
      <c r="V388" s="1408"/>
      <c r="W388" s="1408"/>
      <c r="X388" s="1408"/>
      <c r="Y388" s="1408"/>
      <c r="Z388" s="1408"/>
      <c r="AA388" s="1408"/>
    </row>
    <row r="389" spans="1:27" x14ac:dyDescent="0.25">
      <c r="A389" s="929" t="s">
        <v>1295</v>
      </c>
      <c r="B389" s="857" t="str">
        <f ca="1">IF('Pricing Schedule'!$K$5="No",_xlfn.CONCAT(IFERROR(SUBSTITUTE(ADDRESS(1,MATCH(A389,INDIRECT("'"&amp;E389&amp;"'"&amp;"!A10:Z10"),0),4),1,""),""),13),_xlfn.CONCAT(IFERROR(SUBSTITUTE(ADDRESS(1,MATCH(A389,INDIRECT("'"&amp;E389&amp;"'"&amp;"!A10:Z10"),0),4),1,""),""),47))</f>
        <v>F13</v>
      </c>
      <c r="C389" s="857" t="str">
        <f ca="1">IF('Pricing Schedule'!$K$5="No",IFERROR(SUBSTITUTE(ADDRESS(1,MATCH(A389,INDIRECT("'"&amp;E389&amp;"'"&amp;"!A10:Z10"),0),4),1,""),""),IFERROR(SUBSTITUTE(ADDRESS(1,MATCH(A389,INDIRECT("'"&amp;E389&amp;"'"&amp;"!A10:Z10"),0),4),1,""),""))</f>
        <v>F</v>
      </c>
      <c r="D389" s="859" t="s">
        <v>1374</v>
      </c>
      <c r="E389" s="859" t="s">
        <v>1291</v>
      </c>
      <c r="F389" s="1409"/>
      <c r="G389" s="1409"/>
      <c r="H389" s="1409"/>
      <c r="I389" s="857" t="str">
        <f t="shared" si="47"/>
        <v/>
      </c>
      <c r="J389" s="1409"/>
      <c r="K389" s="1409" t="str">
        <f t="shared" si="48"/>
        <v/>
      </c>
      <c r="L389" s="898" t="s">
        <v>225</v>
      </c>
      <c r="M389" s="1409">
        <v>358</v>
      </c>
      <c r="N389" s="1409"/>
      <c r="O389" s="1408"/>
      <c r="P389" s="1408"/>
      <c r="Q389" s="1408"/>
      <c r="R389" s="1408"/>
      <c r="S389" s="1408"/>
      <c r="T389" s="1408"/>
      <c r="U389" s="1408"/>
      <c r="V389" s="1408"/>
      <c r="W389" s="1408"/>
      <c r="X389" s="1408"/>
      <c r="Y389" s="1408"/>
      <c r="Z389" s="1408"/>
      <c r="AA389" s="1408"/>
    </row>
    <row r="390" spans="1:27" x14ac:dyDescent="0.25">
      <c r="A390" s="930" t="s">
        <v>463</v>
      </c>
      <c r="B390" s="857" t="str">
        <f ca="1">_xlfn.CONCAT(IFERROR(SUBSTITUTE(ADDRESS(1,MATCH(A390,INDIRECT("'"&amp;E390&amp;"'"&amp;"!A9:Z9"),0),4),1,""),""),19)</f>
        <v>E19</v>
      </c>
      <c r="C390" s="857" t="str">
        <f ca="1">_xlfn.CONCAT(IFERROR(SUBSTITUTE(ADDRESS(1,MATCH(A390,INDIRECT("'"&amp;E390&amp;"'"&amp;"!A9:Z9"),0),4),1,""),""))</f>
        <v>E</v>
      </c>
      <c r="D390" s="1174" t="s">
        <v>1374</v>
      </c>
      <c r="E390" s="859" t="s">
        <v>208</v>
      </c>
      <c r="F390" s="1409"/>
      <c r="G390" s="1409"/>
      <c r="H390" s="1409"/>
      <c r="I390" s="857" t="str">
        <f t="shared" si="47"/>
        <v>Exclude PIM Classes Below</v>
      </c>
      <c r="J390" s="1409" t="str">
        <f t="shared" ref="J390:J453" si="49">IF(M390&lt;&gt;"",Q$1&amp;M390,"")</f>
        <v>F359</v>
      </c>
      <c r="K390" s="1409" t="str">
        <f t="shared" si="48"/>
        <v>PIM Model</v>
      </c>
      <c r="L390" s="898" t="s">
        <v>463</v>
      </c>
      <c r="M390" s="1409">
        <v>359</v>
      </c>
      <c r="N390" s="1409"/>
      <c r="O390" s="1408"/>
      <c r="P390" s="1408"/>
      <c r="Q390" s="1408"/>
      <c r="R390" s="1408"/>
      <c r="S390" s="1408"/>
      <c r="T390" s="1408"/>
      <c r="U390" s="1408"/>
      <c r="V390" s="1408"/>
      <c r="W390" s="1408"/>
      <c r="X390" s="1408"/>
      <c r="Y390" s="1408"/>
      <c r="Z390" s="1408"/>
      <c r="AA390" s="1408"/>
    </row>
    <row r="391" spans="1:27" x14ac:dyDescent="0.25">
      <c r="A391" s="930" t="s">
        <v>1294</v>
      </c>
      <c r="B391" s="857" t="str">
        <f ca="1">IF('Pricing Schedule'!$K$5="No",_xlfn.CONCAT(IFERROR(SUBSTITUTE(ADDRESS(1,MATCH(A391,INDIRECT("'"&amp;E391&amp;"'"&amp;"!A10:Z10"),0),4),1,""),""),13),_xlfn.CONCAT(IFERROR(SUBSTITUTE(ADDRESS(1,MATCH(A391,INDIRECT("'"&amp;E391&amp;"'"&amp;"!A10:Z10"),0),4),1,""),""),47))</f>
        <v>E13</v>
      </c>
      <c r="C391" s="857" t="str">
        <f ca="1">IF('Pricing Schedule'!$K$5="No",IFERROR(SUBSTITUTE(ADDRESS(1,MATCH(A391,INDIRECT("'"&amp;E391&amp;"'"&amp;"!A10:Z10"),0),4),1,""),""),IFERROR(SUBSTITUTE(ADDRESS(1,MATCH(A391,INDIRECT("'"&amp;E391&amp;"'"&amp;"!A10:Z10"),0),4),1,""),""))</f>
        <v>E</v>
      </c>
      <c r="D391" s="859" t="s">
        <v>1374</v>
      </c>
      <c r="E391" s="859" t="s">
        <v>1291</v>
      </c>
      <c r="F391" s="1409"/>
      <c r="G391" s="1409"/>
      <c r="H391" s="1409"/>
      <c r="I391" s="857" t="str">
        <f t="shared" si="47"/>
        <v>Special Pricing Code</v>
      </c>
      <c r="J391" s="1409" t="str">
        <f t="shared" si="49"/>
        <v>F360</v>
      </c>
      <c r="K391" s="1409" t="str">
        <f t="shared" si="48"/>
        <v>Pricing Schedule</v>
      </c>
      <c r="L391" s="898" t="s">
        <v>1294</v>
      </c>
      <c r="M391" s="1409">
        <v>360</v>
      </c>
      <c r="N391" s="1409"/>
      <c r="O391" s="1408"/>
      <c r="P391" s="1408"/>
      <c r="Q391" s="1408"/>
      <c r="R391" s="1408"/>
      <c r="S391" s="1408"/>
      <c r="T391" s="1408"/>
      <c r="U391" s="1408"/>
      <c r="V391" s="1408"/>
      <c r="W391" s="1408"/>
      <c r="X391" s="1408"/>
      <c r="Y391" s="1408"/>
      <c r="Z391" s="1408"/>
      <c r="AA391" s="1408"/>
    </row>
    <row r="392" spans="1:27" x14ac:dyDescent="0.25">
      <c r="A392" s="930" t="s">
        <v>1296</v>
      </c>
      <c r="B392" s="857" t="str">
        <f ca="1">IF('Pricing Schedule'!$K$5="No",_xlfn.CONCAT(IFERROR(SUBSTITUTE(ADDRESS(1,MATCH(A392,INDIRECT("'"&amp;E392&amp;"'"&amp;"!A10:Z10"),0),4),1,""),""),13),_xlfn.CONCAT(IFERROR(SUBSTITUTE(ADDRESS(1,MATCH(A392,INDIRECT("'"&amp;E392&amp;"'"&amp;"!A10:Z10"),0),4),1,""),""),47))</f>
        <v>G13</v>
      </c>
      <c r="C392" s="857" t="str">
        <f ca="1">IF('Pricing Schedule'!$K$5="No",IFERROR(SUBSTITUTE(ADDRESS(1,MATCH(A392,INDIRECT("'"&amp;E392&amp;"'"&amp;"!A10:Z10"),0),4),1,""),""),IFERROR(SUBSTITUTE(ADDRESS(1,MATCH(A392,INDIRECT("'"&amp;E392&amp;"'"&amp;"!A10:Z10"),0),4),1,""),""))</f>
        <v>G</v>
      </c>
      <c r="D392" s="859" t="s">
        <v>1374</v>
      </c>
      <c r="E392" s="859" t="s">
        <v>1291</v>
      </c>
      <c r="F392" s="1422"/>
      <c r="G392" s="1409"/>
      <c r="H392" s="1409"/>
      <c r="I392" s="857" t="str">
        <f t="shared" si="47"/>
        <v>EB Markup Amt</v>
      </c>
      <c r="J392" s="1409" t="str">
        <f t="shared" si="49"/>
        <v>F361</v>
      </c>
      <c r="K392" s="1409" t="str">
        <f t="shared" si="48"/>
        <v>Pricing Schedule</v>
      </c>
      <c r="L392" s="898" t="s">
        <v>1296</v>
      </c>
      <c r="M392" s="1409">
        <v>361</v>
      </c>
      <c r="N392" s="1409"/>
      <c r="O392" s="1408"/>
      <c r="P392" s="1408"/>
      <c r="Q392" s="1408"/>
      <c r="R392" s="1408"/>
      <c r="S392" s="1408"/>
      <c r="T392" s="1408"/>
      <c r="U392" s="1408"/>
      <c r="V392" s="1408"/>
      <c r="W392" s="1408"/>
      <c r="X392" s="1408"/>
      <c r="Y392" s="1408"/>
      <c r="Z392" s="1408"/>
      <c r="AA392" s="1408"/>
    </row>
    <row r="393" spans="1:27" x14ac:dyDescent="0.25">
      <c r="A393" s="930" t="s">
        <v>1297</v>
      </c>
      <c r="B393" s="857" t="str">
        <f ca="1">IF('Pricing Schedule'!$K$5="No",_xlfn.CONCAT(IFERROR(SUBSTITUTE(ADDRESS(1,MATCH(A393,INDIRECT("'"&amp;E393&amp;"'"&amp;"!A10:Z10"),0),4),1,""),""),13),_xlfn.CONCAT(IFERROR(SUBSTITUTE(ADDRESS(1,MATCH(A393,INDIRECT("'"&amp;E393&amp;"'"&amp;"!A10:Z10"),0),4),1,""),""),47))</f>
        <v>I13</v>
      </c>
      <c r="C393" s="857" t="str">
        <f ca="1">IF('Pricing Schedule'!$K$5="No",IFERROR(SUBSTITUTE(ADDRESS(1,MATCH(A393,INDIRECT("'"&amp;E393&amp;"'"&amp;"!A10:Z10"),0),4),1,""),""),IFERROR(SUBSTITUTE(ADDRESS(1,MATCH(A393,INDIRECT("'"&amp;E393&amp;"'"&amp;"!A10:Z10"),0),4),1,""),""))</f>
        <v>I</v>
      </c>
      <c r="D393" s="859" t="s">
        <v>1374</v>
      </c>
      <c r="E393" s="859" t="s">
        <v>1291</v>
      </c>
      <c r="F393" s="1422"/>
      <c r="G393" s="1409"/>
      <c r="H393" s="1409"/>
      <c r="I393" s="857" t="str">
        <f t="shared" si="47"/>
        <v>Min CS Markup Override Flag</v>
      </c>
      <c r="J393" s="1409" t="str">
        <f t="shared" si="49"/>
        <v>F362</v>
      </c>
      <c r="K393" s="1409" t="str">
        <f t="shared" si="48"/>
        <v>Pricing Schedule</v>
      </c>
      <c r="L393" s="898" t="s">
        <v>1297</v>
      </c>
      <c r="M393" s="1409">
        <v>362</v>
      </c>
      <c r="N393" s="1409"/>
      <c r="O393" s="1408"/>
      <c r="P393" s="1408"/>
      <c r="Q393" s="1408"/>
      <c r="R393" s="1408"/>
      <c r="S393" s="1408"/>
      <c r="T393" s="1408"/>
      <c r="U393" s="1408"/>
      <c r="V393" s="1408"/>
      <c r="W393" s="1408"/>
      <c r="X393" s="1408"/>
      <c r="Y393" s="1408"/>
      <c r="Z393" s="1408"/>
      <c r="AA393" s="1408"/>
    </row>
    <row r="394" spans="1:27" x14ac:dyDescent="0.25">
      <c r="A394" s="930" t="s">
        <v>1298</v>
      </c>
      <c r="B394" s="857" t="str">
        <f ca="1">IF('Pricing Schedule'!$K$5="No",_xlfn.CONCAT(IFERROR(SUBSTITUTE(ADDRESS(1,MATCH(A394,INDIRECT("'"&amp;E394&amp;"'"&amp;"!A10:Z10"),0),4),1,""),""),13),_xlfn.CONCAT(IFERROR(SUBSTITUTE(ADDRESS(1,MATCH(A394,INDIRECT("'"&amp;E394&amp;"'"&amp;"!A10:Z10"),0),4),1,""),""),47))</f>
        <v>J13</v>
      </c>
      <c r="C394" s="857" t="str">
        <f ca="1">IF('Pricing Schedule'!$K$5="No",IFERROR(SUBSTITUTE(ADDRESS(1,MATCH(A394,INDIRECT("'"&amp;E394&amp;"'"&amp;"!A10:Z10"),0),4),1,""),""),IFERROR(SUBSTITUTE(ADDRESS(1,MATCH(A394,INDIRECT("'"&amp;E394&amp;"'"&amp;"!A10:Z10"),0),4),1,""),""))</f>
        <v>J</v>
      </c>
      <c r="D394" s="859" t="s">
        <v>1374</v>
      </c>
      <c r="E394" s="859" t="s">
        <v>1291</v>
      </c>
      <c r="F394" s="1422"/>
      <c r="G394" s="1409"/>
      <c r="H394" s="1409"/>
      <c r="I394" s="857" t="str">
        <f t="shared" si="47"/>
        <v>Min CS Markup Amt</v>
      </c>
      <c r="J394" s="1409" t="str">
        <f t="shared" si="49"/>
        <v>F363</v>
      </c>
      <c r="K394" s="1409" t="str">
        <f t="shared" si="48"/>
        <v>Pricing Schedule</v>
      </c>
      <c r="L394" s="898" t="s">
        <v>1298</v>
      </c>
      <c r="M394" s="1409">
        <v>363</v>
      </c>
      <c r="N394" s="1409"/>
      <c r="O394" s="1408"/>
      <c r="P394" s="1408"/>
      <c r="Q394" s="1408"/>
      <c r="R394" s="1408"/>
      <c r="S394" s="1408"/>
      <c r="T394" s="1408"/>
      <c r="U394" s="1408"/>
      <c r="V394" s="1408"/>
      <c r="W394" s="1408"/>
      <c r="X394" s="1408"/>
      <c r="Y394" s="1408"/>
      <c r="Z394" s="1408"/>
      <c r="AA394" s="1408"/>
    </row>
    <row r="395" spans="1:27" x14ac:dyDescent="0.25">
      <c r="A395" s="930" t="s">
        <v>1299</v>
      </c>
      <c r="B395" s="857" t="str">
        <f ca="1">IF('Pricing Schedule'!$K$5="No",_xlfn.CONCAT(IFERROR(SUBSTITUTE(ADDRESS(1,MATCH(A395,INDIRECT("'"&amp;E395&amp;"'"&amp;"!A10:Z10"),0),4),1,""),""),13),_xlfn.CONCAT(IFERROR(SUBSTITUTE(ADDRESS(1,MATCH(A395,INDIRECT("'"&amp;E395&amp;"'"&amp;"!A10:Z10"),0),4),1,""),""),47))</f>
        <v>K13</v>
      </c>
      <c r="C395" s="857" t="str">
        <f ca="1">IF('Pricing Schedule'!$K$5="No",IFERROR(SUBSTITUTE(ADDRESS(1,MATCH(A395,INDIRECT("'"&amp;E395&amp;"'"&amp;"!A10:Z10"),0),4),1,""),""),IFERROR(SUBSTITUTE(ADDRESS(1,MATCH(A395,INDIRECT("'"&amp;E395&amp;"'"&amp;"!A10:Z10"),0),4),1,""),""))</f>
        <v>K</v>
      </c>
      <c r="D395" s="859" t="s">
        <v>1374</v>
      </c>
      <c r="E395" s="859" t="s">
        <v>1291</v>
      </c>
      <c r="F395" s="1422"/>
      <c r="G395" s="1409"/>
      <c r="H395" s="1409"/>
      <c r="I395" s="857" t="str">
        <f t="shared" si="47"/>
        <v>Split Case Fee Override Flag</v>
      </c>
      <c r="J395" s="1409" t="str">
        <f t="shared" si="49"/>
        <v>F364</v>
      </c>
      <c r="K395" s="1409" t="str">
        <f t="shared" si="48"/>
        <v>Pricing Schedule</v>
      </c>
      <c r="L395" s="898" t="s">
        <v>1299</v>
      </c>
      <c r="M395" s="1409">
        <v>364</v>
      </c>
      <c r="N395" s="1409"/>
      <c r="O395" s="1408"/>
      <c r="P395" s="1408"/>
      <c r="Q395" s="1408"/>
      <c r="R395" s="1408"/>
      <c r="S395" s="1408"/>
      <c r="T395" s="1408"/>
      <c r="U395" s="1408"/>
      <c r="V395" s="1408"/>
      <c r="W395" s="1408"/>
      <c r="X395" s="1408"/>
      <c r="Y395" s="1408"/>
      <c r="Z395" s="1408"/>
      <c r="AA395" s="1408"/>
    </row>
    <row r="396" spans="1:27" x14ac:dyDescent="0.25">
      <c r="A396" s="930" t="s">
        <v>1300</v>
      </c>
      <c r="B396" s="857" t="str">
        <f ca="1">IF('Pricing Schedule'!$K$5="No",_xlfn.CONCAT(IFERROR(SUBSTITUTE(ADDRESS(1,MATCH(A396,INDIRECT("'"&amp;E396&amp;"'"&amp;"!A10:Z10"),0),4),1,""),""),13),_xlfn.CONCAT(IFERROR(SUBSTITUTE(ADDRESS(1,MATCH(A396,INDIRECT("'"&amp;E396&amp;"'"&amp;"!A10:Z10"),0),4),1,""),""),47))</f>
        <v>L13</v>
      </c>
      <c r="C396" s="857" t="str">
        <f ca="1">IF('Pricing Schedule'!$K$5="No",IFERROR(SUBSTITUTE(ADDRESS(1,MATCH(A396,INDIRECT("'"&amp;E396&amp;"'"&amp;"!A10:Z10"),0),4),1,""),""),IFERROR(SUBSTITUTE(ADDRESS(1,MATCH(A396,INDIRECT("'"&amp;E396&amp;"'"&amp;"!A10:Z10"),0),4),1,""),""))</f>
        <v>L</v>
      </c>
      <c r="D396" s="859" t="s">
        <v>1374</v>
      </c>
      <c r="E396" s="859" t="s">
        <v>1291</v>
      </c>
      <c r="F396" s="1422"/>
      <c r="G396" s="1409"/>
      <c r="H396" s="1409"/>
      <c r="I396" s="857" t="str">
        <f t="shared" si="47"/>
        <v>Split Case Fee</v>
      </c>
      <c r="J396" s="1409" t="str">
        <f t="shared" si="49"/>
        <v>F365</v>
      </c>
      <c r="K396" s="1409" t="str">
        <f t="shared" si="48"/>
        <v>Pricing Schedule</v>
      </c>
      <c r="L396" s="898" t="s">
        <v>1300</v>
      </c>
      <c r="M396" s="1409">
        <v>365</v>
      </c>
      <c r="N396" s="1409"/>
      <c r="O396" s="1408"/>
      <c r="P396" s="1408"/>
      <c r="Q396" s="1408"/>
      <c r="R396" s="1408"/>
      <c r="S396" s="1408"/>
      <c r="T396" s="1408"/>
      <c r="U396" s="1408"/>
      <c r="V396" s="1408"/>
      <c r="W396" s="1408"/>
      <c r="X396" s="1408"/>
      <c r="Y396" s="1408"/>
      <c r="Z396" s="1408"/>
      <c r="AA396" s="1408"/>
    </row>
    <row r="397" spans="1:27" x14ac:dyDescent="0.25">
      <c r="A397" s="930" t="s">
        <v>1238</v>
      </c>
      <c r="B397" s="857" t="str">
        <f ca="1">IF('Pricing Schedule'!$K$5="No",_xlfn.CONCAT(IFERROR(SUBSTITUTE(ADDRESS(1,MATCH(A397,INDIRECT("'"&amp;E397&amp;"'"&amp;"!A10:Z10"),0),4),1,""),""),13),_xlfn.CONCAT(IFERROR(SUBSTITUTE(ADDRESS(1,MATCH(A397,INDIRECT("'"&amp;E397&amp;"'"&amp;"!A10:Z10"),0),4),1,""),""),47))</f>
        <v>M13</v>
      </c>
      <c r="C397" s="857" t="str">
        <f ca="1">IF('Pricing Schedule'!$K$5="No",IFERROR(SUBSTITUTE(ADDRESS(1,MATCH(A397,INDIRECT("'"&amp;E397&amp;"'"&amp;"!A10:Z10"),0),4),1,""),""),IFERROR(SUBSTITUTE(ADDRESS(1,MATCH(A397,INDIRECT("'"&amp;E397&amp;"'"&amp;"!A10:Z10"),0),4),1,""),""))</f>
        <v>M</v>
      </c>
      <c r="D397" s="859" t="s">
        <v>1374</v>
      </c>
      <c r="E397" s="859" t="s">
        <v>1291</v>
      </c>
      <c r="F397" s="1422"/>
      <c r="G397" s="1409"/>
      <c r="H397" s="1409"/>
      <c r="I397" s="857" t="str">
        <f t="shared" si="47"/>
        <v>Split Case Per</v>
      </c>
      <c r="J397" s="1409" t="str">
        <f t="shared" si="49"/>
        <v>F366</v>
      </c>
      <c r="K397" s="1409" t="str">
        <f t="shared" si="48"/>
        <v>Pricing Schedule</v>
      </c>
      <c r="L397" s="898" t="s">
        <v>1238</v>
      </c>
      <c r="M397" s="1409">
        <v>366</v>
      </c>
      <c r="N397" s="1409"/>
      <c r="O397" s="1408"/>
      <c r="P397" s="1408"/>
      <c r="Q397" s="1408"/>
      <c r="R397" s="1408"/>
      <c r="S397" s="1408"/>
      <c r="T397" s="1408"/>
      <c r="U397" s="1408"/>
      <c r="V397" s="1408"/>
      <c r="W397" s="1408"/>
      <c r="X397" s="1408"/>
      <c r="Y397" s="1408"/>
      <c r="Z397" s="1408"/>
      <c r="AA397" s="1408"/>
    </row>
    <row r="398" spans="1:27" x14ac:dyDescent="0.25">
      <c r="A398" s="925" t="s">
        <v>1301</v>
      </c>
      <c r="B398" s="857" t="str">
        <f ca="1">IF('Pricing Schedule'!$K$5="No",_xlfn.CONCAT(IFERROR(SUBSTITUTE(ADDRESS(1,MATCH(A398,INDIRECT("'"&amp;E398&amp;"'"&amp;"!A10:Z10"),0),4),1,""),""),18),_xlfn.CONCAT(IFERROR(SUBSTITUTE(ADDRESS(1,MATCH(A398,INDIRECT("'"&amp;E398&amp;"'"&amp;"!A10:Z10"),0),4),1,""),""),52))</f>
        <v>N18</v>
      </c>
      <c r="C398" s="857" t="str">
        <f ca="1">IF('Pricing Schedule'!$K$5="No",IFERROR(SUBSTITUTE(ADDRESS(1,MATCH(A398,INDIRECT("'"&amp;E398&amp;"'"&amp;"!A10:Z10"),0),4),1,""),""),IFERROR(SUBSTITUTE(ADDRESS(1,MATCH(A398,INDIRECT("'"&amp;E398&amp;"'"&amp;"!A10:Z10"),0),4),1,""),""))</f>
        <v>N</v>
      </c>
      <c r="D398" s="859" t="s">
        <v>1374</v>
      </c>
      <c r="E398" s="859" t="s">
        <v>1291</v>
      </c>
      <c r="F398" s="1409"/>
      <c r="G398" s="1409"/>
      <c r="H398" s="1409"/>
      <c r="I398" s="857" t="str">
        <f t="shared" si="47"/>
        <v/>
      </c>
      <c r="J398" s="1409"/>
      <c r="K398" s="1409" t="str">
        <f t="shared" si="48"/>
        <v/>
      </c>
      <c r="L398" s="898" t="s">
        <v>1301</v>
      </c>
      <c r="M398" s="1409">
        <v>367</v>
      </c>
      <c r="N398" s="1409"/>
      <c r="O398" s="1408"/>
      <c r="P398" s="1408"/>
      <c r="Q398" s="1408"/>
      <c r="R398" s="1408"/>
      <c r="S398" s="1408"/>
      <c r="T398" s="1408"/>
      <c r="U398" s="1408"/>
      <c r="V398" s="1408"/>
      <c r="W398" s="1408"/>
      <c r="X398" s="1408"/>
      <c r="Y398" s="1408"/>
      <c r="Z398" s="1408"/>
      <c r="AA398" s="1408"/>
    </row>
    <row r="399" spans="1:27" x14ac:dyDescent="0.25">
      <c r="A399" s="926" t="s">
        <v>1292</v>
      </c>
      <c r="B399" s="857" t="str">
        <f ca="1">IF('Pricing Schedule'!$K$5="No",_xlfn.CONCAT(IFERROR(SUBSTITUTE(ADDRESS(1,MATCH(A399,INDIRECT("'"&amp;E399&amp;"'"&amp;"!A10:Z10"),0),4),1,""),""),18),_xlfn.CONCAT(IFERROR(SUBSTITUTE(ADDRESS(1,MATCH(A399,INDIRECT("'"&amp;E399&amp;"'"&amp;"!A10:Z10"),0),4),1,""),""),52))</f>
        <v>C18</v>
      </c>
      <c r="C399" s="857" t="str">
        <f ca="1">IF('Pricing Schedule'!$K$5="No",IFERROR(SUBSTITUTE(ADDRESS(1,MATCH(A399,INDIRECT("'"&amp;E399&amp;"'"&amp;"!A10:Z10"),0),4),1,""),""),IFERROR(SUBSTITUTE(ADDRESS(1,MATCH(A399,INDIRECT("'"&amp;E399&amp;"'"&amp;"!A10:Z10"),0),4),1,""),""))</f>
        <v>C</v>
      </c>
      <c r="D399" s="859" t="s">
        <v>1374</v>
      </c>
      <c r="E399" s="859" t="s">
        <v>1291</v>
      </c>
      <c r="F399" s="1409"/>
      <c r="G399" s="1409"/>
      <c r="H399" s="1409"/>
      <c r="I399" s="857" t="str">
        <f t="shared" si="47"/>
        <v/>
      </c>
      <c r="J399" s="1409"/>
      <c r="K399" s="1409" t="str">
        <f t="shared" si="48"/>
        <v/>
      </c>
      <c r="L399" s="898" t="s">
        <v>252</v>
      </c>
      <c r="M399" s="1409">
        <v>368</v>
      </c>
      <c r="N399" s="1409"/>
      <c r="O399" s="1408"/>
      <c r="P399" s="1408"/>
      <c r="Q399" s="1408"/>
      <c r="R399" s="1408"/>
      <c r="S399" s="1408"/>
      <c r="T399" s="1408"/>
      <c r="U399" s="1408"/>
      <c r="V399" s="1408"/>
      <c r="W399" s="1408"/>
      <c r="X399" s="1408"/>
      <c r="Y399" s="1408"/>
      <c r="Z399" s="1408"/>
      <c r="AA399" s="1408"/>
    </row>
    <row r="400" spans="1:27" x14ac:dyDescent="0.25">
      <c r="A400" s="926" t="s">
        <v>1257</v>
      </c>
      <c r="B400" s="857" t="str">
        <f ca="1">IF('Pricing Schedule'!$K$5="No",_xlfn.CONCAT(IFERROR(SUBSTITUTE(ADDRESS(1,MATCH(A400,INDIRECT("'"&amp;E400&amp;"'"&amp;"!A10:Z10"),0),4),1,""),""),18),_xlfn.CONCAT(IFERROR(SUBSTITUTE(ADDRESS(1,MATCH(A400,INDIRECT("'"&amp;E400&amp;"'"&amp;"!A10:Z10"),0),4),1,""),""),52))</f>
        <v>H18</v>
      </c>
      <c r="C400" s="857" t="str">
        <f ca="1">IF('Pricing Schedule'!$K$5="No",IFERROR(SUBSTITUTE(ADDRESS(1,MATCH(A400,INDIRECT("'"&amp;E400&amp;"'"&amp;"!A10:Z10"),0),4),1,""),""),IFERROR(SUBSTITUTE(ADDRESS(1,MATCH(A400,INDIRECT("'"&amp;E400&amp;"'"&amp;"!A10:Z10"),0),4),1,""),""))</f>
        <v>H</v>
      </c>
      <c r="D400" s="859" t="s">
        <v>1374</v>
      </c>
      <c r="E400" s="859" t="s">
        <v>1291</v>
      </c>
      <c r="F400" s="1409"/>
      <c r="G400" s="1409"/>
      <c r="H400" s="1409"/>
      <c r="I400" s="857" t="str">
        <f t="shared" si="47"/>
        <v/>
      </c>
      <c r="J400" s="1409"/>
      <c r="K400" s="1409" t="str">
        <f t="shared" si="48"/>
        <v/>
      </c>
      <c r="L400" s="898" t="s">
        <v>1257</v>
      </c>
      <c r="M400" s="1409">
        <v>369</v>
      </c>
      <c r="N400" s="1409"/>
      <c r="O400" s="1408"/>
      <c r="P400" s="1408"/>
      <c r="Q400" s="1408"/>
      <c r="R400" s="1408"/>
      <c r="S400" s="1408"/>
      <c r="T400" s="1408"/>
      <c r="U400" s="1408"/>
      <c r="V400" s="1408"/>
      <c r="W400" s="1408"/>
      <c r="X400" s="1408"/>
      <c r="Y400" s="1408"/>
      <c r="Z400" s="1408"/>
      <c r="AA400" s="1408"/>
    </row>
    <row r="401" spans="1:27" x14ac:dyDescent="0.25">
      <c r="A401" s="926" t="s">
        <v>1295</v>
      </c>
      <c r="B401" s="857" t="str">
        <f ca="1">IF('Pricing Schedule'!$K$5="No",_xlfn.CONCAT(IFERROR(SUBSTITUTE(ADDRESS(1,MATCH(A401,INDIRECT("'"&amp;E401&amp;"'"&amp;"!A10:Z10"),0),4),1,""),""),18),_xlfn.CONCAT(IFERROR(SUBSTITUTE(ADDRESS(1,MATCH(A401,INDIRECT("'"&amp;E401&amp;"'"&amp;"!A10:Z10"),0),4),1,""),""),52))</f>
        <v>F18</v>
      </c>
      <c r="C401" s="857" t="str">
        <f ca="1">IF('Pricing Schedule'!$K$5="No",IFERROR(SUBSTITUTE(ADDRESS(1,MATCH(A401,INDIRECT("'"&amp;E401&amp;"'"&amp;"!A10:Z10"),0),4),1,""),""),IFERROR(SUBSTITUTE(ADDRESS(1,MATCH(A401,INDIRECT("'"&amp;E401&amp;"'"&amp;"!A10:Z10"),0),4),1,""),""))</f>
        <v>F</v>
      </c>
      <c r="D401" s="859" t="s">
        <v>1374</v>
      </c>
      <c r="E401" s="859" t="s">
        <v>1291</v>
      </c>
      <c r="F401" s="1409"/>
      <c r="G401" s="1409"/>
      <c r="H401" s="1409"/>
      <c r="I401" s="857" t="str">
        <f t="shared" si="47"/>
        <v/>
      </c>
      <c r="J401" s="1409"/>
      <c r="K401" s="1409" t="str">
        <f t="shared" si="48"/>
        <v/>
      </c>
      <c r="L401" s="898" t="s">
        <v>225</v>
      </c>
      <c r="M401" s="1409">
        <v>370</v>
      </c>
      <c r="N401" s="1409"/>
      <c r="O401" s="1408"/>
      <c r="P401" s="1408"/>
      <c r="Q401" s="1408"/>
      <c r="R401" s="1408"/>
      <c r="S401" s="1408"/>
      <c r="T401" s="1408"/>
      <c r="U401" s="1408"/>
      <c r="V401" s="1408"/>
      <c r="W401" s="1408"/>
      <c r="X401" s="1408"/>
      <c r="Y401" s="1408"/>
      <c r="Z401" s="1408"/>
      <c r="AA401" s="1408"/>
    </row>
    <row r="402" spans="1:27" x14ac:dyDescent="0.25">
      <c r="A402" s="927" t="s">
        <v>463</v>
      </c>
      <c r="B402" s="857" t="str">
        <f ca="1">_xlfn.CONCAT(IFERROR(SUBSTITUTE(ADDRESS(1,MATCH(A402,INDIRECT("'"&amp;E402&amp;"'"&amp;"!A9:Z9"),0),4),1,""),""),20)</f>
        <v>E20</v>
      </c>
      <c r="C402" s="857" t="str">
        <f ca="1">_xlfn.CONCAT(IFERROR(SUBSTITUTE(ADDRESS(1,MATCH(A402,INDIRECT("'"&amp;E402&amp;"'"&amp;"!A9:Z9"),0),4),1,""),""))</f>
        <v>E</v>
      </c>
      <c r="D402" s="1174" t="s">
        <v>1374</v>
      </c>
      <c r="E402" s="859" t="s">
        <v>208</v>
      </c>
      <c r="F402" s="1409"/>
      <c r="G402" s="1409"/>
      <c r="H402" s="1409"/>
      <c r="I402" s="857" t="str">
        <f t="shared" si="47"/>
        <v>Exclude PIM Classes Below</v>
      </c>
      <c r="J402" s="1409" t="str">
        <f t="shared" si="49"/>
        <v>F371</v>
      </c>
      <c r="K402" s="1409" t="str">
        <f t="shared" si="48"/>
        <v>PIM Model</v>
      </c>
      <c r="L402" s="898" t="s">
        <v>463</v>
      </c>
      <c r="M402" s="1409">
        <v>371</v>
      </c>
      <c r="N402" s="1409"/>
      <c r="O402" s="1408"/>
      <c r="P402" s="1408"/>
      <c r="Q402" s="1408"/>
      <c r="R402" s="1408"/>
      <c r="S402" s="1408"/>
      <c r="T402" s="1408"/>
      <c r="U402" s="1408"/>
      <c r="V402" s="1408"/>
      <c r="W402" s="1408"/>
      <c r="X402" s="1408"/>
      <c r="Y402" s="1408"/>
      <c r="Z402" s="1408"/>
      <c r="AA402" s="1408"/>
    </row>
    <row r="403" spans="1:27" x14ac:dyDescent="0.25">
      <c r="A403" s="927" t="s">
        <v>1294</v>
      </c>
      <c r="B403" s="857" t="str">
        <f ca="1">IF('Pricing Schedule'!$K$5="No",_xlfn.CONCAT(IFERROR(SUBSTITUTE(ADDRESS(1,MATCH(A403,INDIRECT("'"&amp;E403&amp;"'"&amp;"!A10:Z10"),0),4),1,""),""),18),_xlfn.CONCAT(IFERROR(SUBSTITUTE(ADDRESS(1,MATCH(A403,INDIRECT("'"&amp;E403&amp;"'"&amp;"!A10:Z10"),0),4),1,""),""),52))</f>
        <v>E18</v>
      </c>
      <c r="C403" s="857" t="str">
        <f ca="1">IF('Pricing Schedule'!$K$5="No",IFERROR(SUBSTITUTE(ADDRESS(1,MATCH(A403,INDIRECT("'"&amp;E403&amp;"'"&amp;"!A10:Z10"),0),4),1,""),""),IFERROR(SUBSTITUTE(ADDRESS(1,MATCH(A403,INDIRECT("'"&amp;E403&amp;"'"&amp;"!A10:Z10"),0),4),1,""),""))</f>
        <v>E</v>
      </c>
      <c r="D403" s="859" t="s">
        <v>1374</v>
      </c>
      <c r="E403" s="859" t="s">
        <v>1291</v>
      </c>
      <c r="F403" s="1409"/>
      <c r="G403" s="1409"/>
      <c r="H403" s="1409"/>
      <c r="I403" s="857" t="str">
        <f t="shared" si="47"/>
        <v>Special Pricing Code</v>
      </c>
      <c r="J403" s="1409" t="str">
        <f t="shared" si="49"/>
        <v>F372</v>
      </c>
      <c r="K403" s="1409" t="str">
        <f t="shared" si="48"/>
        <v>Pricing Schedule</v>
      </c>
      <c r="L403" s="898" t="s">
        <v>1294</v>
      </c>
      <c r="M403" s="1409">
        <v>372</v>
      </c>
      <c r="N403" s="1409"/>
      <c r="O403" s="1408"/>
      <c r="P403" s="1408"/>
      <c r="Q403" s="1408"/>
      <c r="R403" s="1408"/>
      <c r="S403" s="1408"/>
      <c r="T403" s="1408"/>
      <c r="U403" s="1408"/>
      <c r="V403" s="1408"/>
      <c r="W403" s="1408"/>
      <c r="X403" s="1408"/>
      <c r="Y403" s="1408"/>
      <c r="Z403" s="1408"/>
      <c r="AA403" s="1408"/>
    </row>
    <row r="404" spans="1:27" x14ac:dyDescent="0.25">
      <c r="A404" s="927" t="s">
        <v>1296</v>
      </c>
      <c r="B404" s="857" t="str">
        <f ca="1">IF('Pricing Schedule'!$K$5="No",_xlfn.CONCAT(IFERROR(SUBSTITUTE(ADDRESS(1,MATCH(A404,INDIRECT("'"&amp;E404&amp;"'"&amp;"!A10:Z10"),0),4),1,""),""),18),_xlfn.CONCAT(IFERROR(SUBSTITUTE(ADDRESS(1,MATCH(A404,INDIRECT("'"&amp;E404&amp;"'"&amp;"!A10:Z10"),0),4),1,""),""),52))</f>
        <v>G18</v>
      </c>
      <c r="C404" s="857" t="str">
        <f ca="1">IF('Pricing Schedule'!$K$5="No",IFERROR(SUBSTITUTE(ADDRESS(1,MATCH(A404,INDIRECT("'"&amp;E404&amp;"'"&amp;"!A10:Z10"),0),4),1,""),""),IFERROR(SUBSTITUTE(ADDRESS(1,MATCH(A404,INDIRECT("'"&amp;E404&amp;"'"&amp;"!A10:Z10"),0),4),1,""),""))</f>
        <v>G</v>
      </c>
      <c r="D404" s="859" t="s">
        <v>1374</v>
      </c>
      <c r="E404" s="859" t="s">
        <v>1291</v>
      </c>
      <c r="F404" s="1422"/>
      <c r="G404" s="1409"/>
      <c r="H404" s="1409"/>
      <c r="I404" s="857" t="str">
        <f t="shared" si="47"/>
        <v>EB Markup Amt</v>
      </c>
      <c r="J404" s="1409" t="str">
        <f t="shared" si="49"/>
        <v>F373</v>
      </c>
      <c r="K404" s="1409" t="str">
        <f t="shared" si="48"/>
        <v>Pricing Schedule</v>
      </c>
      <c r="L404" s="898" t="s">
        <v>1296</v>
      </c>
      <c r="M404" s="1409">
        <v>373</v>
      </c>
      <c r="N404" s="1409"/>
      <c r="O404" s="1408"/>
      <c r="P404" s="1408"/>
      <c r="Q404" s="1408"/>
      <c r="R404" s="1408"/>
      <c r="S404" s="1408"/>
      <c r="T404" s="1408"/>
      <c r="U404" s="1408"/>
      <c r="V404" s="1408"/>
      <c r="W404" s="1408"/>
      <c r="X404" s="1408"/>
      <c r="Y404" s="1408"/>
      <c r="Z404" s="1408"/>
      <c r="AA404" s="1408"/>
    </row>
    <row r="405" spans="1:27" x14ac:dyDescent="0.25">
      <c r="A405" s="927" t="s">
        <v>1297</v>
      </c>
      <c r="B405" s="857" t="str">
        <f ca="1">IF('Pricing Schedule'!$K$5="No",_xlfn.CONCAT(IFERROR(SUBSTITUTE(ADDRESS(1,MATCH(A405,INDIRECT("'"&amp;E405&amp;"'"&amp;"!A10:Z10"),0),4),1,""),""),18),_xlfn.CONCAT(IFERROR(SUBSTITUTE(ADDRESS(1,MATCH(A405,INDIRECT("'"&amp;E405&amp;"'"&amp;"!A10:Z10"),0),4),1,""),""),52))</f>
        <v>I18</v>
      </c>
      <c r="C405" s="857" t="str">
        <f ca="1">IF('Pricing Schedule'!$K$5="No",IFERROR(SUBSTITUTE(ADDRESS(1,MATCH(A405,INDIRECT("'"&amp;E405&amp;"'"&amp;"!A10:Z10"),0),4),1,""),""),IFERROR(SUBSTITUTE(ADDRESS(1,MATCH(A405,INDIRECT("'"&amp;E405&amp;"'"&amp;"!A10:Z10"),0),4),1,""),""))</f>
        <v>I</v>
      </c>
      <c r="D405" s="859" t="s">
        <v>1374</v>
      </c>
      <c r="E405" s="859" t="s">
        <v>1291</v>
      </c>
      <c r="F405" s="1422"/>
      <c r="G405" s="1409"/>
      <c r="H405" s="1409"/>
      <c r="I405" s="857" t="str">
        <f t="shared" si="47"/>
        <v>Min CS Markup Override Flag</v>
      </c>
      <c r="J405" s="1409" t="str">
        <f t="shared" si="49"/>
        <v>F374</v>
      </c>
      <c r="K405" s="1409" t="str">
        <f t="shared" si="48"/>
        <v>Pricing Schedule</v>
      </c>
      <c r="L405" s="898" t="s">
        <v>1297</v>
      </c>
      <c r="M405" s="1409">
        <v>374</v>
      </c>
      <c r="N405" s="1409"/>
      <c r="O405" s="1408"/>
      <c r="P405" s="1408"/>
      <c r="Q405" s="1408"/>
      <c r="R405" s="1408"/>
      <c r="S405" s="1408"/>
      <c r="T405" s="1408"/>
      <c r="U405" s="1408"/>
      <c r="V405" s="1408"/>
      <c r="W405" s="1408"/>
      <c r="X405" s="1408"/>
      <c r="Y405" s="1408"/>
      <c r="Z405" s="1408"/>
      <c r="AA405" s="1408"/>
    </row>
    <row r="406" spans="1:27" x14ac:dyDescent="0.25">
      <c r="A406" s="927" t="s">
        <v>1298</v>
      </c>
      <c r="B406" s="857" t="str">
        <f ca="1">IF('Pricing Schedule'!$K$5="No",_xlfn.CONCAT(IFERROR(SUBSTITUTE(ADDRESS(1,MATCH(A406,INDIRECT("'"&amp;E406&amp;"'"&amp;"!A10:Z10"),0),4),1,""),""),18),_xlfn.CONCAT(IFERROR(SUBSTITUTE(ADDRESS(1,MATCH(A406,INDIRECT("'"&amp;E406&amp;"'"&amp;"!A10:Z10"),0),4),1,""),""),52))</f>
        <v>J18</v>
      </c>
      <c r="C406" s="857" t="str">
        <f ca="1">IF('Pricing Schedule'!$K$5="No",IFERROR(SUBSTITUTE(ADDRESS(1,MATCH(A406,INDIRECT("'"&amp;E406&amp;"'"&amp;"!A10:Z10"),0),4),1,""),""),IFERROR(SUBSTITUTE(ADDRESS(1,MATCH(A406,INDIRECT("'"&amp;E406&amp;"'"&amp;"!A10:Z10"),0),4),1,""),""))</f>
        <v>J</v>
      </c>
      <c r="D406" s="859" t="s">
        <v>1374</v>
      </c>
      <c r="E406" s="859" t="s">
        <v>1291</v>
      </c>
      <c r="F406" s="1422"/>
      <c r="G406" s="1409"/>
      <c r="H406" s="1409"/>
      <c r="I406" s="857" t="str">
        <f t="shared" si="47"/>
        <v>Min CS Markup Amt</v>
      </c>
      <c r="J406" s="1409" t="str">
        <f t="shared" si="49"/>
        <v>F375</v>
      </c>
      <c r="K406" s="1409" t="str">
        <f t="shared" si="48"/>
        <v>Pricing Schedule</v>
      </c>
      <c r="L406" s="898" t="s">
        <v>1298</v>
      </c>
      <c r="M406" s="1409">
        <v>375</v>
      </c>
      <c r="N406" s="1409"/>
      <c r="O406" s="1408"/>
      <c r="P406" s="1408"/>
      <c r="Q406" s="1408"/>
      <c r="R406" s="1408"/>
      <c r="S406" s="1408"/>
      <c r="T406" s="1408"/>
      <c r="U406" s="1408"/>
      <c r="V406" s="1408"/>
      <c r="W406" s="1408"/>
      <c r="X406" s="1408"/>
      <c r="Y406" s="1408"/>
      <c r="Z406" s="1408"/>
      <c r="AA406" s="1408"/>
    </row>
    <row r="407" spans="1:27" x14ac:dyDescent="0.25">
      <c r="A407" s="927" t="s">
        <v>1299</v>
      </c>
      <c r="B407" s="857" t="str">
        <f ca="1">IF('Pricing Schedule'!$K$5="No",_xlfn.CONCAT(IFERROR(SUBSTITUTE(ADDRESS(1,MATCH(A407,INDIRECT("'"&amp;E407&amp;"'"&amp;"!A10:Z10"),0),4),1,""),""),18),_xlfn.CONCAT(IFERROR(SUBSTITUTE(ADDRESS(1,MATCH(A407,INDIRECT("'"&amp;E407&amp;"'"&amp;"!A10:Z10"),0),4),1,""),""),52))</f>
        <v>K18</v>
      </c>
      <c r="C407" s="857" t="str">
        <f ca="1">IF('Pricing Schedule'!$K$5="No",IFERROR(SUBSTITUTE(ADDRESS(1,MATCH(A407,INDIRECT("'"&amp;E407&amp;"'"&amp;"!A10:Z10"),0),4),1,""),""),IFERROR(SUBSTITUTE(ADDRESS(1,MATCH(A407,INDIRECT("'"&amp;E407&amp;"'"&amp;"!A10:Z10"),0),4),1,""),""))</f>
        <v>K</v>
      </c>
      <c r="D407" s="859" t="s">
        <v>1374</v>
      </c>
      <c r="E407" s="859" t="s">
        <v>1291</v>
      </c>
      <c r="F407" s="1422"/>
      <c r="G407" s="1409"/>
      <c r="H407" s="1409"/>
      <c r="I407" s="857" t="str">
        <f t="shared" si="47"/>
        <v>Split Case Fee Override Flag</v>
      </c>
      <c r="J407" s="1409" t="str">
        <f t="shared" si="49"/>
        <v>F376</v>
      </c>
      <c r="K407" s="1409" t="str">
        <f t="shared" si="48"/>
        <v>Pricing Schedule</v>
      </c>
      <c r="L407" s="898" t="s">
        <v>1299</v>
      </c>
      <c r="M407" s="1409">
        <v>376</v>
      </c>
      <c r="N407" s="1409"/>
      <c r="O407" s="1408"/>
      <c r="P407" s="1408"/>
      <c r="Q407" s="1408"/>
      <c r="R407" s="1408"/>
      <c r="S407" s="1408"/>
      <c r="T407" s="1408"/>
      <c r="U407" s="1408"/>
      <c r="V407" s="1408"/>
      <c r="W407" s="1408"/>
      <c r="X407" s="1408"/>
      <c r="Y407" s="1408"/>
      <c r="Z407" s="1408"/>
      <c r="AA407" s="1408"/>
    </row>
    <row r="408" spans="1:27" x14ac:dyDescent="0.25">
      <c r="A408" s="927" t="s">
        <v>1300</v>
      </c>
      <c r="B408" s="857" t="str">
        <f ca="1">IF('Pricing Schedule'!$K$5="No",_xlfn.CONCAT(IFERROR(SUBSTITUTE(ADDRESS(1,MATCH(A408,INDIRECT("'"&amp;E408&amp;"'"&amp;"!A10:Z10"),0),4),1,""),""),18),_xlfn.CONCAT(IFERROR(SUBSTITUTE(ADDRESS(1,MATCH(A408,INDIRECT("'"&amp;E408&amp;"'"&amp;"!A10:Z10"),0),4),1,""),""),52))</f>
        <v>L18</v>
      </c>
      <c r="C408" s="857" t="str">
        <f ca="1">IF('Pricing Schedule'!$K$5="No",IFERROR(SUBSTITUTE(ADDRESS(1,MATCH(A408,INDIRECT("'"&amp;E408&amp;"'"&amp;"!A10:Z10"),0),4),1,""),""),IFERROR(SUBSTITUTE(ADDRESS(1,MATCH(A408,INDIRECT("'"&amp;E408&amp;"'"&amp;"!A10:Z10"),0),4),1,""),""))</f>
        <v>L</v>
      </c>
      <c r="D408" s="859" t="s">
        <v>1374</v>
      </c>
      <c r="E408" s="859" t="s">
        <v>1291</v>
      </c>
      <c r="F408" s="1422"/>
      <c r="G408" s="1409"/>
      <c r="H408" s="1409"/>
      <c r="I408" s="857" t="str">
        <f t="shared" si="47"/>
        <v>Split Case Fee</v>
      </c>
      <c r="J408" s="1409" t="str">
        <f t="shared" si="49"/>
        <v>F377</v>
      </c>
      <c r="K408" s="1409" t="str">
        <f t="shared" si="48"/>
        <v>Pricing Schedule</v>
      </c>
      <c r="L408" s="898" t="s">
        <v>1300</v>
      </c>
      <c r="M408" s="1409">
        <v>377</v>
      </c>
      <c r="N408" s="1409"/>
      <c r="O408" s="1408"/>
      <c r="P408" s="1408"/>
      <c r="Q408" s="1408"/>
      <c r="R408" s="1408"/>
      <c r="S408" s="1408"/>
      <c r="T408" s="1408"/>
      <c r="U408" s="1408"/>
      <c r="V408" s="1408"/>
      <c r="W408" s="1408"/>
      <c r="X408" s="1408"/>
      <c r="Y408" s="1408"/>
      <c r="Z408" s="1408"/>
      <c r="AA408" s="1408"/>
    </row>
    <row r="409" spans="1:27" x14ac:dyDescent="0.25">
      <c r="A409" s="927" t="s">
        <v>1238</v>
      </c>
      <c r="B409" s="857" t="str">
        <f ca="1">IF('Pricing Schedule'!$K$5="No",_xlfn.CONCAT(IFERROR(SUBSTITUTE(ADDRESS(1,MATCH(A409,INDIRECT("'"&amp;E409&amp;"'"&amp;"!A10:Z10"),0),4),1,""),""),18),_xlfn.CONCAT(IFERROR(SUBSTITUTE(ADDRESS(1,MATCH(A409,INDIRECT("'"&amp;E409&amp;"'"&amp;"!A10:Z10"),0),4),1,""),""),52))</f>
        <v>M18</v>
      </c>
      <c r="C409" s="857" t="str">
        <f ca="1">IF('Pricing Schedule'!$K$5="No",IFERROR(SUBSTITUTE(ADDRESS(1,MATCH(A409,INDIRECT("'"&amp;E409&amp;"'"&amp;"!A10:Z10"),0),4),1,""),""),IFERROR(SUBSTITUTE(ADDRESS(1,MATCH(A409,INDIRECT("'"&amp;E409&amp;"'"&amp;"!A10:Z10"),0),4),1,""),""))</f>
        <v>M</v>
      </c>
      <c r="D409" s="859" t="s">
        <v>1374</v>
      </c>
      <c r="E409" s="859" t="s">
        <v>1291</v>
      </c>
      <c r="F409" s="1422"/>
      <c r="G409" s="1409"/>
      <c r="H409" s="1409"/>
      <c r="I409" s="857" t="str">
        <f t="shared" si="47"/>
        <v>Split Case Per</v>
      </c>
      <c r="J409" s="1409" t="str">
        <f t="shared" si="49"/>
        <v>F378</v>
      </c>
      <c r="K409" s="1409" t="str">
        <f t="shared" si="48"/>
        <v>Pricing Schedule</v>
      </c>
      <c r="L409" s="898" t="s">
        <v>1238</v>
      </c>
      <c r="M409" s="1409">
        <v>378</v>
      </c>
      <c r="N409" s="1409"/>
      <c r="O409" s="1408"/>
      <c r="P409" s="1408"/>
      <c r="Q409" s="1408"/>
      <c r="R409" s="1408"/>
      <c r="S409" s="1408"/>
      <c r="T409" s="1408"/>
      <c r="U409" s="1408"/>
      <c r="V409" s="1408"/>
      <c r="W409" s="1408"/>
      <c r="X409" s="1408"/>
      <c r="Y409" s="1408"/>
      <c r="Z409" s="1408"/>
      <c r="AA409" s="1408"/>
    </row>
    <row r="410" spans="1:27" x14ac:dyDescent="0.25">
      <c r="A410" s="928" t="s">
        <v>1301</v>
      </c>
      <c r="B410" s="857" t="str">
        <f ca="1">IF('Pricing Schedule'!$K$5="No",_xlfn.CONCAT(IFERROR(SUBSTITUTE(ADDRESS(1,MATCH(A410,INDIRECT("'"&amp;E410&amp;"'"&amp;"!A10:Z10"),0),4),1,""),""),22),_xlfn.CONCAT(IFERROR(SUBSTITUTE(ADDRESS(1,MATCH(A410,INDIRECT("'"&amp;E410&amp;"'"&amp;"!A10:Z10"),0),4),1,""),""),56))</f>
        <v>N22</v>
      </c>
      <c r="C410" s="857" t="str">
        <f ca="1">IF('Pricing Schedule'!$K$5="No",IFERROR(SUBSTITUTE(ADDRESS(1,MATCH(A410,INDIRECT("'"&amp;E410&amp;"'"&amp;"!A10:Z10"),0),4),1,""),""),IFERROR(SUBSTITUTE(ADDRESS(1,MATCH(A410,INDIRECT("'"&amp;E410&amp;"'"&amp;"!A10:Z10"),0),4),1,""),""))</f>
        <v>N</v>
      </c>
      <c r="D410" s="859" t="s">
        <v>1374</v>
      </c>
      <c r="E410" s="859" t="s">
        <v>1291</v>
      </c>
      <c r="F410" s="1409"/>
      <c r="G410" s="1409"/>
      <c r="H410" s="1409"/>
      <c r="I410" s="857" t="str">
        <f t="shared" si="47"/>
        <v/>
      </c>
      <c r="J410" s="1409"/>
      <c r="K410" s="1409" t="str">
        <f t="shared" si="48"/>
        <v/>
      </c>
      <c r="L410" s="898" t="s">
        <v>1301</v>
      </c>
      <c r="M410" s="1409">
        <v>379</v>
      </c>
      <c r="N410" s="1409"/>
      <c r="O410" s="1408"/>
      <c r="P410" s="1408"/>
      <c r="Q410" s="1408"/>
      <c r="R410" s="1408"/>
      <c r="S410" s="1408"/>
      <c r="T410" s="1408"/>
      <c r="U410" s="1408"/>
      <c r="V410" s="1408"/>
      <c r="W410" s="1408"/>
      <c r="X410" s="1408"/>
      <c r="Y410" s="1408"/>
      <c r="Z410" s="1408"/>
      <c r="AA410" s="1408"/>
    </row>
    <row r="411" spans="1:27" x14ac:dyDescent="0.25">
      <c r="A411" s="929" t="s">
        <v>1292</v>
      </c>
      <c r="B411" s="857" t="str">
        <f ca="1">IF('Pricing Schedule'!$K$5="No",_xlfn.CONCAT(IFERROR(SUBSTITUTE(ADDRESS(1,MATCH(A411,INDIRECT("'"&amp;E411&amp;"'"&amp;"!A10:Z10"),0),4),1,""),""),22),_xlfn.CONCAT(IFERROR(SUBSTITUTE(ADDRESS(1,MATCH(A411,INDIRECT("'"&amp;E411&amp;"'"&amp;"!A10:Z10"),0),4),1,""),""),56))</f>
        <v>C22</v>
      </c>
      <c r="C411" s="857" t="str">
        <f ca="1">IF('Pricing Schedule'!$K$5="No",IFERROR(SUBSTITUTE(ADDRESS(1,MATCH(A411,INDIRECT("'"&amp;E411&amp;"'"&amp;"!A10:Z10"),0),4),1,""),""),IFERROR(SUBSTITUTE(ADDRESS(1,MATCH(A411,INDIRECT("'"&amp;E411&amp;"'"&amp;"!A10:Z10"),0),4),1,""),""))</f>
        <v>C</v>
      </c>
      <c r="D411" s="859" t="s">
        <v>1374</v>
      </c>
      <c r="E411" s="859" t="s">
        <v>1291</v>
      </c>
      <c r="F411" s="1409"/>
      <c r="G411" s="1409"/>
      <c r="H411" s="1409"/>
      <c r="I411" s="857" t="str">
        <f t="shared" si="47"/>
        <v/>
      </c>
      <c r="J411" s="1409"/>
      <c r="K411" s="1409" t="str">
        <f t="shared" si="48"/>
        <v/>
      </c>
      <c r="L411" s="898" t="s">
        <v>252</v>
      </c>
      <c r="M411" s="1409">
        <v>380</v>
      </c>
      <c r="N411" s="1409"/>
      <c r="O411" s="1408"/>
      <c r="P411" s="1408"/>
      <c r="Q411" s="1408"/>
      <c r="R411" s="1408"/>
      <c r="S411" s="1408"/>
      <c r="T411" s="1408"/>
      <c r="U411" s="1408"/>
      <c r="V411" s="1408"/>
      <c r="W411" s="1408"/>
      <c r="X411" s="1408"/>
      <c r="Y411" s="1408"/>
      <c r="Z411" s="1408"/>
      <c r="AA411" s="1408"/>
    </row>
    <row r="412" spans="1:27" x14ac:dyDescent="0.25">
      <c r="A412" s="929" t="s">
        <v>1257</v>
      </c>
      <c r="B412" s="857" t="str">
        <f ca="1">IF('Pricing Schedule'!$K$5="No",_xlfn.CONCAT(IFERROR(SUBSTITUTE(ADDRESS(1,MATCH(A412,INDIRECT("'"&amp;E412&amp;"'"&amp;"!A10:Z10"),0),4),1,""),""),22),_xlfn.CONCAT(IFERROR(SUBSTITUTE(ADDRESS(1,MATCH(A412,INDIRECT("'"&amp;E412&amp;"'"&amp;"!A10:Z10"),0),4),1,""),""),56))</f>
        <v>H22</v>
      </c>
      <c r="C412" s="857" t="str">
        <f ca="1">IF('Pricing Schedule'!$K$5="No",IFERROR(SUBSTITUTE(ADDRESS(1,MATCH(A412,INDIRECT("'"&amp;E412&amp;"'"&amp;"!A10:Z10"),0),4),1,""),""),IFERROR(SUBSTITUTE(ADDRESS(1,MATCH(A412,INDIRECT("'"&amp;E412&amp;"'"&amp;"!A10:Z10"),0),4),1,""),""))</f>
        <v>H</v>
      </c>
      <c r="D412" s="859" t="s">
        <v>1374</v>
      </c>
      <c r="E412" s="859" t="s">
        <v>1291</v>
      </c>
      <c r="F412" s="1409"/>
      <c r="G412" s="1409"/>
      <c r="H412" s="1409"/>
      <c r="I412" s="857" t="str">
        <f t="shared" si="47"/>
        <v/>
      </c>
      <c r="J412" s="1409"/>
      <c r="K412" s="1409" t="str">
        <f t="shared" si="48"/>
        <v/>
      </c>
      <c r="L412" s="898" t="s">
        <v>1257</v>
      </c>
      <c r="M412" s="1409">
        <v>381</v>
      </c>
      <c r="N412" s="1409"/>
      <c r="O412" s="1408"/>
      <c r="P412" s="1408"/>
      <c r="Q412" s="1408"/>
      <c r="R412" s="1408"/>
      <c r="S412" s="1408"/>
      <c r="T412" s="1408"/>
      <c r="U412" s="1408"/>
      <c r="V412" s="1408"/>
      <c r="W412" s="1408"/>
      <c r="X412" s="1408"/>
      <c r="Y412" s="1408"/>
      <c r="Z412" s="1408"/>
      <c r="AA412" s="1408"/>
    </row>
    <row r="413" spans="1:27" x14ac:dyDescent="0.25">
      <c r="A413" s="929" t="s">
        <v>1295</v>
      </c>
      <c r="B413" s="857" t="str">
        <f ca="1">IF('Pricing Schedule'!$K$5="No",_xlfn.CONCAT(IFERROR(SUBSTITUTE(ADDRESS(1,MATCH(A413,INDIRECT("'"&amp;E413&amp;"'"&amp;"!A10:Z10"),0),4),1,""),""),22),_xlfn.CONCAT(IFERROR(SUBSTITUTE(ADDRESS(1,MATCH(A413,INDIRECT("'"&amp;E413&amp;"'"&amp;"!A10:Z10"),0),4),1,""),""),56))</f>
        <v>F22</v>
      </c>
      <c r="C413" s="857" t="str">
        <f ca="1">IF('Pricing Schedule'!$K$5="No",IFERROR(SUBSTITUTE(ADDRESS(1,MATCH(A413,INDIRECT("'"&amp;E413&amp;"'"&amp;"!A10:Z10"),0),4),1,""),""),IFERROR(SUBSTITUTE(ADDRESS(1,MATCH(A413,INDIRECT("'"&amp;E413&amp;"'"&amp;"!A10:Z10"),0),4),1,""),""))</f>
        <v>F</v>
      </c>
      <c r="D413" s="859" t="s">
        <v>1374</v>
      </c>
      <c r="E413" s="859" t="s">
        <v>1291</v>
      </c>
      <c r="F413" s="1409"/>
      <c r="G413" s="1409"/>
      <c r="H413" s="1409"/>
      <c r="I413" s="857" t="str">
        <f t="shared" si="47"/>
        <v/>
      </c>
      <c r="J413" s="1409"/>
      <c r="K413" s="1409" t="str">
        <f t="shared" si="48"/>
        <v/>
      </c>
      <c r="L413" s="898" t="s">
        <v>225</v>
      </c>
      <c r="M413" s="1409">
        <v>382</v>
      </c>
      <c r="N413" s="1409"/>
      <c r="O413" s="1408"/>
      <c r="P413" s="1408"/>
      <c r="Q413" s="1408"/>
      <c r="R413" s="1408"/>
      <c r="S413" s="1408"/>
      <c r="T413" s="1408"/>
      <c r="U413" s="1408"/>
      <c r="V413" s="1408"/>
      <c r="W413" s="1408"/>
      <c r="X413" s="1408"/>
      <c r="Y413" s="1408"/>
      <c r="Z413" s="1408"/>
      <c r="AA413" s="1408"/>
    </row>
    <row r="414" spans="1:27" x14ac:dyDescent="0.25">
      <c r="A414" s="930" t="s">
        <v>463</v>
      </c>
      <c r="B414" s="857" t="str">
        <f ca="1">_xlfn.CONCAT(IFERROR(SUBSTITUTE(ADDRESS(1,MATCH(A414,INDIRECT("'"&amp;E414&amp;"'"&amp;"!A9:Z9"),0),4),1,""),""),21)</f>
        <v>E21</v>
      </c>
      <c r="C414" s="857" t="str">
        <f ca="1">_xlfn.CONCAT(IFERROR(SUBSTITUTE(ADDRESS(1,MATCH(A414,INDIRECT("'"&amp;E414&amp;"'"&amp;"!A9:Z9"),0),4),1,""),""))</f>
        <v>E</v>
      </c>
      <c r="D414" s="1174" t="s">
        <v>1374</v>
      </c>
      <c r="E414" s="859" t="s">
        <v>208</v>
      </c>
      <c r="F414" s="1409"/>
      <c r="G414" s="1409"/>
      <c r="H414" s="1409"/>
      <c r="I414" s="857" t="str">
        <f t="shared" si="47"/>
        <v>Exclude PIM Classes Below</v>
      </c>
      <c r="J414" s="1409" t="str">
        <f t="shared" si="49"/>
        <v>F383</v>
      </c>
      <c r="K414" s="1409" t="str">
        <f t="shared" si="48"/>
        <v>PIM Model</v>
      </c>
      <c r="L414" s="898" t="s">
        <v>463</v>
      </c>
      <c r="M414" s="1409">
        <v>383</v>
      </c>
      <c r="N414" s="1409"/>
      <c r="O414" s="1408"/>
      <c r="P414" s="1408"/>
      <c r="Q414" s="1408"/>
      <c r="R414" s="1408"/>
      <c r="S414" s="1408"/>
      <c r="T414" s="1408"/>
      <c r="U414" s="1408"/>
      <c r="V414" s="1408"/>
      <c r="W414" s="1408"/>
      <c r="X414" s="1408"/>
      <c r="Y414" s="1408"/>
      <c r="Z414" s="1408"/>
      <c r="AA414" s="1408"/>
    </row>
    <row r="415" spans="1:27" x14ac:dyDescent="0.25">
      <c r="A415" s="930" t="s">
        <v>1294</v>
      </c>
      <c r="B415" s="857" t="str">
        <f ca="1">IF('Pricing Schedule'!$K$5="No",_xlfn.CONCAT(IFERROR(SUBSTITUTE(ADDRESS(1,MATCH(A415,INDIRECT("'"&amp;E415&amp;"'"&amp;"!A10:Z10"),0),4),1,""),""),22),_xlfn.CONCAT(IFERROR(SUBSTITUTE(ADDRESS(1,MATCH(A415,INDIRECT("'"&amp;E415&amp;"'"&amp;"!A10:Z10"),0),4),1,""),""),56))</f>
        <v>E22</v>
      </c>
      <c r="C415" s="857" t="str">
        <f ca="1">IF('Pricing Schedule'!$K$5="No",IFERROR(SUBSTITUTE(ADDRESS(1,MATCH(A415,INDIRECT("'"&amp;E415&amp;"'"&amp;"!A10:Z10"),0),4),1,""),""),IFERROR(SUBSTITUTE(ADDRESS(1,MATCH(A415,INDIRECT("'"&amp;E415&amp;"'"&amp;"!A10:Z10"),0),4),1,""),""))</f>
        <v>E</v>
      </c>
      <c r="D415" s="859" t="s">
        <v>1374</v>
      </c>
      <c r="E415" s="859" t="s">
        <v>1291</v>
      </c>
      <c r="F415" s="1409"/>
      <c r="G415" s="1409"/>
      <c r="H415" s="1409"/>
      <c r="I415" s="857" t="str">
        <f t="shared" si="47"/>
        <v>Special Pricing Code</v>
      </c>
      <c r="J415" s="1409" t="str">
        <f t="shared" si="49"/>
        <v>F384</v>
      </c>
      <c r="K415" s="1409" t="str">
        <f t="shared" si="48"/>
        <v>Pricing Schedule</v>
      </c>
      <c r="L415" s="898" t="s">
        <v>1294</v>
      </c>
      <c r="M415" s="1409">
        <v>384</v>
      </c>
      <c r="N415" s="1409"/>
      <c r="O415" s="1408"/>
      <c r="P415" s="1408"/>
      <c r="Q415" s="1408"/>
      <c r="R415" s="1408"/>
      <c r="S415" s="1408"/>
      <c r="T415" s="1408"/>
      <c r="U415" s="1408"/>
      <c r="V415" s="1408"/>
      <c r="W415" s="1408"/>
      <c r="X415" s="1408"/>
      <c r="Y415" s="1408"/>
      <c r="Z415" s="1408"/>
      <c r="AA415" s="1408"/>
    </row>
    <row r="416" spans="1:27" x14ac:dyDescent="0.25">
      <c r="A416" s="930" t="s">
        <v>1296</v>
      </c>
      <c r="B416" s="857" t="str">
        <f ca="1">IF('Pricing Schedule'!$K$5="No",_xlfn.CONCAT(IFERROR(SUBSTITUTE(ADDRESS(1,MATCH(A416,INDIRECT("'"&amp;E416&amp;"'"&amp;"!A10:Z10"),0),4),1,""),""),22),_xlfn.CONCAT(IFERROR(SUBSTITUTE(ADDRESS(1,MATCH(A416,INDIRECT("'"&amp;E416&amp;"'"&amp;"!A10:Z10"),0),4),1,""),""),56))</f>
        <v>G22</v>
      </c>
      <c r="C416" s="857" t="str">
        <f ca="1">IF('Pricing Schedule'!$K$5="No",IFERROR(SUBSTITUTE(ADDRESS(1,MATCH(A416,INDIRECT("'"&amp;E416&amp;"'"&amp;"!A10:Z10"),0),4),1,""),""),IFERROR(SUBSTITUTE(ADDRESS(1,MATCH(A416,INDIRECT("'"&amp;E416&amp;"'"&amp;"!A10:Z10"),0),4),1,""),""))</f>
        <v>G</v>
      </c>
      <c r="D416" s="859" t="s">
        <v>1374</v>
      </c>
      <c r="E416" s="859" t="s">
        <v>1291</v>
      </c>
      <c r="F416" s="1422"/>
      <c r="G416" s="1409"/>
      <c r="H416" s="1409"/>
      <c r="I416" s="857" t="str">
        <f t="shared" si="47"/>
        <v>EB Markup Amt</v>
      </c>
      <c r="J416" s="1409" t="str">
        <f t="shared" si="49"/>
        <v>F385</v>
      </c>
      <c r="K416" s="1409" t="str">
        <f t="shared" si="48"/>
        <v>Pricing Schedule</v>
      </c>
      <c r="L416" s="898" t="s">
        <v>1296</v>
      </c>
      <c r="M416" s="1409">
        <v>385</v>
      </c>
      <c r="N416" s="1409"/>
      <c r="O416" s="1408"/>
      <c r="P416" s="1408"/>
      <c r="Q416" s="1408"/>
      <c r="R416" s="1408"/>
      <c r="S416" s="1408"/>
      <c r="T416" s="1408"/>
      <c r="U416" s="1408"/>
      <c r="V416" s="1408"/>
      <c r="W416" s="1408"/>
      <c r="X416" s="1408"/>
      <c r="Y416" s="1408"/>
      <c r="Z416" s="1408"/>
      <c r="AA416" s="1408"/>
    </row>
    <row r="417" spans="1:27" x14ac:dyDescent="0.25">
      <c r="A417" s="930" t="s">
        <v>1297</v>
      </c>
      <c r="B417" s="857" t="str">
        <f ca="1">IF('Pricing Schedule'!$K$5="No",_xlfn.CONCAT(IFERROR(SUBSTITUTE(ADDRESS(1,MATCH(A417,INDIRECT("'"&amp;E417&amp;"'"&amp;"!A10:Z10"),0),4),1,""),""),22),_xlfn.CONCAT(IFERROR(SUBSTITUTE(ADDRESS(1,MATCH(A417,INDIRECT("'"&amp;E417&amp;"'"&amp;"!A10:Z10"),0),4),1,""),""),56))</f>
        <v>I22</v>
      </c>
      <c r="C417" s="857" t="str">
        <f ca="1">IF('Pricing Schedule'!$K$5="No",IFERROR(SUBSTITUTE(ADDRESS(1,MATCH(A417,INDIRECT("'"&amp;E417&amp;"'"&amp;"!A10:Z10"),0),4),1,""),""),IFERROR(SUBSTITUTE(ADDRESS(1,MATCH(A417,INDIRECT("'"&amp;E417&amp;"'"&amp;"!A10:Z10"),0),4),1,""),""))</f>
        <v>I</v>
      </c>
      <c r="D417" s="859" t="s">
        <v>1374</v>
      </c>
      <c r="E417" s="859" t="s">
        <v>1291</v>
      </c>
      <c r="F417" s="1422"/>
      <c r="G417" s="1409"/>
      <c r="H417" s="1409"/>
      <c r="I417" s="857" t="str">
        <f t="shared" si="47"/>
        <v>Min CS Markup Override Flag</v>
      </c>
      <c r="J417" s="1409" t="str">
        <f t="shared" si="49"/>
        <v>F386</v>
      </c>
      <c r="K417" s="1409" t="str">
        <f t="shared" si="48"/>
        <v>Pricing Schedule</v>
      </c>
      <c r="L417" s="898" t="s">
        <v>1297</v>
      </c>
      <c r="M417" s="1409">
        <v>386</v>
      </c>
      <c r="N417" s="1409"/>
      <c r="O417" s="1408"/>
      <c r="P417" s="1408"/>
      <c r="Q417" s="1408"/>
      <c r="R417" s="1408"/>
      <c r="S417" s="1408"/>
      <c r="T417" s="1408"/>
      <c r="U417" s="1408"/>
      <c r="V417" s="1408"/>
      <c r="W417" s="1408"/>
      <c r="X417" s="1408"/>
      <c r="Y417" s="1408"/>
      <c r="Z417" s="1408"/>
      <c r="AA417" s="1408"/>
    </row>
    <row r="418" spans="1:27" x14ac:dyDescent="0.25">
      <c r="A418" s="930" t="s">
        <v>1298</v>
      </c>
      <c r="B418" s="857" t="str">
        <f ca="1">IF('Pricing Schedule'!$K$5="No",_xlfn.CONCAT(IFERROR(SUBSTITUTE(ADDRESS(1,MATCH(A418,INDIRECT("'"&amp;E418&amp;"'"&amp;"!A10:Z10"),0),4),1,""),""),22),_xlfn.CONCAT(IFERROR(SUBSTITUTE(ADDRESS(1,MATCH(A418,INDIRECT("'"&amp;E418&amp;"'"&amp;"!A10:Z10"),0),4),1,""),""),56))</f>
        <v>J22</v>
      </c>
      <c r="C418" s="857" t="str">
        <f ca="1">IF('Pricing Schedule'!$K$5="No",IFERROR(SUBSTITUTE(ADDRESS(1,MATCH(A418,INDIRECT("'"&amp;E418&amp;"'"&amp;"!A10:Z10"),0),4),1,""),""),IFERROR(SUBSTITUTE(ADDRESS(1,MATCH(A418,INDIRECT("'"&amp;E418&amp;"'"&amp;"!A10:Z10"),0),4),1,""),""))</f>
        <v>J</v>
      </c>
      <c r="D418" s="859" t="s">
        <v>1374</v>
      </c>
      <c r="E418" s="859" t="s">
        <v>1291</v>
      </c>
      <c r="F418" s="1422"/>
      <c r="G418" s="1409"/>
      <c r="H418" s="1409"/>
      <c r="I418" s="857" t="str">
        <f t="shared" si="47"/>
        <v>Min CS Markup Amt</v>
      </c>
      <c r="J418" s="1409" t="str">
        <f t="shared" si="49"/>
        <v>F387</v>
      </c>
      <c r="K418" s="1409" t="str">
        <f t="shared" si="48"/>
        <v>Pricing Schedule</v>
      </c>
      <c r="L418" s="898" t="s">
        <v>1298</v>
      </c>
      <c r="M418" s="1409">
        <v>387</v>
      </c>
      <c r="N418" s="1409"/>
      <c r="O418" s="1408"/>
      <c r="P418" s="1408"/>
      <c r="Q418" s="1408"/>
      <c r="R418" s="1408"/>
      <c r="S418" s="1408"/>
      <c r="T418" s="1408"/>
      <c r="U418" s="1408"/>
      <c r="V418" s="1408"/>
      <c r="W418" s="1408"/>
      <c r="X418" s="1408"/>
      <c r="Y418" s="1408"/>
      <c r="Z418" s="1408"/>
      <c r="AA418" s="1408"/>
    </row>
    <row r="419" spans="1:27" x14ac:dyDescent="0.25">
      <c r="A419" s="930" t="s">
        <v>1299</v>
      </c>
      <c r="B419" s="857" t="str">
        <f ca="1">IF('Pricing Schedule'!$K$5="No",_xlfn.CONCAT(IFERROR(SUBSTITUTE(ADDRESS(1,MATCH(A419,INDIRECT("'"&amp;E419&amp;"'"&amp;"!A10:Z10"),0),4),1,""),""),22),_xlfn.CONCAT(IFERROR(SUBSTITUTE(ADDRESS(1,MATCH(A419,INDIRECT("'"&amp;E419&amp;"'"&amp;"!A10:Z10"),0),4),1,""),""),56))</f>
        <v>K22</v>
      </c>
      <c r="C419" s="857" t="str">
        <f ca="1">IF('Pricing Schedule'!$K$5="No",IFERROR(SUBSTITUTE(ADDRESS(1,MATCH(A419,INDIRECT("'"&amp;E419&amp;"'"&amp;"!A10:Z10"),0),4),1,""),""),IFERROR(SUBSTITUTE(ADDRESS(1,MATCH(A419,INDIRECT("'"&amp;E419&amp;"'"&amp;"!A10:Z10"),0),4),1,""),""))</f>
        <v>K</v>
      </c>
      <c r="D419" s="859" t="s">
        <v>1374</v>
      </c>
      <c r="E419" s="859" t="s">
        <v>1291</v>
      </c>
      <c r="F419" s="1422"/>
      <c r="G419" s="1409"/>
      <c r="H419" s="1409"/>
      <c r="I419" s="857" t="str">
        <f t="shared" si="47"/>
        <v>Split Case Fee Override Flag</v>
      </c>
      <c r="J419" s="1409" t="str">
        <f t="shared" si="49"/>
        <v>F388</v>
      </c>
      <c r="K419" s="1409" t="str">
        <f t="shared" si="48"/>
        <v>Pricing Schedule</v>
      </c>
      <c r="L419" s="898" t="s">
        <v>1299</v>
      </c>
      <c r="M419" s="1409">
        <v>388</v>
      </c>
      <c r="N419" s="1409"/>
      <c r="O419" s="1408"/>
      <c r="P419" s="1408"/>
      <c r="Q419" s="1408"/>
      <c r="R419" s="1408"/>
      <c r="S419" s="1408"/>
      <c r="T419" s="1408"/>
      <c r="U419" s="1408"/>
      <c r="V419" s="1408"/>
      <c r="W419" s="1408"/>
      <c r="X419" s="1408"/>
      <c r="Y419" s="1408"/>
      <c r="Z419" s="1408"/>
      <c r="AA419" s="1408"/>
    </row>
    <row r="420" spans="1:27" x14ac:dyDescent="0.25">
      <c r="A420" s="930" t="s">
        <v>1300</v>
      </c>
      <c r="B420" s="857" t="str">
        <f ca="1">IF('Pricing Schedule'!$K$5="No",_xlfn.CONCAT(IFERROR(SUBSTITUTE(ADDRESS(1,MATCH(A420,INDIRECT("'"&amp;E420&amp;"'"&amp;"!A10:Z10"),0),4),1,""),""),22),_xlfn.CONCAT(IFERROR(SUBSTITUTE(ADDRESS(1,MATCH(A420,INDIRECT("'"&amp;E420&amp;"'"&amp;"!A10:Z10"),0),4),1,""),""),56))</f>
        <v>L22</v>
      </c>
      <c r="C420" s="857" t="str">
        <f ca="1">IF('Pricing Schedule'!$K$5="No",IFERROR(SUBSTITUTE(ADDRESS(1,MATCH(A420,INDIRECT("'"&amp;E420&amp;"'"&amp;"!A10:Z10"),0),4),1,""),""),IFERROR(SUBSTITUTE(ADDRESS(1,MATCH(A420,INDIRECT("'"&amp;E420&amp;"'"&amp;"!A10:Z10"),0),4),1,""),""))</f>
        <v>L</v>
      </c>
      <c r="D420" s="859" t="s">
        <v>1374</v>
      </c>
      <c r="E420" s="859" t="s">
        <v>1291</v>
      </c>
      <c r="F420" s="1422"/>
      <c r="G420" s="1409"/>
      <c r="H420" s="1409"/>
      <c r="I420" s="857" t="str">
        <f t="shared" si="47"/>
        <v>Split Case Fee</v>
      </c>
      <c r="J420" s="1409" t="str">
        <f t="shared" si="49"/>
        <v>F389</v>
      </c>
      <c r="K420" s="1409" t="str">
        <f t="shared" si="48"/>
        <v>Pricing Schedule</v>
      </c>
      <c r="L420" s="898" t="s">
        <v>1300</v>
      </c>
      <c r="M420" s="1409">
        <v>389</v>
      </c>
      <c r="N420" s="1409"/>
      <c r="O420" s="1408"/>
      <c r="P420" s="1408"/>
      <c r="Q420" s="1408"/>
      <c r="R420" s="1408"/>
      <c r="S420" s="1408"/>
      <c r="T420" s="1408"/>
      <c r="U420" s="1408"/>
      <c r="V420" s="1408"/>
      <c r="W420" s="1408"/>
      <c r="X420" s="1408"/>
      <c r="Y420" s="1408"/>
      <c r="Z420" s="1408"/>
      <c r="AA420" s="1408"/>
    </row>
    <row r="421" spans="1:27" x14ac:dyDescent="0.25">
      <c r="A421" s="930" t="s">
        <v>1238</v>
      </c>
      <c r="B421" s="857" t="str">
        <f ca="1">IF('Pricing Schedule'!$K$5="No",_xlfn.CONCAT(IFERROR(SUBSTITUTE(ADDRESS(1,MATCH(A421,INDIRECT("'"&amp;E421&amp;"'"&amp;"!A10:Z10"),0),4),1,""),""),22),_xlfn.CONCAT(IFERROR(SUBSTITUTE(ADDRESS(1,MATCH(A421,INDIRECT("'"&amp;E421&amp;"'"&amp;"!A10:Z10"),0),4),1,""),""),56))</f>
        <v>M22</v>
      </c>
      <c r="C421" s="857" t="str">
        <f ca="1">IF('Pricing Schedule'!$K$5="No",IFERROR(SUBSTITUTE(ADDRESS(1,MATCH(A421,INDIRECT("'"&amp;E421&amp;"'"&amp;"!A10:Z10"),0),4),1,""),""),IFERROR(SUBSTITUTE(ADDRESS(1,MATCH(A421,INDIRECT("'"&amp;E421&amp;"'"&amp;"!A10:Z10"),0),4),1,""),""))</f>
        <v>M</v>
      </c>
      <c r="D421" s="859" t="s">
        <v>1374</v>
      </c>
      <c r="E421" s="859" t="s">
        <v>1291</v>
      </c>
      <c r="F421" s="1422"/>
      <c r="G421" s="1409"/>
      <c r="H421" s="1409"/>
      <c r="I421" s="857" t="str">
        <f t="shared" si="47"/>
        <v>Split Case Per</v>
      </c>
      <c r="J421" s="1409" t="str">
        <f t="shared" si="49"/>
        <v>F390</v>
      </c>
      <c r="K421" s="1409" t="str">
        <f t="shared" si="48"/>
        <v>Pricing Schedule</v>
      </c>
      <c r="L421" s="898" t="s">
        <v>1238</v>
      </c>
      <c r="M421" s="1409">
        <v>390</v>
      </c>
      <c r="N421" s="1409"/>
      <c r="O421" s="1408"/>
      <c r="P421" s="1408"/>
      <c r="Q421" s="1408"/>
      <c r="R421" s="1408"/>
      <c r="S421" s="1408"/>
      <c r="T421" s="1408"/>
      <c r="U421" s="1408"/>
      <c r="V421" s="1408"/>
      <c r="W421" s="1408"/>
      <c r="X421" s="1408"/>
      <c r="Y421" s="1408"/>
      <c r="Z421" s="1408"/>
      <c r="AA421" s="1408"/>
    </row>
    <row r="422" spans="1:27" x14ac:dyDescent="0.25">
      <c r="A422" s="925" t="s">
        <v>1301</v>
      </c>
      <c r="B422" s="857" t="str">
        <f ca="1">IF('Pricing Schedule'!$K$5="No",_xlfn.CONCAT(IFERROR(SUBSTITUTE(ADDRESS(1,MATCH(A422,INDIRECT("'"&amp;E422&amp;"'"&amp;"!A10:Z10"),0),4),1,""),""),30),_xlfn.CONCAT(IFERROR(SUBSTITUTE(ADDRESS(1,MATCH(A422,INDIRECT("'"&amp;E422&amp;"'"&amp;"!A10:Z10"),0),4),1,""),""),64))</f>
        <v>N30</v>
      </c>
      <c r="C422" s="857" t="str">
        <f ca="1">IF('Pricing Schedule'!$K$5="No",IFERROR(SUBSTITUTE(ADDRESS(1,MATCH(A422,INDIRECT("'"&amp;E422&amp;"'"&amp;"!A10:Z10"),0),4),1,""),""),IFERROR(SUBSTITUTE(ADDRESS(1,MATCH(A422,INDIRECT("'"&amp;E422&amp;"'"&amp;"!A10:Z10"),0),4),1,""),""))</f>
        <v>N</v>
      </c>
      <c r="D422" s="859" t="s">
        <v>1374</v>
      </c>
      <c r="E422" s="859" t="s">
        <v>1291</v>
      </c>
      <c r="F422" s="1409"/>
      <c r="G422" s="1409"/>
      <c r="H422" s="1409"/>
      <c r="I422" s="857" t="str">
        <f t="shared" si="47"/>
        <v/>
      </c>
      <c r="J422" s="1409"/>
      <c r="K422" s="1409" t="str">
        <f t="shared" si="48"/>
        <v/>
      </c>
      <c r="L422" s="898" t="s">
        <v>1301</v>
      </c>
      <c r="M422" s="1409">
        <v>391</v>
      </c>
      <c r="N422" s="1409"/>
      <c r="O422" s="1408"/>
      <c r="P422" s="1408"/>
      <c r="Q422" s="1408"/>
      <c r="R422" s="1408"/>
      <c r="S422" s="1408"/>
      <c r="T422" s="1408"/>
      <c r="U422" s="1408"/>
      <c r="V422" s="1408"/>
      <c r="W422" s="1408"/>
      <c r="X422" s="1408"/>
      <c r="Y422" s="1408"/>
      <c r="Z422" s="1408"/>
      <c r="AA422" s="1408"/>
    </row>
    <row r="423" spans="1:27" x14ac:dyDescent="0.25">
      <c r="A423" s="926" t="s">
        <v>1292</v>
      </c>
      <c r="B423" s="857" t="str">
        <f ca="1">IF('Pricing Schedule'!$K$5="No",_xlfn.CONCAT(IFERROR(SUBSTITUTE(ADDRESS(1,MATCH(A423,INDIRECT("'"&amp;E423&amp;"'"&amp;"!A10:Z10"),0),4),1,""),""),30),_xlfn.CONCAT(IFERROR(SUBSTITUTE(ADDRESS(1,MATCH(A423,INDIRECT("'"&amp;E423&amp;"'"&amp;"!A10:Z10"),0),4),1,""),""),64))</f>
        <v>C30</v>
      </c>
      <c r="C423" s="857" t="str">
        <f ca="1">IF('Pricing Schedule'!$K$5="No",IFERROR(SUBSTITUTE(ADDRESS(1,MATCH(A423,INDIRECT("'"&amp;E423&amp;"'"&amp;"!A10:Z10"),0),4),1,""),""),IFERROR(SUBSTITUTE(ADDRESS(1,MATCH(A423,INDIRECT("'"&amp;E423&amp;"'"&amp;"!A10:Z10"),0),4),1,""),""))</f>
        <v>C</v>
      </c>
      <c r="D423" s="859" t="s">
        <v>1374</v>
      </c>
      <c r="E423" s="859" t="s">
        <v>1291</v>
      </c>
      <c r="F423" s="1409"/>
      <c r="G423" s="1409"/>
      <c r="H423" s="1409"/>
      <c r="I423" s="857" t="str">
        <f t="shared" si="47"/>
        <v/>
      </c>
      <c r="J423" s="1409"/>
      <c r="K423" s="1409" t="str">
        <f t="shared" si="48"/>
        <v/>
      </c>
      <c r="L423" s="898" t="s">
        <v>252</v>
      </c>
      <c r="M423" s="1409">
        <v>392</v>
      </c>
      <c r="N423" s="1409"/>
      <c r="O423" s="1408"/>
      <c r="P423" s="1408"/>
      <c r="Q423" s="1408"/>
      <c r="R423" s="1408"/>
      <c r="S423" s="1408"/>
      <c r="T423" s="1408"/>
      <c r="U423" s="1408"/>
      <c r="V423" s="1408"/>
      <c r="W423" s="1408"/>
      <c r="X423" s="1408"/>
      <c r="Y423" s="1408"/>
      <c r="Z423" s="1408"/>
      <c r="AA423" s="1408"/>
    </row>
    <row r="424" spans="1:27" x14ac:dyDescent="0.25">
      <c r="A424" s="926" t="s">
        <v>1257</v>
      </c>
      <c r="B424" s="857" t="str">
        <f ca="1">IF('Pricing Schedule'!$K$5="No",_xlfn.CONCAT(IFERROR(SUBSTITUTE(ADDRESS(1,MATCH(A424,INDIRECT("'"&amp;E424&amp;"'"&amp;"!A10:Z10"),0),4),1,""),""),30),_xlfn.CONCAT(IFERROR(SUBSTITUTE(ADDRESS(1,MATCH(A424,INDIRECT("'"&amp;E424&amp;"'"&amp;"!A10:Z10"),0),4),1,""),""),64))</f>
        <v>H30</v>
      </c>
      <c r="C424" s="857" t="str">
        <f ca="1">IF('Pricing Schedule'!$K$5="No",IFERROR(SUBSTITUTE(ADDRESS(1,MATCH(A424,INDIRECT("'"&amp;E424&amp;"'"&amp;"!A10:Z10"),0),4),1,""),""),IFERROR(SUBSTITUTE(ADDRESS(1,MATCH(A424,INDIRECT("'"&amp;E424&amp;"'"&amp;"!A10:Z10"),0),4),1,""),""))</f>
        <v>H</v>
      </c>
      <c r="D424" s="859" t="s">
        <v>1374</v>
      </c>
      <c r="E424" s="859" t="s">
        <v>1291</v>
      </c>
      <c r="F424" s="1409"/>
      <c r="G424" s="1409"/>
      <c r="H424" s="1409"/>
      <c r="I424" s="857" t="str">
        <f t="shared" si="47"/>
        <v/>
      </c>
      <c r="J424" s="1409"/>
      <c r="K424" s="1409" t="str">
        <f t="shared" si="48"/>
        <v/>
      </c>
      <c r="L424" s="898" t="s">
        <v>1257</v>
      </c>
      <c r="M424" s="1409">
        <v>393</v>
      </c>
      <c r="N424" s="1409"/>
      <c r="O424" s="1408"/>
      <c r="P424" s="1408"/>
      <c r="Q424" s="1408"/>
      <c r="R424" s="1408"/>
      <c r="S424" s="1408"/>
      <c r="T424" s="1408"/>
      <c r="U424" s="1408"/>
      <c r="V424" s="1408"/>
      <c r="W424" s="1408"/>
      <c r="X424" s="1408"/>
      <c r="Y424" s="1408"/>
      <c r="Z424" s="1408"/>
      <c r="AA424" s="1408"/>
    </row>
    <row r="425" spans="1:27" x14ac:dyDescent="0.25">
      <c r="A425" s="926" t="s">
        <v>1295</v>
      </c>
      <c r="B425" s="857" t="str">
        <f ca="1">IF('Pricing Schedule'!$K$5="No",_xlfn.CONCAT(IFERROR(SUBSTITUTE(ADDRESS(1,MATCH(A425,INDIRECT("'"&amp;E425&amp;"'"&amp;"!A10:Z10"),0),4),1,""),""),30),_xlfn.CONCAT(IFERROR(SUBSTITUTE(ADDRESS(1,MATCH(A425,INDIRECT("'"&amp;E425&amp;"'"&amp;"!A10:Z10"),0),4),1,""),""),64))</f>
        <v>F30</v>
      </c>
      <c r="C425" s="857" t="str">
        <f ca="1">IF('Pricing Schedule'!$K$5="No",IFERROR(SUBSTITUTE(ADDRESS(1,MATCH(A425,INDIRECT("'"&amp;E425&amp;"'"&amp;"!A10:Z10"),0),4),1,""),""),IFERROR(SUBSTITUTE(ADDRESS(1,MATCH(A425,INDIRECT("'"&amp;E425&amp;"'"&amp;"!A10:Z10"),0),4),1,""),""))</f>
        <v>F</v>
      </c>
      <c r="D425" s="859" t="s">
        <v>1374</v>
      </c>
      <c r="E425" s="859" t="s">
        <v>1291</v>
      </c>
      <c r="F425" s="1409"/>
      <c r="G425" s="1409"/>
      <c r="H425" s="1409"/>
      <c r="I425" s="857" t="str">
        <f t="shared" si="47"/>
        <v/>
      </c>
      <c r="J425" s="1409"/>
      <c r="K425" s="1409" t="str">
        <f t="shared" si="48"/>
        <v/>
      </c>
      <c r="L425" s="898" t="s">
        <v>225</v>
      </c>
      <c r="M425" s="1409">
        <v>394</v>
      </c>
      <c r="N425" s="1409"/>
      <c r="O425" s="1408"/>
      <c r="P425" s="1408"/>
      <c r="Q425" s="1408"/>
      <c r="R425" s="1408"/>
      <c r="S425" s="1408"/>
      <c r="T425" s="1408"/>
      <c r="U425" s="1408"/>
      <c r="V425" s="1408"/>
      <c r="W425" s="1408"/>
      <c r="X425" s="1408"/>
      <c r="Y425" s="1408"/>
      <c r="Z425" s="1408"/>
      <c r="AA425" s="1408"/>
    </row>
    <row r="426" spans="1:27" x14ac:dyDescent="0.25">
      <c r="A426" s="927" t="s">
        <v>463</v>
      </c>
      <c r="B426" s="857" t="str">
        <f ca="1">_xlfn.CONCAT(IFERROR(SUBSTITUTE(ADDRESS(1,MATCH(A426,INDIRECT("'"&amp;E426&amp;"'"&amp;"!A9:Z9"),0),4),1,""),""),22)</f>
        <v>E22</v>
      </c>
      <c r="C426" s="857" t="str">
        <f ca="1">_xlfn.CONCAT(IFERROR(SUBSTITUTE(ADDRESS(1,MATCH(A426,INDIRECT("'"&amp;E426&amp;"'"&amp;"!A9:Z9"),0),4),1,""),""))</f>
        <v>E</v>
      </c>
      <c r="D426" s="1174" t="s">
        <v>1374</v>
      </c>
      <c r="E426" s="859" t="s">
        <v>208</v>
      </c>
      <c r="F426" s="1409"/>
      <c r="G426" s="1409"/>
      <c r="H426" s="1409"/>
      <c r="I426" s="857" t="str">
        <f t="shared" si="47"/>
        <v>Exclude PIM Classes Below</v>
      </c>
      <c r="J426" s="1409" t="str">
        <f t="shared" si="49"/>
        <v>F395</v>
      </c>
      <c r="K426" s="1409" t="str">
        <f t="shared" si="48"/>
        <v>PIM Model</v>
      </c>
      <c r="L426" s="898" t="s">
        <v>463</v>
      </c>
      <c r="M426" s="1409">
        <v>395</v>
      </c>
      <c r="N426" s="1409"/>
      <c r="O426" s="1408"/>
      <c r="P426" s="1408"/>
      <c r="Q426" s="1408"/>
      <c r="R426" s="1408"/>
      <c r="S426" s="1408"/>
      <c r="T426" s="1408"/>
      <c r="U426" s="1408"/>
      <c r="V426" s="1408"/>
      <c r="W426" s="1408"/>
      <c r="X426" s="1408"/>
      <c r="Y426" s="1408"/>
      <c r="Z426" s="1408"/>
      <c r="AA426" s="1408"/>
    </row>
    <row r="427" spans="1:27" x14ac:dyDescent="0.25">
      <c r="A427" s="927" t="s">
        <v>1294</v>
      </c>
      <c r="B427" s="857" t="str">
        <f ca="1">IF('Pricing Schedule'!$K$5="No",_xlfn.CONCAT(IFERROR(SUBSTITUTE(ADDRESS(1,MATCH(A427,INDIRECT("'"&amp;E427&amp;"'"&amp;"!A10:Z10"),0),4),1,""),""),30),_xlfn.CONCAT(IFERROR(SUBSTITUTE(ADDRESS(1,MATCH(A427,INDIRECT("'"&amp;E427&amp;"'"&amp;"!A10:Z10"),0),4),1,""),""),64))</f>
        <v>E30</v>
      </c>
      <c r="C427" s="857" t="str">
        <f ca="1">IF('Pricing Schedule'!$K$5="No",IFERROR(SUBSTITUTE(ADDRESS(1,MATCH(A427,INDIRECT("'"&amp;E427&amp;"'"&amp;"!A10:Z10"),0),4),1,""),""),IFERROR(SUBSTITUTE(ADDRESS(1,MATCH(A427,INDIRECT("'"&amp;E427&amp;"'"&amp;"!A10:Z10"),0),4),1,""),""))</f>
        <v>E</v>
      </c>
      <c r="D427" s="859" t="s">
        <v>1374</v>
      </c>
      <c r="E427" s="859" t="s">
        <v>1291</v>
      </c>
      <c r="F427" s="1409"/>
      <c r="G427" s="1409"/>
      <c r="H427" s="1409"/>
      <c r="I427" s="857" t="str">
        <f t="shared" si="47"/>
        <v>Special Pricing Code</v>
      </c>
      <c r="J427" s="1409" t="str">
        <f t="shared" si="49"/>
        <v>F396</v>
      </c>
      <c r="K427" s="1409" t="str">
        <f t="shared" si="48"/>
        <v>Pricing Schedule</v>
      </c>
      <c r="L427" s="898" t="s">
        <v>1294</v>
      </c>
      <c r="M427" s="1409">
        <v>396</v>
      </c>
      <c r="N427" s="1409"/>
      <c r="O427" s="1408"/>
      <c r="P427" s="1408"/>
      <c r="Q427" s="1408"/>
      <c r="R427" s="1408"/>
      <c r="S427" s="1408"/>
      <c r="T427" s="1408"/>
      <c r="U427" s="1408"/>
      <c r="V427" s="1408"/>
      <c r="W427" s="1408"/>
      <c r="X427" s="1408"/>
      <c r="Y427" s="1408"/>
      <c r="Z427" s="1408"/>
      <c r="AA427" s="1408"/>
    </row>
    <row r="428" spans="1:27" x14ac:dyDescent="0.25">
      <c r="A428" s="927" t="s">
        <v>1296</v>
      </c>
      <c r="B428" s="857" t="str">
        <f ca="1">IF('Pricing Schedule'!$K$5="No",_xlfn.CONCAT(IFERROR(SUBSTITUTE(ADDRESS(1,MATCH(A428,INDIRECT("'"&amp;E428&amp;"'"&amp;"!A10:Z10"),0),4),1,""),""),30),_xlfn.CONCAT(IFERROR(SUBSTITUTE(ADDRESS(1,MATCH(A428,INDIRECT("'"&amp;E428&amp;"'"&amp;"!A10:Z10"),0),4),1,""),""),64))</f>
        <v>G30</v>
      </c>
      <c r="C428" s="857" t="str">
        <f ca="1">IF('Pricing Schedule'!$K$5="No",IFERROR(SUBSTITUTE(ADDRESS(1,MATCH(A428,INDIRECT("'"&amp;E428&amp;"'"&amp;"!A10:Z10"),0),4),1,""),""),IFERROR(SUBSTITUTE(ADDRESS(1,MATCH(A428,INDIRECT("'"&amp;E428&amp;"'"&amp;"!A10:Z10"),0),4),1,""),""))</f>
        <v>G</v>
      </c>
      <c r="D428" s="859" t="s">
        <v>1374</v>
      </c>
      <c r="E428" s="859" t="s">
        <v>1291</v>
      </c>
      <c r="F428" s="1422"/>
      <c r="G428" s="1409"/>
      <c r="H428" s="1409"/>
      <c r="I428" s="857" t="str">
        <f t="shared" si="47"/>
        <v>EB Markup Amt</v>
      </c>
      <c r="J428" s="1409" t="str">
        <f t="shared" si="49"/>
        <v>F397</v>
      </c>
      <c r="K428" s="1409" t="str">
        <f t="shared" si="48"/>
        <v>Pricing Schedule</v>
      </c>
      <c r="L428" s="898" t="s">
        <v>1296</v>
      </c>
      <c r="M428" s="1409">
        <v>397</v>
      </c>
      <c r="N428" s="1409"/>
      <c r="O428" s="1408"/>
      <c r="P428" s="1408"/>
      <c r="Q428" s="1408"/>
      <c r="R428" s="1408"/>
      <c r="S428" s="1408"/>
      <c r="T428" s="1408"/>
      <c r="U428" s="1408"/>
      <c r="V428" s="1408"/>
      <c r="W428" s="1408"/>
      <c r="X428" s="1408"/>
      <c r="Y428" s="1408"/>
      <c r="Z428" s="1408"/>
      <c r="AA428" s="1408"/>
    </row>
    <row r="429" spans="1:27" x14ac:dyDescent="0.25">
      <c r="A429" s="927" t="s">
        <v>1297</v>
      </c>
      <c r="B429" s="857" t="str">
        <f ca="1">IF('Pricing Schedule'!$K$5="No",_xlfn.CONCAT(IFERROR(SUBSTITUTE(ADDRESS(1,MATCH(A429,INDIRECT("'"&amp;E429&amp;"'"&amp;"!A10:Z10"),0),4),1,""),""),30),_xlfn.CONCAT(IFERROR(SUBSTITUTE(ADDRESS(1,MATCH(A429,INDIRECT("'"&amp;E429&amp;"'"&amp;"!A10:Z10"),0),4),1,""),""),64))</f>
        <v>I30</v>
      </c>
      <c r="C429" s="857" t="str">
        <f ca="1">IF('Pricing Schedule'!$K$5="No",IFERROR(SUBSTITUTE(ADDRESS(1,MATCH(A429,INDIRECT("'"&amp;E429&amp;"'"&amp;"!A10:Z10"),0),4),1,""),""),IFERROR(SUBSTITUTE(ADDRESS(1,MATCH(A429,INDIRECT("'"&amp;E429&amp;"'"&amp;"!A10:Z10"),0),4),1,""),""))</f>
        <v>I</v>
      </c>
      <c r="D429" s="859" t="s">
        <v>1374</v>
      </c>
      <c r="E429" s="859" t="s">
        <v>1291</v>
      </c>
      <c r="F429" s="1422"/>
      <c r="G429" s="1409"/>
      <c r="H429" s="1409"/>
      <c r="I429" s="857" t="str">
        <f t="shared" si="47"/>
        <v>Min CS Markup Override Flag</v>
      </c>
      <c r="J429" s="1409" t="str">
        <f t="shared" si="49"/>
        <v>F398</v>
      </c>
      <c r="K429" s="1409" t="str">
        <f t="shared" si="48"/>
        <v>Pricing Schedule</v>
      </c>
      <c r="L429" s="898" t="s">
        <v>1297</v>
      </c>
      <c r="M429" s="1409">
        <v>398</v>
      </c>
      <c r="N429" s="1409"/>
      <c r="O429" s="1408"/>
      <c r="P429" s="1408"/>
      <c r="Q429" s="1408"/>
      <c r="R429" s="1408"/>
      <c r="S429" s="1408"/>
      <c r="T429" s="1408"/>
      <c r="U429" s="1408"/>
      <c r="V429" s="1408"/>
      <c r="W429" s="1408"/>
      <c r="X429" s="1408"/>
      <c r="Y429" s="1408"/>
      <c r="Z429" s="1408"/>
      <c r="AA429" s="1408"/>
    </row>
    <row r="430" spans="1:27" x14ac:dyDescent="0.25">
      <c r="A430" s="927" t="s">
        <v>1298</v>
      </c>
      <c r="B430" s="857" t="str">
        <f ca="1">IF('Pricing Schedule'!$K$5="No",_xlfn.CONCAT(IFERROR(SUBSTITUTE(ADDRESS(1,MATCH(A430,INDIRECT("'"&amp;E430&amp;"'"&amp;"!A10:Z10"),0),4),1,""),""),30),_xlfn.CONCAT(IFERROR(SUBSTITUTE(ADDRESS(1,MATCH(A430,INDIRECT("'"&amp;E430&amp;"'"&amp;"!A10:Z10"),0),4),1,""),""),64))</f>
        <v>J30</v>
      </c>
      <c r="C430" s="857" t="str">
        <f ca="1">IF('Pricing Schedule'!$K$5="No",IFERROR(SUBSTITUTE(ADDRESS(1,MATCH(A430,INDIRECT("'"&amp;E430&amp;"'"&amp;"!A10:Z10"),0),4),1,""),""),IFERROR(SUBSTITUTE(ADDRESS(1,MATCH(A430,INDIRECT("'"&amp;E430&amp;"'"&amp;"!A10:Z10"),0),4),1,""),""))</f>
        <v>J</v>
      </c>
      <c r="D430" s="859" t="s">
        <v>1374</v>
      </c>
      <c r="E430" s="859" t="s">
        <v>1291</v>
      </c>
      <c r="F430" s="1422"/>
      <c r="G430" s="1409"/>
      <c r="H430" s="1409"/>
      <c r="I430" s="857" t="str">
        <f t="shared" si="47"/>
        <v>Min CS Markup Amt</v>
      </c>
      <c r="J430" s="1409" t="str">
        <f t="shared" si="49"/>
        <v>F399</v>
      </c>
      <c r="K430" s="1409" t="str">
        <f t="shared" si="48"/>
        <v>Pricing Schedule</v>
      </c>
      <c r="L430" s="898" t="s">
        <v>1298</v>
      </c>
      <c r="M430" s="1409">
        <v>399</v>
      </c>
      <c r="N430" s="1409"/>
      <c r="O430" s="1408"/>
      <c r="P430" s="1408"/>
      <c r="Q430" s="1408"/>
      <c r="R430" s="1408"/>
      <c r="S430" s="1408"/>
      <c r="T430" s="1408"/>
      <c r="U430" s="1408"/>
      <c r="V430" s="1408"/>
      <c r="W430" s="1408"/>
      <c r="X430" s="1408"/>
      <c r="Y430" s="1408"/>
      <c r="Z430" s="1408"/>
      <c r="AA430" s="1408"/>
    </row>
    <row r="431" spans="1:27" x14ac:dyDescent="0.25">
      <c r="A431" s="927" t="s">
        <v>1299</v>
      </c>
      <c r="B431" s="857" t="str">
        <f ca="1">IF('Pricing Schedule'!$K$5="No",_xlfn.CONCAT(IFERROR(SUBSTITUTE(ADDRESS(1,MATCH(A431,INDIRECT("'"&amp;E431&amp;"'"&amp;"!A10:Z10"),0),4),1,""),""),30),_xlfn.CONCAT(IFERROR(SUBSTITUTE(ADDRESS(1,MATCH(A431,INDIRECT("'"&amp;E431&amp;"'"&amp;"!A10:Z10"),0),4),1,""),""),64))</f>
        <v>K30</v>
      </c>
      <c r="C431" s="857" t="str">
        <f ca="1">IF('Pricing Schedule'!$K$5="No",IFERROR(SUBSTITUTE(ADDRESS(1,MATCH(A431,INDIRECT("'"&amp;E431&amp;"'"&amp;"!A10:Z10"),0),4),1,""),""),IFERROR(SUBSTITUTE(ADDRESS(1,MATCH(A431,INDIRECT("'"&amp;E431&amp;"'"&amp;"!A10:Z10"),0),4),1,""),""))</f>
        <v>K</v>
      </c>
      <c r="D431" s="859" t="s">
        <v>1374</v>
      </c>
      <c r="E431" s="859" t="s">
        <v>1291</v>
      </c>
      <c r="F431" s="1422"/>
      <c r="G431" s="1409"/>
      <c r="H431" s="1409"/>
      <c r="I431" s="857" t="str">
        <f t="shared" si="47"/>
        <v>Split Case Fee Override Flag</v>
      </c>
      <c r="J431" s="1409" t="str">
        <f t="shared" si="49"/>
        <v>F400</v>
      </c>
      <c r="K431" s="1409" t="str">
        <f t="shared" si="48"/>
        <v>Pricing Schedule</v>
      </c>
      <c r="L431" s="898" t="s">
        <v>1299</v>
      </c>
      <c r="M431" s="1409">
        <v>400</v>
      </c>
      <c r="N431" s="1409"/>
      <c r="O431" s="1408"/>
      <c r="P431" s="1408"/>
      <c r="Q431" s="1408"/>
      <c r="R431" s="1408"/>
      <c r="S431" s="1408"/>
      <c r="T431" s="1408"/>
      <c r="U431" s="1408"/>
      <c r="V431" s="1408"/>
      <c r="W431" s="1408"/>
      <c r="X431" s="1408"/>
      <c r="Y431" s="1408"/>
      <c r="Z431" s="1408"/>
      <c r="AA431" s="1408"/>
    </row>
    <row r="432" spans="1:27" x14ac:dyDescent="0.25">
      <c r="A432" s="927" t="s">
        <v>1300</v>
      </c>
      <c r="B432" s="857" t="str">
        <f ca="1">IF('Pricing Schedule'!$K$5="No",_xlfn.CONCAT(IFERROR(SUBSTITUTE(ADDRESS(1,MATCH(A432,INDIRECT("'"&amp;E432&amp;"'"&amp;"!A10:Z10"),0),4),1,""),""),30),_xlfn.CONCAT(IFERROR(SUBSTITUTE(ADDRESS(1,MATCH(A432,INDIRECT("'"&amp;E432&amp;"'"&amp;"!A10:Z10"),0),4),1,""),""),64))</f>
        <v>L30</v>
      </c>
      <c r="C432" s="857" t="str">
        <f ca="1">IF('Pricing Schedule'!$K$5="No",IFERROR(SUBSTITUTE(ADDRESS(1,MATCH(A432,INDIRECT("'"&amp;E432&amp;"'"&amp;"!A10:Z10"),0),4),1,""),""),IFERROR(SUBSTITUTE(ADDRESS(1,MATCH(A432,INDIRECT("'"&amp;E432&amp;"'"&amp;"!A10:Z10"),0),4),1,""),""))</f>
        <v>L</v>
      </c>
      <c r="D432" s="859" t="s">
        <v>1374</v>
      </c>
      <c r="E432" s="859" t="s">
        <v>1291</v>
      </c>
      <c r="F432" s="1422"/>
      <c r="G432" s="1409"/>
      <c r="H432" s="1409"/>
      <c r="I432" s="857" t="str">
        <f t="shared" si="47"/>
        <v>Split Case Fee</v>
      </c>
      <c r="J432" s="1409" t="str">
        <f t="shared" si="49"/>
        <v>F401</v>
      </c>
      <c r="K432" s="1409" t="str">
        <f t="shared" si="48"/>
        <v>Pricing Schedule</v>
      </c>
      <c r="L432" s="898" t="s">
        <v>1300</v>
      </c>
      <c r="M432" s="1409">
        <v>401</v>
      </c>
      <c r="N432" s="1409"/>
      <c r="O432" s="1408"/>
      <c r="P432" s="1408"/>
      <c r="Q432" s="1408"/>
      <c r="R432" s="1408"/>
      <c r="S432" s="1408"/>
      <c r="T432" s="1408"/>
      <c r="U432" s="1408"/>
      <c r="V432" s="1408"/>
      <c r="W432" s="1408"/>
      <c r="X432" s="1408"/>
      <c r="Y432" s="1408"/>
      <c r="Z432" s="1408"/>
      <c r="AA432" s="1408"/>
    </row>
    <row r="433" spans="1:27" x14ac:dyDescent="0.25">
      <c r="A433" s="927" t="s">
        <v>1238</v>
      </c>
      <c r="B433" s="857" t="str">
        <f ca="1">IF('Pricing Schedule'!$K$5="No",_xlfn.CONCAT(IFERROR(SUBSTITUTE(ADDRESS(1,MATCH(A433,INDIRECT("'"&amp;E433&amp;"'"&amp;"!A10:Z10"),0),4),1,""),""),30),_xlfn.CONCAT(IFERROR(SUBSTITUTE(ADDRESS(1,MATCH(A433,INDIRECT("'"&amp;E433&amp;"'"&amp;"!A10:Z10"),0),4),1,""),""),64))</f>
        <v>M30</v>
      </c>
      <c r="C433" s="857" t="str">
        <f ca="1">IF('Pricing Schedule'!$K$5="No",IFERROR(SUBSTITUTE(ADDRESS(1,MATCH(A433,INDIRECT("'"&amp;E433&amp;"'"&amp;"!A10:Z10"),0),4),1,""),""),IFERROR(SUBSTITUTE(ADDRESS(1,MATCH(A433,INDIRECT("'"&amp;E433&amp;"'"&amp;"!A10:Z10"),0),4),1,""),""))</f>
        <v>M</v>
      </c>
      <c r="D433" s="859" t="s">
        <v>1374</v>
      </c>
      <c r="E433" s="859" t="s">
        <v>1291</v>
      </c>
      <c r="F433" s="1422"/>
      <c r="G433" s="1409"/>
      <c r="H433" s="1409"/>
      <c r="I433" s="857" t="str">
        <f t="shared" si="47"/>
        <v>Split Case Per</v>
      </c>
      <c r="J433" s="1409" t="str">
        <f t="shared" si="49"/>
        <v>F402</v>
      </c>
      <c r="K433" s="1409" t="str">
        <f t="shared" si="48"/>
        <v>Pricing Schedule</v>
      </c>
      <c r="L433" s="898" t="s">
        <v>1238</v>
      </c>
      <c r="M433" s="1409">
        <v>402</v>
      </c>
      <c r="N433" s="1409"/>
      <c r="O433" s="1408"/>
      <c r="P433" s="1408"/>
      <c r="Q433" s="1408"/>
      <c r="R433" s="1408"/>
      <c r="S433" s="1408"/>
      <c r="T433" s="1408"/>
      <c r="U433" s="1408"/>
      <c r="V433" s="1408"/>
      <c r="W433" s="1408"/>
      <c r="X433" s="1408"/>
      <c r="Y433" s="1408"/>
      <c r="Z433" s="1408"/>
      <c r="AA433" s="1408"/>
    </row>
    <row r="434" spans="1:27" x14ac:dyDescent="0.25">
      <c r="A434" s="928" t="s">
        <v>1301</v>
      </c>
      <c r="B434" s="857" t="str">
        <f ca="1">IF('Pricing Schedule'!$K$5="No",_xlfn.CONCAT(IFERROR(SUBSTITUTE(ADDRESS(1,MATCH(A434,INDIRECT("'"&amp;E434&amp;"'"&amp;"!A10:Z10"),0),4),1,""),""),23),_xlfn.CONCAT(IFERROR(SUBSTITUTE(ADDRESS(1,MATCH(A434,INDIRECT("'"&amp;E434&amp;"'"&amp;"!A10:Z10"),0),4),1,""),""),57))</f>
        <v>N23</v>
      </c>
      <c r="C434" s="857" t="str">
        <f ca="1">IF('Pricing Schedule'!$K$5="No",IFERROR(SUBSTITUTE(ADDRESS(1,MATCH(A434,INDIRECT("'"&amp;E434&amp;"'"&amp;"!A10:Z10"),0),4),1,""),""),IFERROR(SUBSTITUTE(ADDRESS(1,MATCH(A434,INDIRECT("'"&amp;E434&amp;"'"&amp;"!A10:Z10"),0),4),1,""),""))</f>
        <v>N</v>
      </c>
      <c r="D434" s="859" t="s">
        <v>1374</v>
      </c>
      <c r="E434" s="859" t="s">
        <v>1291</v>
      </c>
      <c r="F434" s="1409"/>
      <c r="G434" s="1409"/>
      <c r="H434" s="1409"/>
      <c r="I434" s="857" t="str">
        <f t="shared" si="47"/>
        <v/>
      </c>
      <c r="J434" s="1409"/>
      <c r="K434" s="1409" t="str">
        <f t="shared" si="48"/>
        <v/>
      </c>
      <c r="L434" s="898" t="s">
        <v>1301</v>
      </c>
      <c r="M434" s="1409">
        <v>403</v>
      </c>
      <c r="N434" s="1409"/>
      <c r="O434" s="1408"/>
      <c r="P434" s="1408"/>
      <c r="Q434" s="1408"/>
      <c r="R434" s="1408"/>
      <c r="S434" s="1408"/>
      <c r="T434" s="1408"/>
      <c r="U434" s="1408"/>
      <c r="V434" s="1408"/>
      <c r="W434" s="1408"/>
      <c r="X434" s="1408"/>
      <c r="Y434" s="1408"/>
      <c r="Z434" s="1408"/>
      <c r="AA434" s="1408"/>
    </row>
    <row r="435" spans="1:27" x14ac:dyDescent="0.25">
      <c r="A435" s="929" t="s">
        <v>1292</v>
      </c>
      <c r="B435" s="857" t="str">
        <f ca="1">IF('Pricing Schedule'!$K$5="No",_xlfn.CONCAT(IFERROR(SUBSTITUTE(ADDRESS(1,MATCH(A435,INDIRECT("'"&amp;E435&amp;"'"&amp;"!A10:Z10"),0),4),1,""),""),23),_xlfn.CONCAT(IFERROR(SUBSTITUTE(ADDRESS(1,MATCH(A435,INDIRECT("'"&amp;E435&amp;"'"&amp;"!A10:Z10"),0),4),1,""),""),57))</f>
        <v>C23</v>
      </c>
      <c r="C435" s="857" t="str">
        <f ca="1">IF('Pricing Schedule'!$K$5="No",IFERROR(SUBSTITUTE(ADDRESS(1,MATCH(A435,INDIRECT("'"&amp;E435&amp;"'"&amp;"!A10:Z10"),0),4),1,""),""),IFERROR(SUBSTITUTE(ADDRESS(1,MATCH(A435,INDIRECT("'"&amp;E435&amp;"'"&amp;"!A10:Z10"),0),4),1,""),""))</f>
        <v>C</v>
      </c>
      <c r="D435" s="859" t="s">
        <v>1374</v>
      </c>
      <c r="E435" s="859" t="s">
        <v>1291</v>
      </c>
      <c r="F435" s="1409"/>
      <c r="G435" s="1409"/>
      <c r="H435" s="1409"/>
      <c r="I435" s="857" t="str">
        <f t="shared" si="47"/>
        <v/>
      </c>
      <c r="J435" s="1409"/>
      <c r="K435" s="1409" t="str">
        <f t="shared" si="48"/>
        <v/>
      </c>
      <c r="L435" s="898" t="s">
        <v>252</v>
      </c>
      <c r="M435" s="1409">
        <v>404</v>
      </c>
      <c r="N435" s="1409"/>
      <c r="O435" s="1408"/>
      <c r="P435" s="1408"/>
      <c r="Q435" s="1408"/>
      <c r="R435" s="1408"/>
      <c r="S435" s="1408"/>
      <c r="T435" s="1408"/>
      <c r="U435" s="1408"/>
      <c r="V435" s="1408"/>
      <c r="W435" s="1408"/>
      <c r="X435" s="1408"/>
      <c r="Y435" s="1408"/>
      <c r="Z435" s="1408"/>
      <c r="AA435" s="1408"/>
    </row>
    <row r="436" spans="1:27" x14ac:dyDescent="0.25">
      <c r="A436" s="929" t="s">
        <v>1257</v>
      </c>
      <c r="B436" s="857" t="str">
        <f ca="1">IF('Pricing Schedule'!$K$5="No",_xlfn.CONCAT(IFERROR(SUBSTITUTE(ADDRESS(1,MATCH(A436,INDIRECT("'"&amp;E436&amp;"'"&amp;"!A10:Z10"),0),4),1,""),""),23),_xlfn.CONCAT(IFERROR(SUBSTITUTE(ADDRESS(1,MATCH(A436,INDIRECT("'"&amp;E436&amp;"'"&amp;"!A10:Z10"),0),4),1,""),""),57))</f>
        <v>H23</v>
      </c>
      <c r="C436" s="857" t="str">
        <f ca="1">IF('Pricing Schedule'!$K$5="No",IFERROR(SUBSTITUTE(ADDRESS(1,MATCH(A436,INDIRECT("'"&amp;E436&amp;"'"&amp;"!A10:Z10"),0),4),1,""),""),IFERROR(SUBSTITUTE(ADDRESS(1,MATCH(A436,INDIRECT("'"&amp;E436&amp;"'"&amp;"!A10:Z10"),0),4),1,""),""))</f>
        <v>H</v>
      </c>
      <c r="D436" s="859" t="s">
        <v>1374</v>
      </c>
      <c r="E436" s="859" t="s">
        <v>1291</v>
      </c>
      <c r="F436" s="1409"/>
      <c r="G436" s="1409"/>
      <c r="H436" s="1409"/>
      <c r="I436" s="857" t="str">
        <f t="shared" si="47"/>
        <v/>
      </c>
      <c r="J436" s="1409"/>
      <c r="K436" s="1409" t="str">
        <f t="shared" si="48"/>
        <v/>
      </c>
      <c r="L436" s="898" t="s">
        <v>1257</v>
      </c>
      <c r="M436" s="1409">
        <v>405</v>
      </c>
      <c r="N436" s="1409"/>
      <c r="O436" s="1408"/>
      <c r="P436" s="1408"/>
      <c r="Q436" s="1408"/>
      <c r="R436" s="1408"/>
      <c r="S436" s="1408"/>
      <c r="T436" s="1408"/>
      <c r="U436" s="1408"/>
      <c r="V436" s="1408"/>
      <c r="W436" s="1408"/>
      <c r="X436" s="1408"/>
      <c r="Y436" s="1408"/>
      <c r="Z436" s="1408"/>
      <c r="AA436" s="1408"/>
    </row>
    <row r="437" spans="1:27" x14ac:dyDescent="0.25">
      <c r="A437" s="929" t="s">
        <v>1295</v>
      </c>
      <c r="B437" s="857" t="str">
        <f ca="1">IF('Pricing Schedule'!$K$5="No",_xlfn.CONCAT(IFERROR(SUBSTITUTE(ADDRESS(1,MATCH(A437,INDIRECT("'"&amp;E437&amp;"'"&amp;"!A10:Z10"),0),4),1,""),""),23),_xlfn.CONCAT(IFERROR(SUBSTITUTE(ADDRESS(1,MATCH(A437,INDIRECT("'"&amp;E437&amp;"'"&amp;"!A10:Z10"),0),4),1,""),""),57))</f>
        <v>F23</v>
      </c>
      <c r="C437" s="857" t="str">
        <f ca="1">IF('Pricing Schedule'!$K$5="No",IFERROR(SUBSTITUTE(ADDRESS(1,MATCH(A437,INDIRECT("'"&amp;E437&amp;"'"&amp;"!A10:Z10"),0),4),1,""),""),IFERROR(SUBSTITUTE(ADDRESS(1,MATCH(A437,INDIRECT("'"&amp;E437&amp;"'"&amp;"!A10:Z10"),0),4),1,""),""))</f>
        <v>F</v>
      </c>
      <c r="D437" s="859" t="s">
        <v>1374</v>
      </c>
      <c r="E437" s="859" t="s">
        <v>1291</v>
      </c>
      <c r="F437" s="1409"/>
      <c r="G437" s="1409"/>
      <c r="H437" s="1409"/>
      <c r="I437" s="857" t="str">
        <f t="shared" si="47"/>
        <v/>
      </c>
      <c r="J437" s="1409"/>
      <c r="K437" s="1409" t="str">
        <f t="shared" si="48"/>
        <v/>
      </c>
      <c r="L437" s="898" t="s">
        <v>225</v>
      </c>
      <c r="M437" s="1409">
        <v>406</v>
      </c>
      <c r="N437" s="1409"/>
      <c r="O437" s="1408"/>
      <c r="P437" s="1408"/>
      <c r="Q437" s="1408"/>
      <c r="R437" s="1408"/>
      <c r="S437" s="1408"/>
      <c r="T437" s="1408"/>
      <c r="U437" s="1408"/>
      <c r="V437" s="1408"/>
      <c r="W437" s="1408"/>
      <c r="X437" s="1408"/>
      <c r="Y437" s="1408"/>
      <c r="Z437" s="1408"/>
      <c r="AA437" s="1408"/>
    </row>
    <row r="438" spans="1:27" x14ac:dyDescent="0.25">
      <c r="A438" s="930" t="s">
        <v>463</v>
      </c>
      <c r="B438" s="857" t="str">
        <f ca="1">_xlfn.CONCAT(IFERROR(SUBSTITUTE(ADDRESS(1,MATCH(A438,INDIRECT("'"&amp;E438&amp;"'"&amp;"!A9:Z9"),0),4),1,""),""),23)</f>
        <v>E23</v>
      </c>
      <c r="C438" s="857" t="str">
        <f ca="1">_xlfn.CONCAT(IFERROR(SUBSTITUTE(ADDRESS(1,MATCH(A438,INDIRECT("'"&amp;E438&amp;"'"&amp;"!A9:Z9"),0),4),1,""),""))</f>
        <v>E</v>
      </c>
      <c r="D438" s="1174" t="s">
        <v>1374</v>
      </c>
      <c r="E438" s="859" t="s">
        <v>208</v>
      </c>
      <c r="F438" s="1409"/>
      <c r="G438" s="1409"/>
      <c r="H438" s="1409"/>
      <c r="I438" s="857" t="str">
        <f t="shared" si="47"/>
        <v>Exclude PIM Classes Below</v>
      </c>
      <c r="J438" s="1409" t="str">
        <f t="shared" si="49"/>
        <v>F407</v>
      </c>
      <c r="K438" s="1409" t="str">
        <f t="shared" si="48"/>
        <v>PIM Model</v>
      </c>
      <c r="L438" s="898" t="s">
        <v>463</v>
      </c>
      <c r="M438" s="1409">
        <v>407</v>
      </c>
      <c r="N438" s="1409"/>
      <c r="O438" s="1408"/>
      <c r="P438" s="1408"/>
      <c r="Q438" s="1408"/>
      <c r="R438" s="1408"/>
      <c r="S438" s="1408"/>
      <c r="T438" s="1408"/>
      <c r="U438" s="1408"/>
      <c r="V438" s="1408"/>
      <c r="W438" s="1408"/>
      <c r="X438" s="1408"/>
      <c r="Y438" s="1408"/>
      <c r="Z438" s="1408"/>
      <c r="AA438" s="1408"/>
    </row>
    <row r="439" spans="1:27" x14ac:dyDescent="0.25">
      <c r="A439" s="930" t="s">
        <v>1294</v>
      </c>
      <c r="B439" s="857" t="str">
        <f ca="1">IF('Pricing Schedule'!$K$5="No",_xlfn.CONCAT(IFERROR(SUBSTITUTE(ADDRESS(1,MATCH(A439,INDIRECT("'"&amp;E439&amp;"'"&amp;"!A10:Z10"),0),4),1,""),""),23),_xlfn.CONCAT(IFERROR(SUBSTITUTE(ADDRESS(1,MATCH(A439,INDIRECT("'"&amp;E439&amp;"'"&amp;"!A10:Z10"),0),4),1,""),""),57))</f>
        <v>E23</v>
      </c>
      <c r="C439" s="857" t="str">
        <f ca="1">IF('Pricing Schedule'!$K$5="No",IFERROR(SUBSTITUTE(ADDRESS(1,MATCH(A439,INDIRECT("'"&amp;E439&amp;"'"&amp;"!A10:Z10"),0),4),1,""),""),IFERROR(SUBSTITUTE(ADDRESS(1,MATCH(A439,INDIRECT("'"&amp;E439&amp;"'"&amp;"!A10:Z10"),0),4),1,""),""))</f>
        <v>E</v>
      </c>
      <c r="D439" s="859" t="s">
        <v>1374</v>
      </c>
      <c r="E439" s="859" t="s">
        <v>1291</v>
      </c>
      <c r="F439" s="1409"/>
      <c r="G439" s="1409"/>
      <c r="H439" s="1409"/>
      <c r="I439" s="857" t="str">
        <f t="shared" si="47"/>
        <v>Special Pricing Code</v>
      </c>
      <c r="J439" s="1409" t="str">
        <f t="shared" si="49"/>
        <v>F408</v>
      </c>
      <c r="K439" s="1409" t="str">
        <f t="shared" si="48"/>
        <v>Pricing Schedule</v>
      </c>
      <c r="L439" s="898" t="s">
        <v>1294</v>
      </c>
      <c r="M439" s="1409">
        <v>408</v>
      </c>
      <c r="N439" s="1409"/>
      <c r="O439" s="1408"/>
      <c r="P439" s="1408"/>
      <c r="Q439" s="1408"/>
      <c r="R439" s="1408"/>
      <c r="S439" s="1408"/>
      <c r="T439" s="1408"/>
      <c r="U439" s="1408"/>
      <c r="V439" s="1408"/>
      <c r="W439" s="1408"/>
      <c r="X439" s="1408"/>
      <c r="Y439" s="1408"/>
      <c r="Z439" s="1408"/>
      <c r="AA439" s="1408"/>
    </row>
    <row r="440" spans="1:27" x14ac:dyDescent="0.25">
      <c r="A440" s="930" t="s">
        <v>1296</v>
      </c>
      <c r="B440" s="857" t="str">
        <f ca="1">IF('Pricing Schedule'!$K$5="No",_xlfn.CONCAT(IFERROR(SUBSTITUTE(ADDRESS(1,MATCH(A440,INDIRECT("'"&amp;E440&amp;"'"&amp;"!A10:Z10"),0),4),1,""),""),23),_xlfn.CONCAT(IFERROR(SUBSTITUTE(ADDRESS(1,MATCH(A440,INDIRECT("'"&amp;E440&amp;"'"&amp;"!A10:Z10"),0),4),1,""),""),57))</f>
        <v>G23</v>
      </c>
      <c r="C440" s="857" t="str">
        <f ca="1">IF('Pricing Schedule'!$K$5="No",IFERROR(SUBSTITUTE(ADDRESS(1,MATCH(A440,INDIRECT("'"&amp;E440&amp;"'"&amp;"!A10:Z10"),0),4),1,""),""),IFERROR(SUBSTITUTE(ADDRESS(1,MATCH(A440,INDIRECT("'"&amp;E440&amp;"'"&amp;"!A10:Z10"),0),4),1,""),""))</f>
        <v>G</v>
      </c>
      <c r="D440" s="859" t="s">
        <v>1374</v>
      </c>
      <c r="E440" s="859" t="s">
        <v>1291</v>
      </c>
      <c r="F440" s="1422"/>
      <c r="G440" s="1409"/>
      <c r="H440" s="1409"/>
      <c r="I440" s="857" t="str">
        <f t="shared" si="47"/>
        <v>EB Markup Amt</v>
      </c>
      <c r="J440" s="1409" t="str">
        <f t="shared" si="49"/>
        <v>F409</v>
      </c>
      <c r="K440" s="1409" t="str">
        <f t="shared" si="48"/>
        <v>Pricing Schedule</v>
      </c>
      <c r="L440" s="898" t="s">
        <v>1296</v>
      </c>
      <c r="M440" s="1409">
        <v>409</v>
      </c>
      <c r="N440" s="1409"/>
      <c r="O440" s="1408"/>
      <c r="P440" s="1408"/>
      <c r="Q440" s="1408"/>
      <c r="R440" s="1408"/>
      <c r="S440" s="1408"/>
      <c r="T440" s="1408"/>
      <c r="U440" s="1408"/>
      <c r="V440" s="1408"/>
      <c r="W440" s="1408"/>
      <c r="X440" s="1408"/>
      <c r="Y440" s="1408"/>
      <c r="Z440" s="1408"/>
      <c r="AA440" s="1408"/>
    </row>
    <row r="441" spans="1:27" x14ac:dyDescent="0.25">
      <c r="A441" s="930" t="s">
        <v>1297</v>
      </c>
      <c r="B441" s="857" t="str">
        <f ca="1">IF('Pricing Schedule'!$K$5="No",_xlfn.CONCAT(IFERROR(SUBSTITUTE(ADDRESS(1,MATCH(A441,INDIRECT("'"&amp;E441&amp;"'"&amp;"!A10:Z10"),0),4),1,""),""),23),_xlfn.CONCAT(IFERROR(SUBSTITUTE(ADDRESS(1,MATCH(A441,INDIRECT("'"&amp;E441&amp;"'"&amp;"!A10:Z10"),0),4),1,""),""),57))</f>
        <v>I23</v>
      </c>
      <c r="C441" s="857" t="str">
        <f ca="1">IF('Pricing Schedule'!$K$5="No",IFERROR(SUBSTITUTE(ADDRESS(1,MATCH(A441,INDIRECT("'"&amp;E441&amp;"'"&amp;"!A10:Z10"),0),4),1,""),""),IFERROR(SUBSTITUTE(ADDRESS(1,MATCH(A441,INDIRECT("'"&amp;E441&amp;"'"&amp;"!A10:Z10"),0),4),1,""),""))</f>
        <v>I</v>
      </c>
      <c r="D441" s="859" t="s">
        <v>1374</v>
      </c>
      <c r="E441" s="859" t="s">
        <v>1291</v>
      </c>
      <c r="F441" s="1422"/>
      <c r="G441" s="1409"/>
      <c r="H441" s="1409"/>
      <c r="I441" s="857" t="str">
        <f t="shared" si="47"/>
        <v>Min CS Markup Override Flag</v>
      </c>
      <c r="J441" s="1409" t="str">
        <f t="shared" si="49"/>
        <v>F410</v>
      </c>
      <c r="K441" s="1409" t="str">
        <f t="shared" si="48"/>
        <v>Pricing Schedule</v>
      </c>
      <c r="L441" s="898" t="s">
        <v>1297</v>
      </c>
      <c r="M441" s="1409">
        <v>410</v>
      </c>
      <c r="N441" s="1409"/>
      <c r="O441" s="1408"/>
      <c r="P441" s="1408"/>
      <c r="Q441" s="1408"/>
      <c r="R441" s="1408"/>
      <c r="S441" s="1408"/>
      <c r="T441" s="1408"/>
      <c r="U441" s="1408"/>
      <c r="V441" s="1408"/>
      <c r="W441" s="1408"/>
      <c r="X441" s="1408"/>
      <c r="Y441" s="1408"/>
      <c r="Z441" s="1408"/>
      <c r="AA441" s="1408"/>
    </row>
    <row r="442" spans="1:27" x14ac:dyDescent="0.25">
      <c r="A442" s="930" t="s">
        <v>1298</v>
      </c>
      <c r="B442" s="857" t="str">
        <f ca="1">IF('Pricing Schedule'!$K$5="No",_xlfn.CONCAT(IFERROR(SUBSTITUTE(ADDRESS(1,MATCH(A442,INDIRECT("'"&amp;E442&amp;"'"&amp;"!A10:Z10"),0),4),1,""),""),23),_xlfn.CONCAT(IFERROR(SUBSTITUTE(ADDRESS(1,MATCH(A442,INDIRECT("'"&amp;E442&amp;"'"&amp;"!A10:Z10"),0),4),1,""),""),57))</f>
        <v>J23</v>
      </c>
      <c r="C442" s="857" t="str">
        <f ca="1">IF('Pricing Schedule'!$K$5="No",IFERROR(SUBSTITUTE(ADDRESS(1,MATCH(A442,INDIRECT("'"&amp;E442&amp;"'"&amp;"!A10:Z10"),0),4),1,""),""),IFERROR(SUBSTITUTE(ADDRESS(1,MATCH(A442,INDIRECT("'"&amp;E442&amp;"'"&amp;"!A10:Z10"),0),4),1,""),""))</f>
        <v>J</v>
      </c>
      <c r="D442" s="859" t="s">
        <v>1374</v>
      </c>
      <c r="E442" s="859" t="s">
        <v>1291</v>
      </c>
      <c r="F442" s="1422"/>
      <c r="G442" s="1409"/>
      <c r="H442" s="1409"/>
      <c r="I442" s="857" t="str">
        <f t="shared" si="47"/>
        <v>Min CS Markup Amt</v>
      </c>
      <c r="J442" s="1409" t="str">
        <f t="shared" si="49"/>
        <v>F411</v>
      </c>
      <c r="K442" s="1409" t="str">
        <f t="shared" si="48"/>
        <v>Pricing Schedule</v>
      </c>
      <c r="L442" s="898" t="s">
        <v>1298</v>
      </c>
      <c r="M442" s="1409">
        <v>411</v>
      </c>
      <c r="N442" s="1409"/>
      <c r="O442" s="1408"/>
      <c r="P442" s="1408"/>
      <c r="Q442" s="1408"/>
      <c r="R442" s="1408"/>
      <c r="S442" s="1408"/>
      <c r="T442" s="1408"/>
      <c r="U442" s="1408"/>
      <c r="V442" s="1408"/>
      <c r="W442" s="1408"/>
      <c r="X442" s="1408"/>
      <c r="Y442" s="1408"/>
      <c r="Z442" s="1408"/>
      <c r="AA442" s="1408"/>
    </row>
    <row r="443" spans="1:27" x14ac:dyDescent="0.25">
      <c r="A443" s="930" t="s">
        <v>1299</v>
      </c>
      <c r="B443" s="857" t="str">
        <f ca="1">IF('Pricing Schedule'!$K$5="No",_xlfn.CONCAT(IFERROR(SUBSTITUTE(ADDRESS(1,MATCH(A443,INDIRECT("'"&amp;E443&amp;"'"&amp;"!A10:Z10"),0),4),1,""),""),23),_xlfn.CONCAT(IFERROR(SUBSTITUTE(ADDRESS(1,MATCH(A443,INDIRECT("'"&amp;E443&amp;"'"&amp;"!A10:Z10"),0),4),1,""),""),57))</f>
        <v>K23</v>
      </c>
      <c r="C443" s="857" t="str">
        <f ca="1">IF('Pricing Schedule'!$K$5="No",IFERROR(SUBSTITUTE(ADDRESS(1,MATCH(A443,INDIRECT("'"&amp;E443&amp;"'"&amp;"!A10:Z10"),0),4),1,""),""),IFERROR(SUBSTITUTE(ADDRESS(1,MATCH(A443,INDIRECT("'"&amp;E443&amp;"'"&amp;"!A10:Z10"),0),4),1,""),""))</f>
        <v>K</v>
      </c>
      <c r="D443" s="859" t="s">
        <v>1374</v>
      </c>
      <c r="E443" s="859" t="s">
        <v>1291</v>
      </c>
      <c r="F443" s="1422"/>
      <c r="G443" s="1409"/>
      <c r="H443" s="1409"/>
      <c r="I443" s="857" t="str">
        <f t="shared" si="47"/>
        <v>Split Case Fee Override Flag</v>
      </c>
      <c r="J443" s="1409" t="str">
        <f t="shared" si="49"/>
        <v>F412</v>
      </c>
      <c r="K443" s="1409" t="str">
        <f t="shared" si="48"/>
        <v>Pricing Schedule</v>
      </c>
      <c r="L443" s="898" t="s">
        <v>1299</v>
      </c>
      <c r="M443" s="1409">
        <v>412</v>
      </c>
      <c r="N443" s="1409"/>
      <c r="O443" s="1408"/>
      <c r="P443" s="1408"/>
      <c r="Q443" s="1408"/>
      <c r="R443" s="1408"/>
      <c r="S443" s="1408"/>
      <c r="T443" s="1408"/>
      <c r="U443" s="1408"/>
      <c r="V443" s="1408"/>
      <c r="W443" s="1408"/>
      <c r="X443" s="1408"/>
      <c r="Y443" s="1408"/>
      <c r="Z443" s="1408"/>
      <c r="AA443" s="1408"/>
    </row>
    <row r="444" spans="1:27" x14ac:dyDescent="0.25">
      <c r="A444" s="930" t="s">
        <v>1300</v>
      </c>
      <c r="B444" s="857" t="str">
        <f ca="1">IF('Pricing Schedule'!$K$5="No",_xlfn.CONCAT(IFERROR(SUBSTITUTE(ADDRESS(1,MATCH(A444,INDIRECT("'"&amp;E444&amp;"'"&amp;"!A10:Z10"),0),4),1,""),""),23),_xlfn.CONCAT(IFERROR(SUBSTITUTE(ADDRESS(1,MATCH(A444,INDIRECT("'"&amp;E444&amp;"'"&amp;"!A10:Z10"),0),4),1,""),""),57))</f>
        <v>L23</v>
      </c>
      <c r="C444" s="857" t="str">
        <f ca="1">IF('Pricing Schedule'!$K$5="No",IFERROR(SUBSTITUTE(ADDRESS(1,MATCH(A444,INDIRECT("'"&amp;E444&amp;"'"&amp;"!A10:Z10"),0),4),1,""),""),IFERROR(SUBSTITUTE(ADDRESS(1,MATCH(A444,INDIRECT("'"&amp;E444&amp;"'"&amp;"!A10:Z10"),0),4),1,""),""))</f>
        <v>L</v>
      </c>
      <c r="D444" s="859" t="s">
        <v>1374</v>
      </c>
      <c r="E444" s="859" t="s">
        <v>1291</v>
      </c>
      <c r="F444" s="1422"/>
      <c r="G444" s="1409"/>
      <c r="H444" s="1409"/>
      <c r="I444" s="857" t="str">
        <f t="shared" si="47"/>
        <v>Split Case Fee</v>
      </c>
      <c r="J444" s="1409" t="str">
        <f t="shared" si="49"/>
        <v>F413</v>
      </c>
      <c r="K444" s="1409" t="str">
        <f t="shared" si="48"/>
        <v>Pricing Schedule</v>
      </c>
      <c r="L444" s="898" t="s">
        <v>1300</v>
      </c>
      <c r="M444" s="1409">
        <v>413</v>
      </c>
      <c r="N444" s="1409"/>
      <c r="O444" s="1408"/>
      <c r="P444" s="1408"/>
      <c r="Q444" s="1408"/>
      <c r="R444" s="1408"/>
      <c r="S444" s="1408"/>
      <c r="T444" s="1408"/>
      <c r="U444" s="1408"/>
      <c r="V444" s="1408"/>
      <c r="W444" s="1408"/>
      <c r="X444" s="1408"/>
      <c r="Y444" s="1408"/>
      <c r="Z444" s="1408"/>
      <c r="AA444" s="1408"/>
    </row>
    <row r="445" spans="1:27" x14ac:dyDescent="0.25">
      <c r="A445" s="930" t="s">
        <v>1238</v>
      </c>
      <c r="B445" s="857" t="str">
        <f ca="1">IF('Pricing Schedule'!$K$5="No",_xlfn.CONCAT(IFERROR(SUBSTITUTE(ADDRESS(1,MATCH(A445,INDIRECT("'"&amp;E445&amp;"'"&amp;"!A10:Z10"),0),4),1,""),""),23),_xlfn.CONCAT(IFERROR(SUBSTITUTE(ADDRESS(1,MATCH(A445,INDIRECT("'"&amp;E445&amp;"'"&amp;"!A10:Z10"),0),4),1,""),""),57))</f>
        <v>M23</v>
      </c>
      <c r="C445" s="857" t="str">
        <f ca="1">IF('Pricing Schedule'!$K$5="No",IFERROR(SUBSTITUTE(ADDRESS(1,MATCH(A445,INDIRECT("'"&amp;E445&amp;"'"&amp;"!A10:Z10"),0),4),1,""),""),IFERROR(SUBSTITUTE(ADDRESS(1,MATCH(A445,INDIRECT("'"&amp;E445&amp;"'"&amp;"!A10:Z10"),0),4),1,""),""))</f>
        <v>M</v>
      </c>
      <c r="D445" s="859" t="s">
        <v>1374</v>
      </c>
      <c r="E445" s="859" t="s">
        <v>1291</v>
      </c>
      <c r="F445" s="1422"/>
      <c r="G445" s="1409"/>
      <c r="H445" s="1409"/>
      <c r="I445" s="857" t="str">
        <f t="shared" si="47"/>
        <v>Split Case Per</v>
      </c>
      <c r="J445" s="1409" t="str">
        <f t="shared" si="49"/>
        <v>F414</v>
      </c>
      <c r="K445" s="1409" t="str">
        <f t="shared" si="48"/>
        <v>Pricing Schedule</v>
      </c>
      <c r="L445" s="898" t="s">
        <v>1238</v>
      </c>
      <c r="M445" s="1409">
        <v>414</v>
      </c>
      <c r="N445" s="1409"/>
      <c r="O445" s="1408"/>
      <c r="P445" s="1408"/>
      <c r="Q445" s="1408"/>
      <c r="R445" s="1408"/>
      <c r="S445" s="1408"/>
      <c r="T445" s="1408"/>
      <c r="U445" s="1408"/>
      <c r="V445" s="1408"/>
      <c r="W445" s="1408"/>
      <c r="X445" s="1408"/>
      <c r="Y445" s="1408"/>
      <c r="Z445" s="1408"/>
      <c r="AA445" s="1408"/>
    </row>
    <row r="446" spans="1:27" x14ac:dyDescent="0.25">
      <c r="A446" s="925" t="s">
        <v>1301</v>
      </c>
      <c r="B446" s="857" t="str">
        <f ca="1">IF('Pricing Schedule'!$K$5="No",_xlfn.CONCAT(IFERROR(SUBSTITUTE(ADDRESS(1,MATCH(A446,INDIRECT("'"&amp;E446&amp;"'"&amp;"!A10:Z10"),0),4),1,""),""),24),_xlfn.CONCAT(IFERROR(SUBSTITUTE(ADDRESS(1,MATCH(A446,INDIRECT("'"&amp;E446&amp;"'"&amp;"!A10:Z10"),0),4),1,""),""),58))</f>
        <v>N24</v>
      </c>
      <c r="C446" s="857" t="str">
        <f ca="1">IF('Pricing Schedule'!$K$5="No",IFERROR(SUBSTITUTE(ADDRESS(1,MATCH(A446,INDIRECT("'"&amp;E446&amp;"'"&amp;"!A10:Z10"),0),4),1,""),""),IFERROR(SUBSTITUTE(ADDRESS(1,MATCH(A446,INDIRECT("'"&amp;E446&amp;"'"&amp;"!A10:Z10"),0),4),1,""),""))</f>
        <v>N</v>
      </c>
      <c r="D446" s="859" t="s">
        <v>1374</v>
      </c>
      <c r="E446" s="859" t="s">
        <v>1291</v>
      </c>
      <c r="F446" s="1409"/>
      <c r="G446" s="1409"/>
      <c r="H446" s="1409"/>
      <c r="I446" s="857" t="str">
        <f t="shared" si="47"/>
        <v/>
      </c>
      <c r="J446" s="1409"/>
      <c r="K446" s="1409" t="str">
        <f t="shared" si="48"/>
        <v/>
      </c>
      <c r="L446" s="898" t="s">
        <v>1301</v>
      </c>
      <c r="M446" s="1409">
        <v>415</v>
      </c>
      <c r="N446" s="1409"/>
      <c r="O446" s="1408"/>
      <c r="P446" s="1408"/>
      <c r="Q446" s="1408"/>
      <c r="R446" s="1408"/>
      <c r="S446" s="1408"/>
      <c r="T446" s="1408"/>
      <c r="U446" s="1408"/>
      <c r="V446" s="1408"/>
      <c r="W446" s="1408"/>
      <c r="X446" s="1408"/>
      <c r="Y446" s="1408"/>
      <c r="Z446" s="1408"/>
      <c r="AA446" s="1408"/>
    </row>
    <row r="447" spans="1:27" x14ac:dyDescent="0.25">
      <c r="A447" s="926" t="s">
        <v>1292</v>
      </c>
      <c r="B447" s="857" t="str">
        <f ca="1">IF('Pricing Schedule'!$K$5="No",_xlfn.CONCAT(IFERROR(SUBSTITUTE(ADDRESS(1,MATCH(A447,INDIRECT("'"&amp;E447&amp;"'"&amp;"!A10:Z10"),0),4),1,""),""),24),_xlfn.CONCAT(IFERROR(SUBSTITUTE(ADDRESS(1,MATCH(A447,INDIRECT("'"&amp;E447&amp;"'"&amp;"!A10:Z10"),0),4),1,""),""),58))</f>
        <v>C24</v>
      </c>
      <c r="C447" s="857" t="str">
        <f ca="1">IF('Pricing Schedule'!$K$5="No",IFERROR(SUBSTITUTE(ADDRESS(1,MATCH(A447,INDIRECT("'"&amp;E447&amp;"'"&amp;"!A10:Z10"),0),4),1,""),""),IFERROR(SUBSTITUTE(ADDRESS(1,MATCH(A447,INDIRECT("'"&amp;E447&amp;"'"&amp;"!A10:Z10"),0),4),1,""),""))</f>
        <v>C</v>
      </c>
      <c r="D447" s="859" t="s">
        <v>1374</v>
      </c>
      <c r="E447" s="859" t="s">
        <v>1291</v>
      </c>
      <c r="F447" s="1409"/>
      <c r="G447" s="1409"/>
      <c r="H447" s="1409"/>
      <c r="I447" s="857" t="str">
        <f t="shared" si="47"/>
        <v/>
      </c>
      <c r="J447" s="1409"/>
      <c r="K447" s="1409" t="str">
        <f t="shared" si="48"/>
        <v/>
      </c>
      <c r="L447" s="898" t="s">
        <v>252</v>
      </c>
      <c r="M447" s="52">
        <v>416</v>
      </c>
      <c r="N447" s="1409"/>
      <c r="O447" s="1408"/>
      <c r="P447" s="1408"/>
      <c r="Q447" s="1408"/>
      <c r="R447" s="1408"/>
      <c r="S447" s="1408"/>
      <c r="T447" s="1408"/>
      <c r="U447" s="1408"/>
      <c r="V447" s="1408"/>
      <c r="W447" s="1408"/>
      <c r="X447" s="1408"/>
      <c r="Y447" s="1408"/>
      <c r="Z447" s="1408"/>
      <c r="AA447" s="1408"/>
    </row>
    <row r="448" spans="1:27" x14ac:dyDescent="0.25">
      <c r="A448" s="926" t="s">
        <v>1257</v>
      </c>
      <c r="B448" s="857" t="str">
        <f ca="1">IF('Pricing Schedule'!$K$5="No",_xlfn.CONCAT(IFERROR(SUBSTITUTE(ADDRESS(1,MATCH(A448,INDIRECT("'"&amp;E448&amp;"'"&amp;"!A10:Z10"),0),4),1,""),""),24),_xlfn.CONCAT(IFERROR(SUBSTITUTE(ADDRESS(1,MATCH(A448,INDIRECT("'"&amp;E448&amp;"'"&amp;"!A10:Z10"),0),4),1,""),""),58))</f>
        <v>H24</v>
      </c>
      <c r="C448" s="857" t="str">
        <f ca="1">IF('Pricing Schedule'!$K$5="No",IFERROR(SUBSTITUTE(ADDRESS(1,MATCH(A448,INDIRECT("'"&amp;E448&amp;"'"&amp;"!A10:Z10"),0),4),1,""),""),IFERROR(SUBSTITUTE(ADDRESS(1,MATCH(A448,INDIRECT("'"&amp;E448&amp;"'"&amp;"!A10:Z10"),0),4),1,""),""))</f>
        <v>H</v>
      </c>
      <c r="D448" s="859" t="s">
        <v>1374</v>
      </c>
      <c r="E448" s="859" t="s">
        <v>1291</v>
      </c>
      <c r="F448" s="1409"/>
      <c r="G448" s="1409"/>
      <c r="H448" s="1409"/>
      <c r="I448" s="857" t="str">
        <f t="shared" si="47"/>
        <v/>
      </c>
      <c r="J448" s="1409"/>
      <c r="K448" s="1409" t="str">
        <f t="shared" si="48"/>
        <v/>
      </c>
      <c r="L448" s="898" t="s">
        <v>1257</v>
      </c>
      <c r="M448" s="1409">
        <v>417</v>
      </c>
      <c r="N448" s="1409"/>
      <c r="O448" s="1408"/>
      <c r="P448" s="1408"/>
      <c r="Q448" s="1408"/>
      <c r="R448" s="1408"/>
      <c r="S448" s="1408"/>
      <c r="T448" s="1408"/>
      <c r="U448" s="1408"/>
      <c r="V448" s="1408"/>
      <c r="W448" s="1408"/>
      <c r="X448" s="1408"/>
      <c r="Y448" s="1408"/>
      <c r="Z448" s="1408"/>
      <c r="AA448" s="1408"/>
    </row>
    <row r="449" spans="1:27" x14ac:dyDescent="0.25">
      <c r="A449" s="926" t="s">
        <v>1295</v>
      </c>
      <c r="B449" s="857" t="str">
        <f ca="1">IF('Pricing Schedule'!$K$5="No",_xlfn.CONCAT(IFERROR(SUBSTITUTE(ADDRESS(1,MATCH(A449,INDIRECT("'"&amp;E449&amp;"'"&amp;"!A10:Z10"),0),4),1,""),""),24),_xlfn.CONCAT(IFERROR(SUBSTITUTE(ADDRESS(1,MATCH(A449,INDIRECT("'"&amp;E449&amp;"'"&amp;"!A10:Z10"),0),4),1,""),""),58))</f>
        <v>F24</v>
      </c>
      <c r="C449" s="857" t="str">
        <f ca="1">IF('Pricing Schedule'!$K$5="No",IFERROR(SUBSTITUTE(ADDRESS(1,MATCH(A449,INDIRECT("'"&amp;E449&amp;"'"&amp;"!A10:Z10"),0),4),1,""),""),IFERROR(SUBSTITUTE(ADDRESS(1,MATCH(A449,INDIRECT("'"&amp;E449&amp;"'"&amp;"!A10:Z10"),0),4),1,""),""))</f>
        <v>F</v>
      </c>
      <c r="D449" s="859" t="s">
        <v>1374</v>
      </c>
      <c r="E449" s="859" t="s">
        <v>1291</v>
      </c>
      <c r="F449" s="1409"/>
      <c r="G449" s="1409"/>
      <c r="H449" s="1409"/>
      <c r="I449" s="857" t="str">
        <f t="shared" si="47"/>
        <v/>
      </c>
      <c r="J449" s="1409"/>
      <c r="K449" s="1409" t="str">
        <f t="shared" si="48"/>
        <v/>
      </c>
      <c r="L449" s="898" t="s">
        <v>225</v>
      </c>
      <c r="M449" s="1409">
        <v>418</v>
      </c>
      <c r="N449" s="1409"/>
      <c r="O449" s="1408"/>
      <c r="P449" s="1408"/>
      <c r="Q449" s="1408"/>
      <c r="R449" s="1408"/>
      <c r="S449" s="1408"/>
      <c r="T449" s="1408"/>
      <c r="U449" s="1408"/>
      <c r="V449" s="1408"/>
      <c r="W449" s="1408"/>
      <c r="X449" s="1408"/>
      <c r="Y449" s="1408"/>
      <c r="Z449" s="1408"/>
      <c r="AA449" s="1408"/>
    </row>
    <row r="450" spans="1:27" x14ac:dyDescent="0.25">
      <c r="A450" s="927" t="s">
        <v>463</v>
      </c>
      <c r="B450" s="857" t="str">
        <f ca="1">_xlfn.CONCAT(IFERROR(SUBSTITUTE(ADDRESS(1,MATCH(A450,INDIRECT("'"&amp;E450&amp;"'"&amp;"!A9:Z9"),0),4),1,""),""),24)</f>
        <v>E24</v>
      </c>
      <c r="C450" s="857" t="str">
        <f ca="1">_xlfn.CONCAT(IFERROR(SUBSTITUTE(ADDRESS(1,MATCH(A450,INDIRECT("'"&amp;E450&amp;"'"&amp;"!A9:Z9"),0),4),1,""),""))</f>
        <v>E</v>
      </c>
      <c r="D450" s="1174" t="s">
        <v>1374</v>
      </c>
      <c r="E450" s="859" t="s">
        <v>208</v>
      </c>
      <c r="F450" s="1409"/>
      <c r="G450" s="1409"/>
      <c r="H450" s="1409"/>
      <c r="I450" s="857" t="str">
        <f t="shared" si="47"/>
        <v>Exclude PIM Classes Below</v>
      </c>
      <c r="J450" s="1409" t="str">
        <f t="shared" si="49"/>
        <v>F419</v>
      </c>
      <c r="K450" s="1409" t="str">
        <f t="shared" si="48"/>
        <v>PIM Model</v>
      </c>
      <c r="L450" s="898" t="s">
        <v>463</v>
      </c>
      <c r="M450" s="1409">
        <v>419</v>
      </c>
      <c r="N450" s="1409"/>
      <c r="O450" s="1408"/>
      <c r="P450" s="1408"/>
      <c r="Q450" s="1408"/>
      <c r="R450" s="1408"/>
      <c r="S450" s="1408"/>
      <c r="T450" s="1408"/>
      <c r="U450" s="1408"/>
      <c r="V450" s="1408"/>
      <c r="W450" s="1408"/>
      <c r="X450" s="1408"/>
      <c r="Y450" s="1408"/>
      <c r="Z450" s="1408"/>
      <c r="AA450" s="1408"/>
    </row>
    <row r="451" spans="1:27" x14ac:dyDescent="0.25">
      <c r="A451" s="927" t="s">
        <v>1294</v>
      </c>
      <c r="B451" s="857" t="str">
        <f ca="1">IF('Pricing Schedule'!$K$5="No",_xlfn.CONCAT(IFERROR(SUBSTITUTE(ADDRESS(1,MATCH(A451,INDIRECT("'"&amp;E451&amp;"'"&amp;"!A10:Z10"),0),4),1,""),""),24),_xlfn.CONCAT(IFERROR(SUBSTITUTE(ADDRESS(1,MATCH(A451,INDIRECT("'"&amp;E451&amp;"'"&amp;"!A10:Z10"),0),4),1,""),""),58))</f>
        <v>E24</v>
      </c>
      <c r="C451" s="857" t="str">
        <f ca="1">IF('Pricing Schedule'!$K$5="No",IFERROR(SUBSTITUTE(ADDRESS(1,MATCH(A451,INDIRECT("'"&amp;E451&amp;"'"&amp;"!A10:Z10"),0),4),1,""),""),IFERROR(SUBSTITUTE(ADDRESS(1,MATCH(A451,INDIRECT("'"&amp;E451&amp;"'"&amp;"!A10:Z10"),0),4),1,""),""))</f>
        <v>E</v>
      </c>
      <c r="D451" s="859" t="s">
        <v>1374</v>
      </c>
      <c r="E451" s="859" t="s">
        <v>1291</v>
      </c>
      <c r="F451" s="1409"/>
      <c r="G451" s="1409"/>
      <c r="H451" s="1409"/>
      <c r="I451" s="857" t="str">
        <f t="shared" si="47"/>
        <v>Special Pricing Code</v>
      </c>
      <c r="J451" s="1409" t="str">
        <f t="shared" si="49"/>
        <v>F420</v>
      </c>
      <c r="K451" s="1409" t="str">
        <f t="shared" si="48"/>
        <v>Pricing Schedule</v>
      </c>
      <c r="L451" s="898" t="s">
        <v>1294</v>
      </c>
      <c r="M451" s="1409">
        <v>420</v>
      </c>
      <c r="N451" s="1409"/>
      <c r="O451" s="1408"/>
      <c r="P451" s="1408"/>
      <c r="Q451" s="1408"/>
      <c r="R451" s="1408"/>
      <c r="S451" s="1408"/>
      <c r="T451" s="1408"/>
      <c r="U451" s="1408"/>
      <c r="V451" s="1408"/>
      <c r="W451" s="1408"/>
      <c r="X451" s="1408"/>
      <c r="Y451" s="1408"/>
      <c r="Z451" s="1408"/>
      <c r="AA451" s="1408"/>
    </row>
    <row r="452" spans="1:27" x14ac:dyDescent="0.25">
      <c r="A452" s="927" t="s">
        <v>1296</v>
      </c>
      <c r="B452" s="857" t="str">
        <f ca="1">IF('Pricing Schedule'!$K$5="No",_xlfn.CONCAT(IFERROR(SUBSTITUTE(ADDRESS(1,MATCH(A452,INDIRECT("'"&amp;E452&amp;"'"&amp;"!A10:Z10"),0),4),1,""),""),24),_xlfn.CONCAT(IFERROR(SUBSTITUTE(ADDRESS(1,MATCH(A452,INDIRECT("'"&amp;E452&amp;"'"&amp;"!A10:Z10"),0),4),1,""),""),58))</f>
        <v>G24</v>
      </c>
      <c r="C452" s="857" t="str">
        <f ca="1">IF('Pricing Schedule'!$K$5="No",IFERROR(SUBSTITUTE(ADDRESS(1,MATCH(A452,INDIRECT("'"&amp;E452&amp;"'"&amp;"!A10:Z10"),0),4),1,""),""),IFERROR(SUBSTITUTE(ADDRESS(1,MATCH(A452,INDIRECT("'"&amp;E452&amp;"'"&amp;"!A10:Z10"),0),4),1,""),""))</f>
        <v>G</v>
      </c>
      <c r="D452" s="859" t="s">
        <v>1374</v>
      </c>
      <c r="E452" s="859" t="s">
        <v>1291</v>
      </c>
      <c r="F452" s="1422"/>
      <c r="G452" s="1409"/>
      <c r="H452" s="1409"/>
      <c r="I452" s="857" t="str">
        <f t="shared" ref="I452:I515" si="50">IF(J452&lt;&gt;"",A452,"")</f>
        <v>EB Markup Amt</v>
      </c>
      <c r="J452" s="1409" t="str">
        <f t="shared" si="49"/>
        <v>F421</v>
      </c>
      <c r="K452" s="1409" t="str">
        <f t="shared" ref="K452:K515" si="51">IF(J452&lt;&gt;"",E452,"")</f>
        <v>Pricing Schedule</v>
      </c>
      <c r="L452" s="898" t="s">
        <v>1296</v>
      </c>
      <c r="M452" s="1409">
        <v>421</v>
      </c>
      <c r="N452" s="1409"/>
      <c r="O452" s="1408"/>
      <c r="P452" s="1408"/>
      <c r="Q452" s="1408"/>
      <c r="R452" s="1408"/>
      <c r="S452" s="1408"/>
      <c r="T452" s="1408"/>
      <c r="U452" s="1408"/>
      <c r="V452" s="1408"/>
      <c r="W452" s="1408"/>
      <c r="X452" s="1408"/>
      <c r="Y452" s="1408"/>
      <c r="Z452" s="1408"/>
      <c r="AA452" s="1408"/>
    </row>
    <row r="453" spans="1:27" x14ac:dyDescent="0.25">
      <c r="A453" s="927" t="s">
        <v>1297</v>
      </c>
      <c r="B453" s="857" t="str">
        <f ca="1">IF('Pricing Schedule'!$K$5="No",_xlfn.CONCAT(IFERROR(SUBSTITUTE(ADDRESS(1,MATCH(A453,INDIRECT("'"&amp;E453&amp;"'"&amp;"!A10:Z10"),0),4),1,""),""),24),_xlfn.CONCAT(IFERROR(SUBSTITUTE(ADDRESS(1,MATCH(A453,INDIRECT("'"&amp;E453&amp;"'"&amp;"!A10:Z10"),0),4),1,""),""),58))</f>
        <v>I24</v>
      </c>
      <c r="C453" s="857" t="str">
        <f ca="1">IF('Pricing Schedule'!$K$5="No",IFERROR(SUBSTITUTE(ADDRESS(1,MATCH(A453,INDIRECT("'"&amp;E453&amp;"'"&amp;"!A10:Z10"),0),4),1,""),""),IFERROR(SUBSTITUTE(ADDRESS(1,MATCH(A453,INDIRECT("'"&amp;E453&amp;"'"&amp;"!A10:Z10"),0),4),1,""),""))</f>
        <v>I</v>
      </c>
      <c r="D453" s="859" t="s">
        <v>1374</v>
      </c>
      <c r="E453" s="859" t="s">
        <v>1291</v>
      </c>
      <c r="F453" s="1422"/>
      <c r="G453" s="1409"/>
      <c r="H453" s="1409"/>
      <c r="I453" s="857" t="str">
        <f t="shared" si="50"/>
        <v>Min CS Markup Override Flag</v>
      </c>
      <c r="J453" s="1409" t="str">
        <f t="shared" si="49"/>
        <v>F422</v>
      </c>
      <c r="K453" s="1409" t="str">
        <f t="shared" si="51"/>
        <v>Pricing Schedule</v>
      </c>
      <c r="L453" s="898" t="s">
        <v>1297</v>
      </c>
      <c r="M453" s="1409">
        <v>422</v>
      </c>
      <c r="N453" s="1409"/>
      <c r="O453" s="1408"/>
      <c r="P453" s="1408"/>
      <c r="Q453" s="1408"/>
      <c r="R453" s="1408"/>
      <c r="S453" s="1408"/>
      <c r="T453" s="1408"/>
      <c r="U453" s="1408"/>
      <c r="V453" s="1408"/>
      <c r="W453" s="1408"/>
      <c r="X453" s="1408"/>
      <c r="Y453" s="1408"/>
      <c r="Z453" s="1408"/>
      <c r="AA453" s="1408"/>
    </row>
    <row r="454" spans="1:27" x14ac:dyDescent="0.25">
      <c r="A454" s="927" t="s">
        <v>1298</v>
      </c>
      <c r="B454" s="857" t="str">
        <f ca="1">IF('Pricing Schedule'!$K$5="No",_xlfn.CONCAT(IFERROR(SUBSTITUTE(ADDRESS(1,MATCH(A454,INDIRECT("'"&amp;E454&amp;"'"&amp;"!A10:Z10"),0),4),1,""),""),24),_xlfn.CONCAT(IFERROR(SUBSTITUTE(ADDRESS(1,MATCH(A454,INDIRECT("'"&amp;E454&amp;"'"&amp;"!A10:Z10"),0),4),1,""),""),58))</f>
        <v>J24</v>
      </c>
      <c r="C454" s="857" t="str">
        <f ca="1">IF('Pricing Schedule'!$K$5="No",IFERROR(SUBSTITUTE(ADDRESS(1,MATCH(A454,INDIRECT("'"&amp;E454&amp;"'"&amp;"!A10:Z10"),0),4),1,""),""),IFERROR(SUBSTITUTE(ADDRESS(1,MATCH(A454,INDIRECT("'"&amp;E454&amp;"'"&amp;"!A10:Z10"),0),4),1,""),""))</f>
        <v>J</v>
      </c>
      <c r="D454" s="859" t="s">
        <v>1374</v>
      </c>
      <c r="E454" s="859" t="s">
        <v>1291</v>
      </c>
      <c r="F454" s="1422"/>
      <c r="G454" s="1409"/>
      <c r="H454" s="1409"/>
      <c r="I454" s="857" t="str">
        <f t="shared" si="50"/>
        <v>Min CS Markup Amt</v>
      </c>
      <c r="J454" s="1409" t="str">
        <f t="shared" ref="J454:J517" si="52">IF(M454&lt;&gt;"",Q$1&amp;M454,"")</f>
        <v>F423</v>
      </c>
      <c r="K454" s="1409" t="str">
        <f t="shared" si="51"/>
        <v>Pricing Schedule</v>
      </c>
      <c r="L454" s="898" t="s">
        <v>1298</v>
      </c>
      <c r="M454" s="1409">
        <v>423</v>
      </c>
      <c r="N454" s="1409"/>
      <c r="O454" s="1408"/>
      <c r="P454" s="1408"/>
      <c r="Q454" s="1408"/>
      <c r="R454" s="1408"/>
      <c r="S454" s="1408"/>
      <c r="T454" s="1408"/>
      <c r="U454" s="1408"/>
      <c r="V454" s="1408"/>
      <c r="W454" s="1408"/>
      <c r="X454" s="1408"/>
      <c r="Y454" s="1408"/>
      <c r="Z454" s="1408"/>
      <c r="AA454" s="1408"/>
    </row>
    <row r="455" spans="1:27" x14ac:dyDescent="0.25">
      <c r="A455" s="927" t="s">
        <v>1299</v>
      </c>
      <c r="B455" s="857" t="str">
        <f ca="1">IF('Pricing Schedule'!$K$5="No",_xlfn.CONCAT(IFERROR(SUBSTITUTE(ADDRESS(1,MATCH(A455,INDIRECT("'"&amp;E455&amp;"'"&amp;"!A10:Z10"),0),4),1,""),""),24),_xlfn.CONCAT(IFERROR(SUBSTITUTE(ADDRESS(1,MATCH(A455,INDIRECT("'"&amp;E455&amp;"'"&amp;"!A10:Z10"),0),4),1,""),""),58))</f>
        <v>K24</v>
      </c>
      <c r="C455" s="857" t="str">
        <f ca="1">IF('Pricing Schedule'!$K$5="No",IFERROR(SUBSTITUTE(ADDRESS(1,MATCH(A455,INDIRECT("'"&amp;E455&amp;"'"&amp;"!A10:Z10"),0),4),1,""),""),IFERROR(SUBSTITUTE(ADDRESS(1,MATCH(A455,INDIRECT("'"&amp;E455&amp;"'"&amp;"!A10:Z10"),0),4),1,""),""))</f>
        <v>K</v>
      </c>
      <c r="D455" s="859" t="s">
        <v>1374</v>
      </c>
      <c r="E455" s="859" t="s">
        <v>1291</v>
      </c>
      <c r="F455" s="1422"/>
      <c r="G455" s="1409"/>
      <c r="H455" s="1409"/>
      <c r="I455" s="857" t="str">
        <f t="shared" si="50"/>
        <v>Split Case Fee Override Flag</v>
      </c>
      <c r="J455" s="1409" t="str">
        <f t="shared" si="52"/>
        <v>F424</v>
      </c>
      <c r="K455" s="1409" t="str">
        <f t="shared" si="51"/>
        <v>Pricing Schedule</v>
      </c>
      <c r="L455" s="898" t="s">
        <v>1299</v>
      </c>
      <c r="M455" s="1409">
        <v>424</v>
      </c>
      <c r="N455" s="1409"/>
      <c r="O455" s="1408"/>
      <c r="P455" s="1408"/>
      <c r="Q455" s="1408"/>
      <c r="R455" s="1408"/>
      <c r="S455" s="1408"/>
      <c r="T455" s="1408"/>
      <c r="U455" s="1408"/>
      <c r="V455" s="1408"/>
      <c r="W455" s="1408"/>
      <c r="X455" s="1408"/>
      <c r="Y455" s="1408"/>
      <c r="Z455" s="1408"/>
      <c r="AA455" s="1408"/>
    </row>
    <row r="456" spans="1:27" x14ac:dyDescent="0.25">
      <c r="A456" s="927" t="s">
        <v>1300</v>
      </c>
      <c r="B456" s="857" t="str">
        <f ca="1">IF('Pricing Schedule'!$K$5="No",_xlfn.CONCAT(IFERROR(SUBSTITUTE(ADDRESS(1,MATCH(A456,INDIRECT("'"&amp;E456&amp;"'"&amp;"!A10:Z10"),0),4),1,""),""),24),_xlfn.CONCAT(IFERROR(SUBSTITUTE(ADDRESS(1,MATCH(A456,INDIRECT("'"&amp;E456&amp;"'"&amp;"!A10:Z10"),0),4),1,""),""),58))</f>
        <v>L24</v>
      </c>
      <c r="C456" s="857" t="str">
        <f ca="1">IF('Pricing Schedule'!$K$5="No",IFERROR(SUBSTITUTE(ADDRESS(1,MATCH(A456,INDIRECT("'"&amp;E456&amp;"'"&amp;"!A10:Z10"),0),4),1,""),""),IFERROR(SUBSTITUTE(ADDRESS(1,MATCH(A456,INDIRECT("'"&amp;E456&amp;"'"&amp;"!A10:Z10"),0),4),1,""),""))</f>
        <v>L</v>
      </c>
      <c r="D456" s="859" t="s">
        <v>1374</v>
      </c>
      <c r="E456" s="859" t="s">
        <v>1291</v>
      </c>
      <c r="F456" s="1422"/>
      <c r="G456" s="1409"/>
      <c r="H456" s="1409"/>
      <c r="I456" s="857" t="str">
        <f t="shared" si="50"/>
        <v>Split Case Fee</v>
      </c>
      <c r="J456" s="1409" t="str">
        <f t="shared" si="52"/>
        <v>F425</v>
      </c>
      <c r="K456" s="1409" t="str">
        <f t="shared" si="51"/>
        <v>Pricing Schedule</v>
      </c>
      <c r="L456" s="898" t="s">
        <v>1300</v>
      </c>
      <c r="M456" s="1409">
        <v>425</v>
      </c>
      <c r="N456" s="1409"/>
      <c r="O456" s="1408"/>
      <c r="P456" s="1408"/>
      <c r="Q456" s="1408"/>
      <c r="R456" s="1408"/>
      <c r="S456" s="1408"/>
      <c r="T456" s="1408"/>
      <c r="U456" s="1408"/>
      <c r="V456" s="1408"/>
      <c r="W456" s="1408"/>
      <c r="X456" s="1408"/>
      <c r="Y456" s="1408"/>
      <c r="Z456" s="1408"/>
      <c r="AA456" s="1408"/>
    </row>
    <row r="457" spans="1:27" x14ac:dyDescent="0.25">
      <c r="A457" s="927" t="s">
        <v>1238</v>
      </c>
      <c r="B457" s="857" t="str">
        <f ca="1">IF('Pricing Schedule'!$K$5="No",_xlfn.CONCAT(IFERROR(SUBSTITUTE(ADDRESS(1,MATCH(A457,INDIRECT("'"&amp;E457&amp;"'"&amp;"!A10:Z10"),0),4),1,""),""),24),_xlfn.CONCAT(IFERROR(SUBSTITUTE(ADDRESS(1,MATCH(A457,INDIRECT("'"&amp;E457&amp;"'"&amp;"!A10:Z10"),0),4),1,""),""),58))</f>
        <v>M24</v>
      </c>
      <c r="C457" s="857" t="str">
        <f ca="1">IF('Pricing Schedule'!$K$5="No",IFERROR(SUBSTITUTE(ADDRESS(1,MATCH(A457,INDIRECT("'"&amp;E457&amp;"'"&amp;"!A10:Z10"),0),4),1,""),""),IFERROR(SUBSTITUTE(ADDRESS(1,MATCH(A457,INDIRECT("'"&amp;E457&amp;"'"&amp;"!A10:Z10"),0),4),1,""),""))</f>
        <v>M</v>
      </c>
      <c r="D457" s="859" t="s">
        <v>1374</v>
      </c>
      <c r="E457" s="859" t="s">
        <v>1291</v>
      </c>
      <c r="F457" s="1422"/>
      <c r="G457" s="1409"/>
      <c r="H457" s="1409"/>
      <c r="I457" s="857" t="str">
        <f t="shared" si="50"/>
        <v>Split Case Per</v>
      </c>
      <c r="J457" s="1409" t="str">
        <f t="shared" si="52"/>
        <v>F426</v>
      </c>
      <c r="K457" s="1409" t="str">
        <f t="shared" si="51"/>
        <v>Pricing Schedule</v>
      </c>
      <c r="L457" s="898" t="s">
        <v>1238</v>
      </c>
      <c r="M457" s="1409">
        <v>426</v>
      </c>
      <c r="N457" s="1409"/>
      <c r="O457" s="1408"/>
      <c r="P457" s="1408"/>
      <c r="Q457" s="1408"/>
      <c r="R457" s="1408"/>
      <c r="S457" s="1408"/>
      <c r="T457" s="1408"/>
      <c r="U457" s="1408"/>
      <c r="V457" s="1408"/>
      <c r="W457" s="1408"/>
      <c r="X457" s="1408"/>
      <c r="Y457" s="1408"/>
      <c r="Z457" s="1408"/>
      <c r="AA457" s="1408"/>
    </row>
    <row r="458" spans="1:27" x14ac:dyDescent="0.25">
      <c r="A458" s="928" t="s">
        <v>1301</v>
      </c>
      <c r="B458" s="857" t="str">
        <f ca="1">IF('Pricing Schedule'!$K$5="No",_xlfn.CONCAT(IFERROR(SUBSTITUTE(ADDRESS(1,MATCH(A458,INDIRECT("'"&amp;E458&amp;"'"&amp;"!A10:Z10"),0),4),1,""),""),25),_xlfn.CONCAT(IFERROR(SUBSTITUTE(ADDRESS(1,MATCH(A458,INDIRECT("'"&amp;E458&amp;"'"&amp;"!A10:Z10"),0),4),1,""),""),59))</f>
        <v>N25</v>
      </c>
      <c r="C458" s="857" t="str">
        <f ca="1">IF('Pricing Schedule'!$K$5="No",IFERROR(SUBSTITUTE(ADDRESS(1,MATCH(A458,INDIRECT("'"&amp;E458&amp;"'"&amp;"!A10:Z10"),0),4),1,""),""),IFERROR(SUBSTITUTE(ADDRESS(1,MATCH(A458,INDIRECT("'"&amp;E458&amp;"'"&amp;"!A10:Z10"),0),4),1,""),""))</f>
        <v>N</v>
      </c>
      <c r="D458" s="859" t="s">
        <v>1374</v>
      </c>
      <c r="E458" s="859" t="s">
        <v>1291</v>
      </c>
      <c r="F458" s="1409"/>
      <c r="G458" s="1409"/>
      <c r="H458" s="1409"/>
      <c r="I458" s="857" t="str">
        <f t="shared" si="50"/>
        <v/>
      </c>
      <c r="J458" s="1409"/>
      <c r="K458" s="1409" t="str">
        <f t="shared" si="51"/>
        <v/>
      </c>
      <c r="L458" s="898" t="s">
        <v>1301</v>
      </c>
      <c r="M458" s="1409">
        <v>427</v>
      </c>
      <c r="N458" s="1409"/>
      <c r="O458" s="1408"/>
      <c r="P458" s="1408"/>
      <c r="Q458" s="1408"/>
      <c r="R458" s="1408"/>
      <c r="S458" s="1408"/>
      <c r="T458" s="1408"/>
      <c r="U458" s="1408"/>
      <c r="V458" s="1408"/>
      <c r="W458" s="1408"/>
      <c r="X458" s="1408"/>
      <c r="Y458" s="1408"/>
      <c r="Z458" s="1408"/>
      <c r="AA458" s="1408"/>
    </row>
    <row r="459" spans="1:27" x14ac:dyDescent="0.25">
      <c r="A459" s="929" t="s">
        <v>1292</v>
      </c>
      <c r="B459" s="857" t="str">
        <f ca="1">IF('Pricing Schedule'!$K$5="No",_xlfn.CONCAT(IFERROR(SUBSTITUTE(ADDRESS(1,MATCH(A459,INDIRECT("'"&amp;E459&amp;"'"&amp;"!A10:Z10"),0),4),1,""),""),25),_xlfn.CONCAT(IFERROR(SUBSTITUTE(ADDRESS(1,MATCH(A459,INDIRECT("'"&amp;E459&amp;"'"&amp;"!A10:Z10"),0),4),1,""),""),59))</f>
        <v>C25</v>
      </c>
      <c r="C459" s="857" t="str">
        <f ca="1">IF('Pricing Schedule'!$K$5="No",IFERROR(SUBSTITUTE(ADDRESS(1,MATCH(A459,INDIRECT("'"&amp;E459&amp;"'"&amp;"!A10:Z10"),0),4),1,""),""),IFERROR(SUBSTITUTE(ADDRESS(1,MATCH(A459,INDIRECT("'"&amp;E459&amp;"'"&amp;"!A10:Z10"),0),4),1,""),""))</f>
        <v>C</v>
      </c>
      <c r="D459" s="859" t="s">
        <v>1374</v>
      </c>
      <c r="E459" s="859" t="s">
        <v>1291</v>
      </c>
      <c r="F459" s="1409"/>
      <c r="G459" s="1409"/>
      <c r="H459" s="1409"/>
      <c r="I459" s="857" t="str">
        <f t="shared" si="50"/>
        <v/>
      </c>
      <c r="J459" s="1409"/>
      <c r="K459" s="1409" t="str">
        <f t="shared" si="51"/>
        <v/>
      </c>
      <c r="L459" s="898" t="s">
        <v>252</v>
      </c>
      <c r="M459" s="1409">
        <v>428</v>
      </c>
      <c r="N459" s="1409"/>
      <c r="O459" s="1408"/>
      <c r="P459" s="1408"/>
      <c r="Q459" s="1408"/>
      <c r="R459" s="1408"/>
      <c r="S459" s="1408"/>
      <c r="T459" s="1408"/>
      <c r="U459" s="1408"/>
      <c r="V459" s="1408"/>
      <c r="W459" s="1408"/>
      <c r="X459" s="1408"/>
      <c r="Y459" s="1408"/>
      <c r="Z459" s="1408"/>
      <c r="AA459" s="1408"/>
    </row>
    <row r="460" spans="1:27" x14ac:dyDescent="0.25">
      <c r="A460" s="929" t="s">
        <v>1257</v>
      </c>
      <c r="B460" s="857" t="str">
        <f ca="1">IF('Pricing Schedule'!$K$5="No",_xlfn.CONCAT(IFERROR(SUBSTITUTE(ADDRESS(1,MATCH(A460,INDIRECT("'"&amp;E460&amp;"'"&amp;"!A10:Z10"),0),4),1,""),""),25),_xlfn.CONCAT(IFERROR(SUBSTITUTE(ADDRESS(1,MATCH(A460,INDIRECT("'"&amp;E460&amp;"'"&amp;"!A10:Z10"),0),4),1,""),""),59))</f>
        <v>H25</v>
      </c>
      <c r="C460" s="857" t="str">
        <f ca="1">IF('Pricing Schedule'!$K$5="No",IFERROR(SUBSTITUTE(ADDRESS(1,MATCH(A460,INDIRECT("'"&amp;E460&amp;"'"&amp;"!A10:Z10"),0),4),1,""),""),IFERROR(SUBSTITUTE(ADDRESS(1,MATCH(A460,INDIRECT("'"&amp;E460&amp;"'"&amp;"!A10:Z10"),0),4),1,""),""))</f>
        <v>H</v>
      </c>
      <c r="D460" s="859" t="s">
        <v>1374</v>
      </c>
      <c r="E460" s="859" t="s">
        <v>1291</v>
      </c>
      <c r="F460" s="1409"/>
      <c r="G460" s="1409"/>
      <c r="H460" s="1409"/>
      <c r="I460" s="857" t="str">
        <f t="shared" si="50"/>
        <v/>
      </c>
      <c r="J460" s="1409"/>
      <c r="K460" s="1409" t="str">
        <f t="shared" si="51"/>
        <v/>
      </c>
      <c r="L460" s="898" t="s">
        <v>1257</v>
      </c>
      <c r="M460" s="1409">
        <v>429</v>
      </c>
      <c r="N460" s="1409"/>
      <c r="O460" s="1408"/>
      <c r="P460" s="1408"/>
      <c r="Q460" s="1408"/>
      <c r="R460" s="1408"/>
      <c r="S460" s="1408"/>
      <c r="T460" s="1408"/>
      <c r="U460" s="1408"/>
      <c r="V460" s="1408"/>
      <c r="W460" s="1408"/>
      <c r="X460" s="1408"/>
      <c r="Y460" s="1408"/>
      <c r="Z460" s="1408"/>
      <c r="AA460" s="1408"/>
    </row>
    <row r="461" spans="1:27" x14ac:dyDescent="0.25">
      <c r="A461" s="929" t="s">
        <v>1295</v>
      </c>
      <c r="B461" s="857" t="str">
        <f ca="1">IF('Pricing Schedule'!$K$5="No",_xlfn.CONCAT(IFERROR(SUBSTITUTE(ADDRESS(1,MATCH(A461,INDIRECT("'"&amp;E461&amp;"'"&amp;"!A10:Z10"),0),4),1,""),""),25),_xlfn.CONCAT(IFERROR(SUBSTITUTE(ADDRESS(1,MATCH(A461,INDIRECT("'"&amp;E461&amp;"'"&amp;"!A10:Z10"),0),4),1,""),""),59))</f>
        <v>F25</v>
      </c>
      <c r="C461" s="857" t="str">
        <f ca="1">IF('Pricing Schedule'!$K$5="No",IFERROR(SUBSTITUTE(ADDRESS(1,MATCH(A461,INDIRECT("'"&amp;E461&amp;"'"&amp;"!A10:Z10"),0),4),1,""),""),IFERROR(SUBSTITUTE(ADDRESS(1,MATCH(A461,INDIRECT("'"&amp;E461&amp;"'"&amp;"!A10:Z10"),0),4),1,""),""))</f>
        <v>F</v>
      </c>
      <c r="D461" s="859" t="s">
        <v>1374</v>
      </c>
      <c r="E461" s="859" t="s">
        <v>1291</v>
      </c>
      <c r="F461" s="1409"/>
      <c r="G461" s="1409"/>
      <c r="H461" s="1409"/>
      <c r="I461" s="857" t="str">
        <f t="shared" si="50"/>
        <v/>
      </c>
      <c r="J461" s="1409"/>
      <c r="K461" s="1409" t="str">
        <f t="shared" si="51"/>
        <v/>
      </c>
      <c r="L461" s="898" t="s">
        <v>225</v>
      </c>
      <c r="M461" s="1409">
        <v>430</v>
      </c>
      <c r="N461" s="1409"/>
      <c r="O461" s="1408"/>
      <c r="P461" s="1408"/>
      <c r="Q461" s="1408"/>
      <c r="R461" s="1408"/>
      <c r="S461" s="1408"/>
      <c r="T461" s="1408"/>
      <c r="U461" s="1408"/>
      <c r="V461" s="1408"/>
      <c r="W461" s="1408"/>
      <c r="X461" s="1408"/>
      <c r="Y461" s="1408"/>
      <c r="Z461" s="1408"/>
      <c r="AA461" s="1408"/>
    </row>
    <row r="462" spans="1:27" x14ac:dyDescent="0.25">
      <c r="A462" s="930" t="s">
        <v>463</v>
      </c>
      <c r="B462" s="857" t="str">
        <f ca="1">_xlfn.CONCAT(IFERROR(SUBSTITUTE(ADDRESS(1,MATCH(A462,INDIRECT("'"&amp;E462&amp;"'"&amp;"!A9:Z9"),0),4),1,""),""),25)</f>
        <v>E25</v>
      </c>
      <c r="C462" s="857" t="str">
        <f ca="1">_xlfn.CONCAT(IFERROR(SUBSTITUTE(ADDRESS(1,MATCH(A462,INDIRECT("'"&amp;E462&amp;"'"&amp;"!A9:Z9"),0),4),1,""),""))</f>
        <v>E</v>
      </c>
      <c r="D462" s="1174" t="s">
        <v>1374</v>
      </c>
      <c r="E462" s="859" t="s">
        <v>208</v>
      </c>
      <c r="F462" s="1409"/>
      <c r="G462" s="1409"/>
      <c r="H462" s="1409"/>
      <c r="I462" s="857" t="str">
        <f t="shared" si="50"/>
        <v>Exclude PIM Classes Below</v>
      </c>
      <c r="J462" s="1409" t="str">
        <f t="shared" si="52"/>
        <v>F431</v>
      </c>
      <c r="K462" s="1409" t="str">
        <f t="shared" si="51"/>
        <v>PIM Model</v>
      </c>
      <c r="L462" s="898" t="s">
        <v>463</v>
      </c>
      <c r="M462" s="1409">
        <v>431</v>
      </c>
      <c r="N462" s="1409"/>
      <c r="O462" s="1408"/>
      <c r="P462" s="1408"/>
      <c r="Q462" s="1408"/>
      <c r="R462" s="1408"/>
      <c r="S462" s="1408"/>
      <c r="T462" s="1408"/>
      <c r="U462" s="1408"/>
      <c r="V462" s="1408"/>
      <c r="W462" s="1408"/>
      <c r="X462" s="1408"/>
      <c r="Y462" s="1408"/>
      <c r="Z462" s="1408"/>
      <c r="AA462" s="1408"/>
    </row>
    <row r="463" spans="1:27" x14ac:dyDescent="0.25">
      <c r="A463" s="930" t="s">
        <v>1294</v>
      </c>
      <c r="B463" s="857" t="str">
        <f ca="1">IF('Pricing Schedule'!$K$5="No",_xlfn.CONCAT(IFERROR(SUBSTITUTE(ADDRESS(1,MATCH(A463,INDIRECT("'"&amp;E463&amp;"'"&amp;"!A10:Z10"),0),4),1,""),""),25),_xlfn.CONCAT(IFERROR(SUBSTITUTE(ADDRESS(1,MATCH(A463,INDIRECT("'"&amp;E463&amp;"'"&amp;"!A10:Z10"),0),4),1,""),""),59))</f>
        <v>E25</v>
      </c>
      <c r="C463" s="857" t="str">
        <f ca="1">IF('Pricing Schedule'!$K$5="No",IFERROR(SUBSTITUTE(ADDRESS(1,MATCH(A463,INDIRECT("'"&amp;E463&amp;"'"&amp;"!A10:Z10"),0),4),1,""),""),IFERROR(SUBSTITUTE(ADDRESS(1,MATCH(A463,INDIRECT("'"&amp;E463&amp;"'"&amp;"!A10:Z10"),0),4),1,""),""))</f>
        <v>E</v>
      </c>
      <c r="D463" s="859" t="s">
        <v>1374</v>
      </c>
      <c r="E463" s="859" t="s">
        <v>1291</v>
      </c>
      <c r="F463" s="1409"/>
      <c r="G463" s="1409"/>
      <c r="H463" s="1409"/>
      <c r="I463" s="857" t="str">
        <f t="shared" si="50"/>
        <v>Special Pricing Code</v>
      </c>
      <c r="J463" s="1409" t="str">
        <f t="shared" si="52"/>
        <v>F432</v>
      </c>
      <c r="K463" s="1409" t="str">
        <f t="shared" si="51"/>
        <v>Pricing Schedule</v>
      </c>
      <c r="L463" s="898" t="s">
        <v>1294</v>
      </c>
      <c r="M463" s="1409">
        <v>432</v>
      </c>
      <c r="N463" s="1409"/>
      <c r="O463" s="1408"/>
      <c r="P463" s="1408"/>
      <c r="Q463" s="1408"/>
      <c r="R463" s="1408"/>
      <c r="S463" s="1408"/>
      <c r="T463" s="1408"/>
      <c r="U463" s="1408"/>
      <c r="V463" s="1408"/>
      <c r="W463" s="1408"/>
      <c r="X463" s="1408"/>
      <c r="Y463" s="1408"/>
      <c r="Z463" s="1408"/>
      <c r="AA463" s="1408"/>
    </row>
    <row r="464" spans="1:27" x14ac:dyDescent="0.25">
      <c r="A464" s="930" t="s">
        <v>1296</v>
      </c>
      <c r="B464" s="857" t="str">
        <f ca="1">IF('Pricing Schedule'!$K$5="No",_xlfn.CONCAT(IFERROR(SUBSTITUTE(ADDRESS(1,MATCH(A464,INDIRECT("'"&amp;E464&amp;"'"&amp;"!A10:Z10"),0),4),1,""),""),25),_xlfn.CONCAT(IFERROR(SUBSTITUTE(ADDRESS(1,MATCH(A464,INDIRECT("'"&amp;E464&amp;"'"&amp;"!A10:Z10"),0),4),1,""),""),59))</f>
        <v>G25</v>
      </c>
      <c r="C464" s="857" t="str">
        <f ca="1">IF('Pricing Schedule'!$K$5="No",IFERROR(SUBSTITUTE(ADDRESS(1,MATCH(A464,INDIRECT("'"&amp;E464&amp;"'"&amp;"!A10:Z10"),0),4),1,""),""),IFERROR(SUBSTITUTE(ADDRESS(1,MATCH(A464,INDIRECT("'"&amp;E464&amp;"'"&amp;"!A10:Z10"),0),4),1,""),""))</f>
        <v>G</v>
      </c>
      <c r="D464" s="859" t="s">
        <v>1374</v>
      </c>
      <c r="E464" s="859" t="s">
        <v>1291</v>
      </c>
      <c r="F464" s="1422"/>
      <c r="G464" s="1409"/>
      <c r="H464" s="1409"/>
      <c r="I464" s="857" t="str">
        <f t="shared" si="50"/>
        <v>EB Markup Amt</v>
      </c>
      <c r="J464" s="1409" t="str">
        <f t="shared" si="52"/>
        <v>F433</v>
      </c>
      <c r="K464" s="1409" t="str">
        <f t="shared" si="51"/>
        <v>Pricing Schedule</v>
      </c>
      <c r="L464" s="898" t="s">
        <v>1296</v>
      </c>
      <c r="M464" s="1409">
        <v>433</v>
      </c>
      <c r="N464" s="1409"/>
      <c r="O464" s="1408"/>
      <c r="P464" s="1408"/>
      <c r="Q464" s="1408"/>
      <c r="R464" s="1408"/>
      <c r="S464" s="1408"/>
      <c r="T464" s="1408"/>
      <c r="U464" s="1408"/>
      <c r="V464" s="1408"/>
      <c r="W464" s="1408"/>
      <c r="X464" s="1408"/>
      <c r="Y464" s="1408"/>
      <c r="Z464" s="1408"/>
      <c r="AA464" s="1408"/>
    </row>
    <row r="465" spans="1:27" x14ac:dyDescent="0.25">
      <c r="A465" s="930" t="s">
        <v>1297</v>
      </c>
      <c r="B465" s="857" t="str">
        <f ca="1">IF('Pricing Schedule'!$K$5="No",_xlfn.CONCAT(IFERROR(SUBSTITUTE(ADDRESS(1,MATCH(A465,INDIRECT("'"&amp;E465&amp;"'"&amp;"!A10:Z10"),0),4),1,""),""),25),_xlfn.CONCAT(IFERROR(SUBSTITUTE(ADDRESS(1,MATCH(A465,INDIRECT("'"&amp;E465&amp;"'"&amp;"!A10:Z10"),0),4),1,""),""),59))</f>
        <v>I25</v>
      </c>
      <c r="C465" s="857" t="str">
        <f ca="1">IF('Pricing Schedule'!$K$5="No",IFERROR(SUBSTITUTE(ADDRESS(1,MATCH(A465,INDIRECT("'"&amp;E465&amp;"'"&amp;"!A10:Z10"),0),4),1,""),""),IFERROR(SUBSTITUTE(ADDRESS(1,MATCH(A465,INDIRECT("'"&amp;E465&amp;"'"&amp;"!A10:Z10"),0),4),1,""),""))</f>
        <v>I</v>
      </c>
      <c r="D465" s="859" t="s">
        <v>1374</v>
      </c>
      <c r="E465" s="859" t="s">
        <v>1291</v>
      </c>
      <c r="F465" s="1422"/>
      <c r="G465" s="1409"/>
      <c r="H465" s="1409"/>
      <c r="I465" s="857" t="str">
        <f t="shared" si="50"/>
        <v>Min CS Markup Override Flag</v>
      </c>
      <c r="J465" s="1409" t="str">
        <f t="shared" si="52"/>
        <v>F434</v>
      </c>
      <c r="K465" s="1409" t="str">
        <f t="shared" si="51"/>
        <v>Pricing Schedule</v>
      </c>
      <c r="L465" s="898" t="s">
        <v>1297</v>
      </c>
      <c r="M465" s="1409">
        <v>434</v>
      </c>
      <c r="N465" s="1409"/>
      <c r="O465" s="1408"/>
      <c r="P465" s="1408"/>
      <c r="Q465" s="1408"/>
      <c r="R465" s="1408"/>
      <c r="S465" s="1408"/>
      <c r="T465" s="1408"/>
      <c r="U465" s="1408"/>
      <c r="V465" s="1408"/>
      <c r="W465" s="1408"/>
      <c r="X465" s="1408"/>
      <c r="Y465" s="1408"/>
      <c r="Z465" s="1408"/>
      <c r="AA465" s="1408"/>
    </row>
    <row r="466" spans="1:27" x14ac:dyDescent="0.25">
      <c r="A466" s="930" t="s">
        <v>1298</v>
      </c>
      <c r="B466" s="857" t="str">
        <f ca="1">IF('Pricing Schedule'!$K$5="No",_xlfn.CONCAT(IFERROR(SUBSTITUTE(ADDRESS(1,MATCH(A466,INDIRECT("'"&amp;E466&amp;"'"&amp;"!A10:Z10"),0),4),1,""),""),25),_xlfn.CONCAT(IFERROR(SUBSTITUTE(ADDRESS(1,MATCH(A466,INDIRECT("'"&amp;E466&amp;"'"&amp;"!A10:Z10"),0),4),1,""),""),59))</f>
        <v>J25</v>
      </c>
      <c r="C466" s="857" t="str">
        <f ca="1">IF('Pricing Schedule'!$K$5="No",IFERROR(SUBSTITUTE(ADDRESS(1,MATCH(A466,INDIRECT("'"&amp;E466&amp;"'"&amp;"!A10:Z10"),0),4),1,""),""),IFERROR(SUBSTITUTE(ADDRESS(1,MATCH(A466,INDIRECT("'"&amp;E466&amp;"'"&amp;"!A10:Z10"),0),4),1,""),""))</f>
        <v>J</v>
      </c>
      <c r="D466" s="859" t="s">
        <v>1374</v>
      </c>
      <c r="E466" s="859" t="s">
        <v>1291</v>
      </c>
      <c r="F466" s="1422"/>
      <c r="G466" s="1409"/>
      <c r="H466" s="1409"/>
      <c r="I466" s="857" t="str">
        <f t="shared" si="50"/>
        <v>Min CS Markup Amt</v>
      </c>
      <c r="J466" s="1409" t="str">
        <f t="shared" si="52"/>
        <v>F435</v>
      </c>
      <c r="K466" s="1409" t="str">
        <f t="shared" si="51"/>
        <v>Pricing Schedule</v>
      </c>
      <c r="L466" s="898" t="s">
        <v>1298</v>
      </c>
      <c r="M466" s="1409">
        <v>435</v>
      </c>
      <c r="N466" s="1409"/>
      <c r="O466" s="1408"/>
      <c r="P466" s="1408"/>
      <c r="Q466" s="1408"/>
      <c r="R466" s="1408"/>
      <c r="S466" s="1408"/>
      <c r="T466" s="1408"/>
      <c r="U466" s="1408"/>
      <c r="V466" s="1408"/>
      <c r="W466" s="1408"/>
      <c r="X466" s="1408"/>
      <c r="Y466" s="1408"/>
      <c r="Z466" s="1408"/>
      <c r="AA466" s="1408"/>
    </row>
    <row r="467" spans="1:27" x14ac:dyDescent="0.25">
      <c r="A467" s="930" t="s">
        <v>1299</v>
      </c>
      <c r="B467" s="857" t="str">
        <f ca="1">IF('Pricing Schedule'!$K$5="No",_xlfn.CONCAT(IFERROR(SUBSTITUTE(ADDRESS(1,MATCH(A467,INDIRECT("'"&amp;E467&amp;"'"&amp;"!A10:Z10"),0),4),1,""),""),25),_xlfn.CONCAT(IFERROR(SUBSTITUTE(ADDRESS(1,MATCH(A467,INDIRECT("'"&amp;E467&amp;"'"&amp;"!A10:Z10"),0),4),1,""),""),59))</f>
        <v>K25</v>
      </c>
      <c r="C467" s="857" t="str">
        <f ca="1">IF('Pricing Schedule'!$K$5="No",IFERROR(SUBSTITUTE(ADDRESS(1,MATCH(A467,INDIRECT("'"&amp;E467&amp;"'"&amp;"!A10:Z10"),0),4),1,""),""),IFERROR(SUBSTITUTE(ADDRESS(1,MATCH(A467,INDIRECT("'"&amp;E467&amp;"'"&amp;"!A10:Z10"),0),4),1,""),""))</f>
        <v>K</v>
      </c>
      <c r="D467" s="859" t="s">
        <v>1374</v>
      </c>
      <c r="E467" s="859" t="s">
        <v>1291</v>
      </c>
      <c r="F467" s="1422"/>
      <c r="G467" s="1409"/>
      <c r="H467" s="1409"/>
      <c r="I467" s="857" t="str">
        <f t="shared" si="50"/>
        <v>Split Case Fee Override Flag</v>
      </c>
      <c r="J467" s="1409" t="str">
        <f t="shared" si="52"/>
        <v>F436</v>
      </c>
      <c r="K467" s="1409" t="str">
        <f t="shared" si="51"/>
        <v>Pricing Schedule</v>
      </c>
      <c r="L467" s="898" t="s">
        <v>1299</v>
      </c>
      <c r="M467" s="1409">
        <v>436</v>
      </c>
      <c r="N467" s="1409"/>
      <c r="O467" s="1408"/>
      <c r="P467" s="1408"/>
      <c r="Q467" s="1408"/>
      <c r="R467" s="1408"/>
      <c r="S467" s="1408"/>
      <c r="T467" s="1408"/>
      <c r="U467" s="1408"/>
      <c r="V467" s="1408"/>
      <c r="W467" s="1408"/>
      <c r="X467" s="1408"/>
      <c r="Y467" s="1408"/>
      <c r="Z467" s="1408"/>
      <c r="AA467" s="1408"/>
    </row>
    <row r="468" spans="1:27" x14ac:dyDescent="0.25">
      <c r="A468" s="930" t="s">
        <v>1300</v>
      </c>
      <c r="B468" s="857" t="str">
        <f ca="1">IF('Pricing Schedule'!$K$5="No",_xlfn.CONCAT(IFERROR(SUBSTITUTE(ADDRESS(1,MATCH(A468,INDIRECT("'"&amp;E468&amp;"'"&amp;"!A10:Z10"),0),4),1,""),""),25),_xlfn.CONCAT(IFERROR(SUBSTITUTE(ADDRESS(1,MATCH(A468,INDIRECT("'"&amp;E468&amp;"'"&amp;"!A10:Z10"),0),4),1,""),""),59))</f>
        <v>L25</v>
      </c>
      <c r="C468" s="857" t="str">
        <f ca="1">IF('Pricing Schedule'!$K$5="No",IFERROR(SUBSTITUTE(ADDRESS(1,MATCH(A468,INDIRECT("'"&amp;E468&amp;"'"&amp;"!A10:Z10"),0),4),1,""),""),IFERROR(SUBSTITUTE(ADDRESS(1,MATCH(A468,INDIRECT("'"&amp;E468&amp;"'"&amp;"!A10:Z10"),0),4),1,""),""))</f>
        <v>L</v>
      </c>
      <c r="D468" s="859" t="s">
        <v>1374</v>
      </c>
      <c r="E468" s="859" t="s">
        <v>1291</v>
      </c>
      <c r="F468" s="1422"/>
      <c r="G468" s="1409"/>
      <c r="H468" s="1409"/>
      <c r="I468" s="857" t="str">
        <f t="shared" si="50"/>
        <v>Split Case Fee</v>
      </c>
      <c r="J468" s="1409" t="str">
        <f t="shared" si="52"/>
        <v>F437</v>
      </c>
      <c r="K468" s="1409" t="str">
        <f t="shared" si="51"/>
        <v>Pricing Schedule</v>
      </c>
      <c r="L468" s="898" t="s">
        <v>1300</v>
      </c>
      <c r="M468" s="1409">
        <v>437</v>
      </c>
      <c r="N468" s="1409"/>
      <c r="O468" s="1408"/>
      <c r="P468" s="1408"/>
      <c r="Q468" s="1408"/>
      <c r="R468" s="1408"/>
      <c r="S468" s="1408"/>
      <c r="T468" s="1408"/>
      <c r="U468" s="1408"/>
      <c r="V468" s="1408"/>
      <c r="W468" s="1408"/>
      <c r="X468" s="1408"/>
      <c r="Y468" s="1408"/>
      <c r="Z468" s="1408"/>
      <c r="AA468" s="1408"/>
    </row>
    <row r="469" spans="1:27" x14ac:dyDescent="0.25">
      <c r="A469" s="930" t="s">
        <v>1238</v>
      </c>
      <c r="B469" s="857" t="str">
        <f ca="1">IF('Pricing Schedule'!$K$5="No",_xlfn.CONCAT(IFERROR(SUBSTITUTE(ADDRESS(1,MATCH(A469,INDIRECT("'"&amp;E469&amp;"'"&amp;"!A10:Z10"),0),4),1,""),""),25),_xlfn.CONCAT(IFERROR(SUBSTITUTE(ADDRESS(1,MATCH(A469,INDIRECT("'"&amp;E469&amp;"'"&amp;"!A10:Z10"),0),4),1,""),""),59))</f>
        <v>M25</v>
      </c>
      <c r="C469" s="857" t="str">
        <f ca="1">IF('Pricing Schedule'!$K$5="No",IFERROR(SUBSTITUTE(ADDRESS(1,MATCH(A469,INDIRECT("'"&amp;E469&amp;"'"&amp;"!A10:Z10"),0),4),1,""),""),IFERROR(SUBSTITUTE(ADDRESS(1,MATCH(A469,INDIRECT("'"&amp;E469&amp;"'"&amp;"!A10:Z10"),0),4),1,""),""))</f>
        <v>M</v>
      </c>
      <c r="D469" s="859" t="s">
        <v>1374</v>
      </c>
      <c r="E469" s="859" t="s">
        <v>1291</v>
      </c>
      <c r="F469" s="1422"/>
      <c r="G469" s="1409"/>
      <c r="H469" s="1409"/>
      <c r="I469" s="857" t="str">
        <f t="shared" si="50"/>
        <v>Split Case Per</v>
      </c>
      <c r="J469" s="1409" t="str">
        <f t="shared" si="52"/>
        <v>F438</v>
      </c>
      <c r="K469" s="1409" t="str">
        <f t="shared" si="51"/>
        <v>Pricing Schedule</v>
      </c>
      <c r="L469" s="898" t="s">
        <v>1238</v>
      </c>
      <c r="M469" s="1409">
        <v>438</v>
      </c>
      <c r="N469" s="1409"/>
      <c r="O469" s="1408"/>
      <c r="P469" s="1408"/>
      <c r="Q469" s="1408"/>
      <c r="R469" s="1408"/>
      <c r="S469" s="1408"/>
      <c r="T469" s="1408"/>
      <c r="U469" s="1408"/>
      <c r="V469" s="1408"/>
      <c r="W469" s="1408"/>
      <c r="X469" s="1408"/>
      <c r="Y469" s="1408"/>
      <c r="Z469" s="1408"/>
      <c r="AA469" s="1408"/>
    </row>
    <row r="470" spans="1:27" x14ac:dyDescent="0.25">
      <c r="A470" s="925" t="s">
        <v>1301</v>
      </c>
      <c r="B470" s="857" t="str">
        <f ca="1">IF('Pricing Schedule'!$K$5="No",_xlfn.CONCAT(IFERROR(SUBSTITUTE(ADDRESS(1,MATCH(A470,INDIRECT("'"&amp;E470&amp;"'"&amp;"!A10:Z10"),0),4),1,""),""),26),_xlfn.CONCAT(IFERROR(SUBSTITUTE(ADDRESS(1,MATCH(A470,INDIRECT("'"&amp;E470&amp;"'"&amp;"!A10:Z10"),0),4),1,""),""),60))</f>
        <v>N26</v>
      </c>
      <c r="C470" s="857" t="str">
        <f ca="1">IF('Pricing Schedule'!$K$5="No",IFERROR(SUBSTITUTE(ADDRESS(1,MATCH(A470,INDIRECT("'"&amp;E470&amp;"'"&amp;"!A10:Z10"),0),4),1,""),""),IFERROR(SUBSTITUTE(ADDRESS(1,MATCH(A470,INDIRECT("'"&amp;E470&amp;"'"&amp;"!A10:Z10"),0),4),1,""),""))</f>
        <v>N</v>
      </c>
      <c r="D470" s="859" t="s">
        <v>1374</v>
      </c>
      <c r="E470" s="859" t="s">
        <v>1291</v>
      </c>
      <c r="F470" s="1409"/>
      <c r="G470" s="1409"/>
      <c r="H470" s="1409"/>
      <c r="I470" s="857" t="str">
        <f t="shared" si="50"/>
        <v/>
      </c>
      <c r="J470" s="1409"/>
      <c r="K470" s="1409" t="str">
        <f t="shared" si="51"/>
        <v/>
      </c>
      <c r="L470" s="898" t="s">
        <v>1301</v>
      </c>
      <c r="M470" s="1409">
        <v>439</v>
      </c>
      <c r="N470" s="1409"/>
      <c r="O470" s="1408"/>
      <c r="P470" s="1408"/>
      <c r="Q470" s="1408"/>
      <c r="R470" s="1408"/>
      <c r="S470" s="1408"/>
      <c r="T470" s="1408"/>
      <c r="U470" s="1408"/>
      <c r="V470" s="1408"/>
      <c r="W470" s="1408"/>
      <c r="X470" s="1408"/>
      <c r="Y470" s="1408"/>
      <c r="Z470" s="1408"/>
      <c r="AA470" s="1408"/>
    </row>
    <row r="471" spans="1:27" x14ac:dyDescent="0.25">
      <c r="A471" s="926" t="s">
        <v>1292</v>
      </c>
      <c r="B471" s="857" t="str">
        <f ca="1">IF('Pricing Schedule'!$K$5="No",_xlfn.CONCAT(IFERROR(SUBSTITUTE(ADDRESS(1,MATCH(A471,INDIRECT("'"&amp;E471&amp;"'"&amp;"!A10:Z10"),0),4),1,""),""),26),_xlfn.CONCAT(IFERROR(SUBSTITUTE(ADDRESS(1,MATCH(A471,INDIRECT("'"&amp;E471&amp;"'"&amp;"!A10:Z10"),0),4),1,""),""),60))</f>
        <v>C26</v>
      </c>
      <c r="C471" s="857" t="str">
        <f ca="1">IF('Pricing Schedule'!$K$5="No",IFERROR(SUBSTITUTE(ADDRESS(1,MATCH(A471,INDIRECT("'"&amp;E471&amp;"'"&amp;"!A10:Z10"),0),4),1,""),""),IFERROR(SUBSTITUTE(ADDRESS(1,MATCH(A471,INDIRECT("'"&amp;E471&amp;"'"&amp;"!A10:Z10"),0),4),1,""),""))</f>
        <v>C</v>
      </c>
      <c r="D471" s="859" t="s">
        <v>1374</v>
      </c>
      <c r="E471" s="859" t="s">
        <v>1291</v>
      </c>
      <c r="F471" s="1409"/>
      <c r="G471" s="1409"/>
      <c r="H471" s="1409"/>
      <c r="I471" s="857" t="str">
        <f t="shared" si="50"/>
        <v/>
      </c>
      <c r="J471" s="1409"/>
      <c r="K471" s="1409" t="str">
        <f t="shared" si="51"/>
        <v/>
      </c>
      <c r="L471" s="898" t="s">
        <v>252</v>
      </c>
      <c r="M471" s="1409">
        <v>440</v>
      </c>
      <c r="N471" s="1409"/>
      <c r="O471" s="1408"/>
      <c r="P471" s="1408"/>
      <c r="Q471" s="1408"/>
      <c r="R471" s="1408"/>
      <c r="S471" s="1408"/>
      <c r="T471" s="1408"/>
      <c r="U471" s="1408"/>
      <c r="V471" s="1408"/>
      <c r="W471" s="1408"/>
      <c r="X471" s="1408"/>
      <c r="Y471" s="1408"/>
      <c r="Z471" s="1408"/>
      <c r="AA471" s="1408"/>
    </row>
    <row r="472" spans="1:27" x14ac:dyDescent="0.25">
      <c r="A472" s="926" t="s">
        <v>1257</v>
      </c>
      <c r="B472" s="857" t="str">
        <f ca="1">IF('Pricing Schedule'!$K$5="No",_xlfn.CONCAT(IFERROR(SUBSTITUTE(ADDRESS(1,MATCH(A472,INDIRECT("'"&amp;E472&amp;"'"&amp;"!A10:Z10"),0),4),1,""),""),26),_xlfn.CONCAT(IFERROR(SUBSTITUTE(ADDRESS(1,MATCH(A472,INDIRECT("'"&amp;E472&amp;"'"&amp;"!A10:Z10"),0),4),1,""),""),60))</f>
        <v>H26</v>
      </c>
      <c r="C472" s="857" t="str">
        <f ca="1">IF('Pricing Schedule'!$K$5="No",IFERROR(SUBSTITUTE(ADDRESS(1,MATCH(A472,INDIRECT("'"&amp;E472&amp;"'"&amp;"!A10:Z10"),0),4),1,""),""),IFERROR(SUBSTITUTE(ADDRESS(1,MATCH(A472,INDIRECT("'"&amp;E472&amp;"'"&amp;"!A10:Z10"),0),4),1,""),""))</f>
        <v>H</v>
      </c>
      <c r="D472" s="859" t="s">
        <v>1374</v>
      </c>
      <c r="E472" s="859" t="s">
        <v>1291</v>
      </c>
      <c r="F472" s="1409"/>
      <c r="G472" s="1409"/>
      <c r="H472" s="1409"/>
      <c r="I472" s="857" t="str">
        <f t="shared" si="50"/>
        <v/>
      </c>
      <c r="J472" s="1409"/>
      <c r="K472" s="1409" t="str">
        <f t="shared" si="51"/>
        <v/>
      </c>
      <c r="L472" s="898" t="s">
        <v>1257</v>
      </c>
      <c r="M472" s="1409">
        <v>441</v>
      </c>
      <c r="N472" s="1409"/>
      <c r="O472" s="1408"/>
      <c r="P472" s="1408"/>
      <c r="Q472" s="1408"/>
      <c r="R472" s="1408"/>
      <c r="S472" s="1408"/>
      <c r="T472" s="1408"/>
      <c r="U472" s="1408"/>
      <c r="V472" s="1408"/>
      <c r="W472" s="1408"/>
      <c r="X472" s="1408"/>
      <c r="Y472" s="1408"/>
      <c r="Z472" s="1408"/>
      <c r="AA472" s="1408"/>
    </row>
    <row r="473" spans="1:27" x14ac:dyDescent="0.25">
      <c r="A473" s="926" t="s">
        <v>1295</v>
      </c>
      <c r="B473" s="857" t="str">
        <f ca="1">IF('Pricing Schedule'!$K$5="No",_xlfn.CONCAT(IFERROR(SUBSTITUTE(ADDRESS(1,MATCH(A473,INDIRECT("'"&amp;E473&amp;"'"&amp;"!A10:Z10"),0),4),1,""),""),26),_xlfn.CONCAT(IFERROR(SUBSTITUTE(ADDRESS(1,MATCH(A473,INDIRECT("'"&amp;E473&amp;"'"&amp;"!A10:Z10"),0),4),1,""),""),60))</f>
        <v>F26</v>
      </c>
      <c r="C473" s="857" t="str">
        <f ca="1">IF('Pricing Schedule'!$K$5="No",IFERROR(SUBSTITUTE(ADDRESS(1,MATCH(A473,INDIRECT("'"&amp;E473&amp;"'"&amp;"!A10:Z10"),0),4),1,""),""),IFERROR(SUBSTITUTE(ADDRESS(1,MATCH(A473,INDIRECT("'"&amp;E473&amp;"'"&amp;"!A10:Z10"),0),4),1,""),""))</f>
        <v>F</v>
      </c>
      <c r="D473" s="859" t="s">
        <v>1374</v>
      </c>
      <c r="E473" s="859" t="s">
        <v>1291</v>
      </c>
      <c r="F473" s="1409"/>
      <c r="G473" s="1409"/>
      <c r="H473" s="1409"/>
      <c r="I473" s="857" t="str">
        <f t="shared" si="50"/>
        <v/>
      </c>
      <c r="J473" s="1409"/>
      <c r="K473" s="1409" t="str">
        <f t="shared" si="51"/>
        <v/>
      </c>
      <c r="L473" s="898" t="s">
        <v>225</v>
      </c>
      <c r="M473" s="1409">
        <v>442</v>
      </c>
      <c r="N473" s="1409"/>
      <c r="O473" s="1408"/>
      <c r="P473" s="1408"/>
      <c r="Q473" s="1408"/>
      <c r="R473" s="1408"/>
      <c r="S473" s="1408"/>
      <c r="T473" s="1408"/>
      <c r="U473" s="1408"/>
      <c r="V473" s="1408"/>
      <c r="W473" s="1408"/>
      <c r="X473" s="1408"/>
      <c r="Y473" s="1408"/>
      <c r="Z473" s="1408"/>
      <c r="AA473" s="1408"/>
    </row>
    <row r="474" spans="1:27" x14ac:dyDescent="0.25">
      <c r="A474" s="927" t="s">
        <v>463</v>
      </c>
      <c r="B474" s="857" t="str">
        <f ca="1">_xlfn.CONCAT(IFERROR(SUBSTITUTE(ADDRESS(1,MATCH(A474,INDIRECT("'"&amp;E474&amp;"'"&amp;"!A9:Z9"),0),4),1,""),""),26)</f>
        <v>E26</v>
      </c>
      <c r="C474" s="857" t="str">
        <f ca="1">_xlfn.CONCAT(IFERROR(SUBSTITUTE(ADDRESS(1,MATCH(A474,INDIRECT("'"&amp;E474&amp;"'"&amp;"!A9:Z9"),0),4),1,""),""))</f>
        <v>E</v>
      </c>
      <c r="D474" s="1174" t="s">
        <v>1374</v>
      </c>
      <c r="E474" s="859" t="s">
        <v>208</v>
      </c>
      <c r="F474" s="1409"/>
      <c r="G474" s="1409"/>
      <c r="H474" s="1409"/>
      <c r="I474" s="857" t="str">
        <f t="shared" si="50"/>
        <v>Exclude PIM Classes Below</v>
      </c>
      <c r="J474" s="1409" t="str">
        <f t="shared" si="52"/>
        <v>F443</v>
      </c>
      <c r="K474" s="1409" t="str">
        <f t="shared" si="51"/>
        <v>PIM Model</v>
      </c>
      <c r="L474" s="898" t="s">
        <v>463</v>
      </c>
      <c r="M474" s="1409">
        <v>443</v>
      </c>
      <c r="N474" s="1409"/>
      <c r="O474" s="1408"/>
      <c r="P474" s="1408"/>
      <c r="Q474" s="1408"/>
      <c r="R474" s="1408"/>
      <c r="S474" s="1408"/>
      <c r="T474" s="1408"/>
      <c r="U474" s="1408"/>
      <c r="V474" s="1408"/>
      <c r="W474" s="1408"/>
      <c r="X474" s="1408"/>
      <c r="Y474" s="1408"/>
      <c r="Z474" s="1408"/>
      <c r="AA474" s="1408"/>
    </row>
    <row r="475" spans="1:27" x14ac:dyDescent="0.25">
      <c r="A475" s="927" t="s">
        <v>1294</v>
      </c>
      <c r="B475" s="857" t="str">
        <f ca="1">IF('Pricing Schedule'!$K$5="No",_xlfn.CONCAT(IFERROR(SUBSTITUTE(ADDRESS(1,MATCH(A475,INDIRECT("'"&amp;E475&amp;"'"&amp;"!A10:Z10"),0),4),1,""),""),26),_xlfn.CONCAT(IFERROR(SUBSTITUTE(ADDRESS(1,MATCH(A475,INDIRECT("'"&amp;E475&amp;"'"&amp;"!A10:Z10"),0),4),1,""),""),60))</f>
        <v>E26</v>
      </c>
      <c r="C475" s="857" t="str">
        <f ca="1">IF('Pricing Schedule'!$K$5="No",IFERROR(SUBSTITUTE(ADDRESS(1,MATCH(A475,INDIRECT("'"&amp;E475&amp;"'"&amp;"!A10:Z10"),0),4),1,""),""),IFERROR(SUBSTITUTE(ADDRESS(1,MATCH(A475,INDIRECT("'"&amp;E475&amp;"'"&amp;"!A10:Z10"),0),4),1,""),""))</f>
        <v>E</v>
      </c>
      <c r="D475" s="859" t="s">
        <v>1374</v>
      </c>
      <c r="E475" s="859" t="s">
        <v>1291</v>
      </c>
      <c r="F475" s="1409"/>
      <c r="G475" s="1409"/>
      <c r="H475" s="1409"/>
      <c r="I475" s="857" t="str">
        <f t="shared" si="50"/>
        <v>Special Pricing Code</v>
      </c>
      <c r="J475" s="1409" t="str">
        <f t="shared" si="52"/>
        <v>F444</v>
      </c>
      <c r="K475" s="1409" t="str">
        <f t="shared" si="51"/>
        <v>Pricing Schedule</v>
      </c>
      <c r="L475" s="898" t="s">
        <v>1294</v>
      </c>
      <c r="M475" s="1409">
        <v>444</v>
      </c>
      <c r="N475" s="1409"/>
      <c r="O475" s="1408"/>
      <c r="P475" s="1408"/>
      <c r="Q475" s="1408"/>
      <c r="R475" s="1408"/>
      <c r="S475" s="1408"/>
      <c r="T475" s="1408"/>
      <c r="U475" s="1408"/>
      <c r="V475" s="1408"/>
      <c r="W475" s="1408"/>
      <c r="X475" s="1408"/>
      <c r="Y475" s="1408"/>
      <c r="Z475" s="1408"/>
      <c r="AA475" s="1408"/>
    </row>
    <row r="476" spans="1:27" x14ac:dyDescent="0.25">
      <c r="A476" s="927" t="s">
        <v>1296</v>
      </c>
      <c r="B476" s="857" t="str">
        <f ca="1">IF('Pricing Schedule'!$K$5="No",_xlfn.CONCAT(IFERROR(SUBSTITUTE(ADDRESS(1,MATCH(A476,INDIRECT("'"&amp;E476&amp;"'"&amp;"!A10:Z10"),0),4),1,""),""),26),_xlfn.CONCAT(IFERROR(SUBSTITUTE(ADDRESS(1,MATCH(A476,INDIRECT("'"&amp;E476&amp;"'"&amp;"!A10:Z10"),0),4),1,""),""),60))</f>
        <v>G26</v>
      </c>
      <c r="C476" s="857" t="str">
        <f ca="1">IF('Pricing Schedule'!$K$5="No",IFERROR(SUBSTITUTE(ADDRESS(1,MATCH(A476,INDIRECT("'"&amp;E476&amp;"'"&amp;"!A10:Z10"),0),4),1,""),""),IFERROR(SUBSTITUTE(ADDRESS(1,MATCH(A476,INDIRECT("'"&amp;E476&amp;"'"&amp;"!A10:Z10"),0),4),1,""),""))</f>
        <v>G</v>
      </c>
      <c r="D476" s="859" t="s">
        <v>1374</v>
      </c>
      <c r="E476" s="859" t="s">
        <v>1291</v>
      </c>
      <c r="F476" s="1422"/>
      <c r="G476" s="1409"/>
      <c r="H476" s="1409"/>
      <c r="I476" s="857" t="str">
        <f t="shared" si="50"/>
        <v>EB Markup Amt</v>
      </c>
      <c r="J476" s="1409" t="str">
        <f t="shared" si="52"/>
        <v>F445</v>
      </c>
      <c r="K476" s="1409" t="str">
        <f t="shared" si="51"/>
        <v>Pricing Schedule</v>
      </c>
      <c r="L476" s="898" t="s">
        <v>1296</v>
      </c>
      <c r="M476" s="1409">
        <v>445</v>
      </c>
      <c r="N476" s="1409"/>
      <c r="O476" s="1408"/>
      <c r="P476" s="1408"/>
      <c r="Q476" s="1408"/>
      <c r="R476" s="1408"/>
      <c r="S476" s="1408"/>
      <c r="T476" s="1408"/>
      <c r="U476" s="1408"/>
      <c r="V476" s="1408"/>
      <c r="W476" s="1408"/>
      <c r="X476" s="1408"/>
      <c r="Y476" s="1408"/>
      <c r="Z476" s="1408"/>
      <c r="AA476" s="1408"/>
    </row>
    <row r="477" spans="1:27" x14ac:dyDescent="0.25">
      <c r="A477" s="927" t="s">
        <v>1297</v>
      </c>
      <c r="B477" s="857" t="str">
        <f ca="1">IF('Pricing Schedule'!$K$5="No",_xlfn.CONCAT(IFERROR(SUBSTITUTE(ADDRESS(1,MATCH(A477,INDIRECT("'"&amp;E477&amp;"'"&amp;"!A10:Z10"),0),4),1,""),""),26),_xlfn.CONCAT(IFERROR(SUBSTITUTE(ADDRESS(1,MATCH(A477,INDIRECT("'"&amp;E477&amp;"'"&amp;"!A10:Z10"),0),4),1,""),""),60))</f>
        <v>I26</v>
      </c>
      <c r="C477" s="857" t="str">
        <f ca="1">IF('Pricing Schedule'!$K$5="No",IFERROR(SUBSTITUTE(ADDRESS(1,MATCH(A477,INDIRECT("'"&amp;E477&amp;"'"&amp;"!A10:Z10"),0),4),1,""),""),IFERROR(SUBSTITUTE(ADDRESS(1,MATCH(A477,INDIRECT("'"&amp;E477&amp;"'"&amp;"!A10:Z10"),0),4),1,""),""))</f>
        <v>I</v>
      </c>
      <c r="D477" s="859" t="s">
        <v>1374</v>
      </c>
      <c r="E477" s="859" t="s">
        <v>1291</v>
      </c>
      <c r="F477" s="1422"/>
      <c r="G477" s="1409"/>
      <c r="H477" s="1409"/>
      <c r="I477" s="857" t="str">
        <f t="shared" si="50"/>
        <v>Min CS Markup Override Flag</v>
      </c>
      <c r="J477" s="1409" t="str">
        <f t="shared" si="52"/>
        <v>F446</v>
      </c>
      <c r="K477" s="1409" t="str">
        <f t="shared" si="51"/>
        <v>Pricing Schedule</v>
      </c>
      <c r="L477" s="898" t="s">
        <v>1297</v>
      </c>
      <c r="M477" s="1409">
        <v>446</v>
      </c>
      <c r="N477" s="1409"/>
      <c r="O477" s="1408"/>
      <c r="P477" s="1408"/>
      <c r="Q477" s="1408"/>
      <c r="R477" s="1408"/>
      <c r="S477" s="1408"/>
      <c r="T477" s="1408"/>
      <c r="U477" s="1408"/>
      <c r="V477" s="1408"/>
      <c r="W477" s="1408"/>
      <c r="X477" s="1408"/>
      <c r="Y477" s="1408"/>
      <c r="Z477" s="1408"/>
      <c r="AA477" s="1408"/>
    </row>
    <row r="478" spans="1:27" x14ac:dyDescent="0.25">
      <c r="A478" s="927" t="s">
        <v>1298</v>
      </c>
      <c r="B478" s="857" t="str">
        <f ca="1">IF('Pricing Schedule'!$K$5="No",_xlfn.CONCAT(IFERROR(SUBSTITUTE(ADDRESS(1,MATCH(A478,INDIRECT("'"&amp;E478&amp;"'"&amp;"!A10:Z10"),0),4),1,""),""),26),_xlfn.CONCAT(IFERROR(SUBSTITUTE(ADDRESS(1,MATCH(A478,INDIRECT("'"&amp;E478&amp;"'"&amp;"!A10:Z10"),0),4),1,""),""),60))</f>
        <v>J26</v>
      </c>
      <c r="C478" s="857" t="str">
        <f ca="1">IF('Pricing Schedule'!$K$5="No",IFERROR(SUBSTITUTE(ADDRESS(1,MATCH(A478,INDIRECT("'"&amp;E478&amp;"'"&amp;"!A10:Z10"),0),4),1,""),""),IFERROR(SUBSTITUTE(ADDRESS(1,MATCH(A478,INDIRECT("'"&amp;E478&amp;"'"&amp;"!A10:Z10"),0),4),1,""),""))</f>
        <v>J</v>
      </c>
      <c r="D478" s="859" t="s">
        <v>1374</v>
      </c>
      <c r="E478" s="859" t="s">
        <v>1291</v>
      </c>
      <c r="F478" s="1422"/>
      <c r="G478" s="1409"/>
      <c r="H478" s="1409"/>
      <c r="I478" s="857" t="str">
        <f t="shared" si="50"/>
        <v>Min CS Markup Amt</v>
      </c>
      <c r="J478" s="1409" t="str">
        <f t="shared" si="52"/>
        <v>F447</v>
      </c>
      <c r="K478" s="1409" t="str">
        <f t="shared" si="51"/>
        <v>Pricing Schedule</v>
      </c>
      <c r="L478" s="898" t="s">
        <v>1298</v>
      </c>
      <c r="M478" s="1409">
        <v>447</v>
      </c>
      <c r="N478" s="1409"/>
      <c r="O478" s="1408"/>
      <c r="P478" s="1408"/>
      <c r="Q478" s="1408"/>
      <c r="R478" s="1408"/>
      <c r="S478" s="1408"/>
      <c r="T478" s="1408"/>
      <c r="U478" s="1408"/>
      <c r="V478" s="1408"/>
      <c r="W478" s="1408"/>
      <c r="X478" s="1408"/>
      <c r="Y478" s="1408"/>
      <c r="Z478" s="1408"/>
      <c r="AA478" s="1408"/>
    </row>
    <row r="479" spans="1:27" x14ac:dyDescent="0.25">
      <c r="A479" s="927" t="s">
        <v>1299</v>
      </c>
      <c r="B479" s="857" t="str">
        <f ca="1">IF('Pricing Schedule'!$K$5="No",_xlfn.CONCAT(IFERROR(SUBSTITUTE(ADDRESS(1,MATCH(A479,INDIRECT("'"&amp;E479&amp;"'"&amp;"!A10:Z10"),0),4),1,""),""),26),_xlfn.CONCAT(IFERROR(SUBSTITUTE(ADDRESS(1,MATCH(A479,INDIRECT("'"&amp;E479&amp;"'"&amp;"!A10:Z10"),0),4),1,""),""),60))</f>
        <v>K26</v>
      </c>
      <c r="C479" s="857" t="str">
        <f ca="1">IF('Pricing Schedule'!$K$5="No",IFERROR(SUBSTITUTE(ADDRESS(1,MATCH(A479,INDIRECT("'"&amp;E479&amp;"'"&amp;"!A10:Z10"),0),4),1,""),""),IFERROR(SUBSTITUTE(ADDRESS(1,MATCH(A479,INDIRECT("'"&amp;E479&amp;"'"&amp;"!A10:Z10"),0),4),1,""),""))</f>
        <v>K</v>
      </c>
      <c r="D479" s="859" t="s">
        <v>1374</v>
      </c>
      <c r="E479" s="859" t="s">
        <v>1291</v>
      </c>
      <c r="F479" s="1422"/>
      <c r="G479" s="1409"/>
      <c r="H479" s="1409"/>
      <c r="I479" s="857" t="str">
        <f t="shared" si="50"/>
        <v>Split Case Fee Override Flag</v>
      </c>
      <c r="J479" s="1409" t="str">
        <f t="shared" si="52"/>
        <v>F448</v>
      </c>
      <c r="K479" s="1409" t="str">
        <f t="shared" si="51"/>
        <v>Pricing Schedule</v>
      </c>
      <c r="L479" s="898" t="s">
        <v>1299</v>
      </c>
      <c r="M479" s="1409">
        <v>448</v>
      </c>
      <c r="N479" s="1409"/>
      <c r="O479" s="1408"/>
      <c r="P479" s="1408"/>
      <c r="Q479" s="1408"/>
      <c r="R479" s="1408"/>
      <c r="S479" s="1408"/>
      <c r="T479" s="1408"/>
      <c r="U479" s="1408"/>
      <c r="V479" s="1408"/>
      <c r="W479" s="1408"/>
      <c r="X479" s="1408"/>
      <c r="Y479" s="1408"/>
      <c r="Z479" s="1408"/>
      <c r="AA479" s="1408"/>
    </row>
    <row r="480" spans="1:27" x14ac:dyDescent="0.25">
      <c r="A480" s="927" t="s">
        <v>1300</v>
      </c>
      <c r="B480" s="857" t="str">
        <f ca="1">IF('Pricing Schedule'!$K$5="No",_xlfn.CONCAT(IFERROR(SUBSTITUTE(ADDRESS(1,MATCH(A480,INDIRECT("'"&amp;E480&amp;"'"&amp;"!A10:Z10"),0),4),1,""),""),26),_xlfn.CONCAT(IFERROR(SUBSTITUTE(ADDRESS(1,MATCH(A480,INDIRECT("'"&amp;E480&amp;"'"&amp;"!A10:Z10"),0),4),1,""),""),60))</f>
        <v>L26</v>
      </c>
      <c r="C480" s="857" t="str">
        <f ca="1">IF('Pricing Schedule'!$K$5="No",IFERROR(SUBSTITUTE(ADDRESS(1,MATCH(A480,INDIRECT("'"&amp;E480&amp;"'"&amp;"!A10:Z10"),0),4),1,""),""),IFERROR(SUBSTITUTE(ADDRESS(1,MATCH(A480,INDIRECT("'"&amp;E480&amp;"'"&amp;"!A10:Z10"),0),4),1,""),""))</f>
        <v>L</v>
      </c>
      <c r="D480" s="859" t="s">
        <v>1374</v>
      </c>
      <c r="E480" s="859" t="s">
        <v>1291</v>
      </c>
      <c r="F480" s="1422"/>
      <c r="G480" s="1409"/>
      <c r="H480" s="1409"/>
      <c r="I480" s="857" t="str">
        <f t="shared" si="50"/>
        <v>Split Case Fee</v>
      </c>
      <c r="J480" s="1409" t="str">
        <f t="shared" si="52"/>
        <v>F449</v>
      </c>
      <c r="K480" s="1409" t="str">
        <f t="shared" si="51"/>
        <v>Pricing Schedule</v>
      </c>
      <c r="L480" s="898" t="s">
        <v>1300</v>
      </c>
      <c r="M480" s="1409">
        <v>449</v>
      </c>
      <c r="N480" s="1409"/>
      <c r="O480" s="1408"/>
      <c r="P480" s="1408"/>
      <c r="Q480" s="1408"/>
      <c r="R480" s="1408"/>
      <c r="S480" s="1408"/>
      <c r="T480" s="1408"/>
      <c r="U480" s="1408"/>
      <c r="V480" s="1408"/>
      <c r="W480" s="1408"/>
      <c r="X480" s="1408"/>
      <c r="Y480" s="1408"/>
      <c r="Z480" s="1408"/>
      <c r="AA480" s="1408"/>
    </row>
    <row r="481" spans="1:27" x14ac:dyDescent="0.25">
      <c r="A481" s="927" t="s">
        <v>1238</v>
      </c>
      <c r="B481" s="857" t="str">
        <f ca="1">IF('Pricing Schedule'!$K$5="No",_xlfn.CONCAT(IFERROR(SUBSTITUTE(ADDRESS(1,MATCH(A481,INDIRECT("'"&amp;E481&amp;"'"&amp;"!A10:Z10"),0),4),1,""),""),26),_xlfn.CONCAT(IFERROR(SUBSTITUTE(ADDRESS(1,MATCH(A481,INDIRECT("'"&amp;E481&amp;"'"&amp;"!A10:Z10"),0),4),1,""),""),60))</f>
        <v>M26</v>
      </c>
      <c r="C481" s="857" t="str">
        <f ca="1">IF('Pricing Schedule'!$K$5="No",IFERROR(SUBSTITUTE(ADDRESS(1,MATCH(A481,INDIRECT("'"&amp;E481&amp;"'"&amp;"!A10:Z10"),0),4),1,""),""),IFERROR(SUBSTITUTE(ADDRESS(1,MATCH(A481,INDIRECT("'"&amp;E481&amp;"'"&amp;"!A10:Z10"),0),4),1,""),""))</f>
        <v>M</v>
      </c>
      <c r="D481" s="859" t="s">
        <v>1374</v>
      </c>
      <c r="E481" s="859" t="s">
        <v>1291</v>
      </c>
      <c r="F481" s="1422"/>
      <c r="G481" s="1409"/>
      <c r="H481" s="1409"/>
      <c r="I481" s="857" t="str">
        <f t="shared" si="50"/>
        <v>Split Case Per</v>
      </c>
      <c r="J481" s="1409" t="str">
        <f t="shared" si="52"/>
        <v>F450</v>
      </c>
      <c r="K481" s="1409" t="str">
        <f t="shared" si="51"/>
        <v>Pricing Schedule</v>
      </c>
      <c r="L481" s="898" t="s">
        <v>1238</v>
      </c>
      <c r="M481" s="1409">
        <v>450</v>
      </c>
      <c r="N481" s="1409"/>
      <c r="O481" s="1408"/>
      <c r="P481" s="1408"/>
      <c r="Q481" s="1408"/>
      <c r="R481" s="1408"/>
      <c r="S481" s="1408"/>
      <c r="T481" s="1408"/>
      <c r="U481" s="1408"/>
      <c r="V481" s="1408"/>
      <c r="W481" s="1408"/>
      <c r="X481" s="1408"/>
      <c r="Y481" s="1408"/>
      <c r="Z481" s="1408"/>
      <c r="AA481" s="1408"/>
    </row>
    <row r="482" spans="1:27" x14ac:dyDescent="0.25">
      <c r="A482" s="928" t="s">
        <v>1301</v>
      </c>
      <c r="B482" s="857" t="str">
        <f ca="1">IF('Pricing Schedule'!$K$5="No",_xlfn.CONCAT(IFERROR(SUBSTITUTE(ADDRESS(1,MATCH(A482,INDIRECT("'"&amp;E482&amp;"'"&amp;"!A10:Z10"),0),4),1,""),""),21),_xlfn.CONCAT(IFERROR(SUBSTITUTE(ADDRESS(1,MATCH(A482,INDIRECT("'"&amp;E482&amp;"'"&amp;"!A10:Z10"),0),4),1,""),""),55))</f>
        <v>N21</v>
      </c>
      <c r="C482" s="857" t="str">
        <f ca="1">IF('Pricing Schedule'!$K$5="No",IFERROR(SUBSTITUTE(ADDRESS(1,MATCH(A482,INDIRECT("'"&amp;E482&amp;"'"&amp;"!A10:Z10"),0),4),1,""),""),IFERROR(SUBSTITUTE(ADDRESS(1,MATCH(A482,INDIRECT("'"&amp;E482&amp;"'"&amp;"!A10:Z10"),0),4),1,""),""))</f>
        <v>N</v>
      </c>
      <c r="D482" s="859" t="s">
        <v>1374</v>
      </c>
      <c r="E482" s="859" t="s">
        <v>1291</v>
      </c>
      <c r="F482" s="1409"/>
      <c r="G482" s="1409"/>
      <c r="H482" s="1409"/>
      <c r="I482" s="857" t="str">
        <f t="shared" si="50"/>
        <v/>
      </c>
      <c r="J482" s="1409"/>
      <c r="K482" s="1409" t="str">
        <f t="shared" si="51"/>
        <v/>
      </c>
      <c r="L482" s="898" t="s">
        <v>1301</v>
      </c>
      <c r="M482" s="1409">
        <v>451</v>
      </c>
      <c r="N482" s="1409"/>
      <c r="O482" s="1408"/>
      <c r="P482" s="1408"/>
      <c r="Q482" s="1408"/>
      <c r="R482" s="1408"/>
      <c r="S482" s="1408"/>
      <c r="T482" s="1408"/>
      <c r="U482" s="1408"/>
      <c r="V482" s="1408"/>
      <c r="W482" s="1408"/>
      <c r="X482" s="1408"/>
      <c r="Y482" s="1408"/>
      <c r="Z482" s="1408"/>
      <c r="AA482" s="1408"/>
    </row>
    <row r="483" spans="1:27" x14ac:dyDescent="0.25">
      <c r="A483" s="929" t="s">
        <v>1292</v>
      </c>
      <c r="B483" s="857" t="str">
        <f ca="1">IF('Pricing Schedule'!$K$5="No",_xlfn.CONCAT(IFERROR(SUBSTITUTE(ADDRESS(1,MATCH(A483,INDIRECT("'"&amp;E483&amp;"'"&amp;"!A10:Z10"),0),4),1,""),""),21),_xlfn.CONCAT(IFERROR(SUBSTITUTE(ADDRESS(1,MATCH(A483,INDIRECT("'"&amp;E483&amp;"'"&amp;"!A10:Z10"),0),4),1,""),""),55))</f>
        <v>C21</v>
      </c>
      <c r="C483" s="857" t="str">
        <f ca="1">IF('Pricing Schedule'!$K$5="No",IFERROR(SUBSTITUTE(ADDRESS(1,MATCH(A483,INDIRECT("'"&amp;E483&amp;"'"&amp;"!A10:Z10"),0),4),1,""),""),IFERROR(SUBSTITUTE(ADDRESS(1,MATCH(A483,INDIRECT("'"&amp;E483&amp;"'"&amp;"!A10:Z10"),0),4),1,""),""))</f>
        <v>C</v>
      </c>
      <c r="D483" s="859" t="s">
        <v>1374</v>
      </c>
      <c r="E483" s="859" t="s">
        <v>1291</v>
      </c>
      <c r="F483" s="1409"/>
      <c r="G483" s="1409"/>
      <c r="H483" s="1409"/>
      <c r="I483" s="857" t="str">
        <f t="shared" si="50"/>
        <v/>
      </c>
      <c r="J483" s="1409"/>
      <c r="K483" s="1409" t="str">
        <f t="shared" si="51"/>
        <v/>
      </c>
      <c r="L483" s="898" t="s">
        <v>252</v>
      </c>
      <c r="M483" s="1409">
        <v>452</v>
      </c>
      <c r="N483" s="1409"/>
      <c r="O483" s="1408"/>
      <c r="P483" s="1408"/>
      <c r="Q483" s="1408"/>
      <c r="R483" s="1408"/>
      <c r="S483" s="1408"/>
      <c r="T483" s="1408"/>
      <c r="U483" s="1408"/>
      <c r="V483" s="1408"/>
      <c r="W483" s="1408"/>
      <c r="X483" s="1408"/>
      <c r="Y483" s="1408"/>
      <c r="Z483" s="1408"/>
      <c r="AA483" s="1408"/>
    </row>
    <row r="484" spans="1:27" x14ac:dyDescent="0.25">
      <c r="A484" s="929" t="s">
        <v>1257</v>
      </c>
      <c r="B484" s="857" t="str">
        <f ca="1">IF('Pricing Schedule'!$K$5="No",_xlfn.CONCAT(IFERROR(SUBSTITUTE(ADDRESS(1,MATCH(A484,INDIRECT("'"&amp;E484&amp;"'"&amp;"!A10:Z10"),0),4),1,""),""),21),_xlfn.CONCAT(IFERROR(SUBSTITUTE(ADDRESS(1,MATCH(A484,INDIRECT("'"&amp;E484&amp;"'"&amp;"!A10:Z10"),0),4),1,""),""),55))</f>
        <v>H21</v>
      </c>
      <c r="C484" s="857" t="str">
        <f ca="1">IF('Pricing Schedule'!$K$5="No",IFERROR(SUBSTITUTE(ADDRESS(1,MATCH(A484,INDIRECT("'"&amp;E484&amp;"'"&amp;"!A10:Z10"),0),4),1,""),""),IFERROR(SUBSTITUTE(ADDRESS(1,MATCH(A484,INDIRECT("'"&amp;E484&amp;"'"&amp;"!A10:Z10"),0),4),1,""),""))</f>
        <v>H</v>
      </c>
      <c r="D484" s="859" t="s">
        <v>1374</v>
      </c>
      <c r="E484" s="859" t="s">
        <v>1291</v>
      </c>
      <c r="F484" s="1409"/>
      <c r="G484" s="1409"/>
      <c r="H484" s="1409"/>
      <c r="I484" s="857" t="str">
        <f t="shared" si="50"/>
        <v/>
      </c>
      <c r="J484" s="1409"/>
      <c r="K484" s="1409" t="str">
        <f t="shared" si="51"/>
        <v/>
      </c>
      <c r="L484" s="898" t="s">
        <v>1257</v>
      </c>
      <c r="M484" s="1409">
        <v>453</v>
      </c>
      <c r="N484" s="1409"/>
      <c r="O484" s="1408"/>
      <c r="P484" s="1408"/>
      <c r="Q484" s="1408"/>
      <c r="R484" s="1408"/>
      <c r="S484" s="1408"/>
      <c r="T484" s="1408"/>
      <c r="U484" s="1408"/>
      <c r="V484" s="1408"/>
      <c r="W484" s="1408"/>
      <c r="X484" s="1408"/>
      <c r="Y484" s="1408"/>
      <c r="Z484" s="1408"/>
      <c r="AA484" s="1408"/>
    </row>
    <row r="485" spans="1:27" x14ac:dyDescent="0.25">
      <c r="A485" s="929" t="s">
        <v>1295</v>
      </c>
      <c r="B485" s="857" t="str">
        <f ca="1">IF('Pricing Schedule'!$K$5="No",_xlfn.CONCAT(IFERROR(SUBSTITUTE(ADDRESS(1,MATCH(A485,INDIRECT("'"&amp;E485&amp;"'"&amp;"!A10:Z10"),0),4),1,""),""),21),_xlfn.CONCAT(IFERROR(SUBSTITUTE(ADDRESS(1,MATCH(A485,INDIRECT("'"&amp;E485&amp;"'"&amp;"!A10:Z10"),0),4),1,""),""),55))</f>
        <v>F21</v>
      </c>
      <c r="C485" s="857" t="str">
        <f ca="1">IF('Pricing Schedule'!$K$5="No",IFERROR(SUBSTITUTE(ADDRESS(1,MATCH(A485,INDIRECT("'"&amp;E485&amp;"'"&amp;"!A10:Z10"),0),4),1,""),""),IFERROR(SUBSTITUTE(ADDRESS(1,MATCH(A485,INDIRECT("'"&amp;E485&amp;"'"&amp;"!A10:Z10"),0),4),1,""),""))</f>
        <v>F</v>
      </c>
      <c r="D485" s="859" t="s">
        <v>1374</v>
      </c>
      <c r="E485" s="859" t="s">
        <v>1291</v>
      </c>
      <c r="F485" s="1409"/>
      <c r="G485" s="1409"/>
      <c r="H485" s="1409"/>
      <c r="I485" s="857" t="str">
        <f t="shared" si="50"/>
        <v/>
      </c>
      <c r="J485" s="1409"/>
      <c r="K485" s="1409" t="str">
        <f t="shared" si="51"/>
        <v/>
      </c>
      <c r="L485" s="898" t="s">
        <v>225</v>
      </c>
      <c r="M485" s="1409">
        <v>454</v>
      </c>
      <c r="N485" s="1409"/>
      <c r="O485" s="1408"/>
      <c r="P485" s="1408"/>
      <c r="Q485" s="1408"/>
      <c r="R485" s="1408"/>
      <c r="S485" s="1408"/>
      <c r="T485" s="1408"/>
      <c r="U485" s="1408"/>
      <c r="V485" s="1408"/>
      <c r="W485" s="1408"/>
      <c r="X485" s="1408"/>
      <c r="Y485" s="1408"/>
      <c r="Z485" s="1408"/>
      <c r="AA485" s="1408"/>
    </row>
    <row r="486" spans="1:27" x14ac:dyDescent="0.25">
      <c r="A486" s="930" t="s">
        <v>463</v>
      </c>
      <c r="B486" s="857" t="str">
        <f ca="1">_xlfn.CONCAT(IFERROR(SUBSTITUTE(ADDRESS(1,MATCH(A486,INDIRECT("'"&amp;E486&amp;"'"&amp;"!A9:Z9"),0),4),1,""),""),27)</f>
        <v>E27</v>
      </c>
      <c r="C486" s="857" t="str">
        <f ca="1">_xlfn.CONCAT(IFERROR(SUBSTITUTE(ADDRESS(1,MATCH(A486,INDIRECT("'"&amp;E486&amp;"'"&amp;"!A9:Z9"),0),4),1,""),""))</f>
        <v>E</v>
      </c>
      <c r="D486" s="1174" t="s">
        <v>1374</v>
      </c>
      <c r="E486" s="859" t="s">
        <v>208</v>
      </c>
      <c r="F486" s="1409"/>
      <c r="G486" s="1409"/>
      <c r="H486" s="1409"/>
      <c r="I486" s="857" t="str">
        <f t="shared" si="50"/>
        <v>Exclude PIM Classes Below</v>
      </c>
      <c r="J486" s="1409" t="str">
        <f t="shared" si="52"/>
        <v>F455</v>
      </c>
      <c r="K486" s="1409" t="str">
        <f t="shared" si="51"/>
        <v>PIM Model</v>
      </c>
      <c r="L486" s="898" t="s">
        <v>463</v>
      </c>
      <c r="M486" s="1409">
        <v>455</v>
      </c>
      <c r="N486" s="1409"/>
      <c r="O486" s="1408"/>
      <c r="P486" s="1408"/>
      <c r="Q486" s="1408"/>
      <c r="R486" s="1408"/>
      <c r="S486" s="1408"/>
      <c r="T486" s="1408"/>
      <c r="U486" s="1408"/>
      <c r="V486" s="1408"/>
      <c r="W486" s="1408"/>
      <c r="X486" s="1408"/>
      <c r="Y486" s="1408"/>
      <c r="Z486" s="1408"/>
      <c r="AA486" s="1408"/>
    </row>
    <row r="487" spans="1:27" x14ac:dyDescent="0.25">
      <c r="A487" s="930" t="s">
        <v>1294</v>
      </c>
      <c r="B487" s="857" t="str">
        <f ca="1">IF('Pricing Schedule'!$K$5="No",_xlfn.CONCAT(IFERROR(SUBSTITUTE(ADDRESS(1,MATCH(A487,INDIRECT("'"&amp;E487&amp;"'"&amp;"!A10:Z10"),0),4),1,""),""),21),_xlfn.CONCAT(IFERROR(SUBSTITUTE(ADDRESS(1,MATCH(A487,INDIRECT("'"&amp;E487&amp;"'"&amp;"!A10:Z10"),0),4),1,""),""),55))</f>
        <v>E21</v>
      </c>
      <c r="C487" s="857" t="str">
        <f ca="1">IF('Pricing Schedule'!$K$5="No",IFERROR(SUBSTITUTE(ADDRESS(1,MATCH(A487,INDIRECT("'"&amp;E487&amp;"'"&amp;"!A10:Z10"),0),4),1,""),""),IFERROR(SUBSTITUTE(ADDRESS(1,MATCH(A487,INDIRECT("'"&amp;E487&amp;"'"&amp;"!A10:Z10"),0),4),1,""),""))</f>
        <v>E</v>
      </c>
      <c r="D487" s="859" t="s">
        <v>1374</v>
      </c>
      <c r="E487" s="859" t="s">
        <v>1291</v>
      </c>
      <c r="F487" s="1409"/>
      <c r="G487" s="1409"/>
      <c r="H487" s="1409"/>
      <c r="I487" s="857" t="str">
        <f t="shared" si="50"/>
        <v>Special Pricing Code</v>
      </c>
      <c r="J487" s="1409" t="str">
        <f t="shared" si="52"/>
        <v>F456</v>
      </c>
      <c r="K487" s="1409" t="str">
        <f t="shared" si="51"/>
        <v>Pricing Schedule</v>
      </c>
      <c r="L487" s="898" t="s">
        <v>1294</v>
      </c>
      <c r="M487" s="1409">
        <v>456</v>
      </c>
      <c r="N487" s="1409"/>
      <c r="O487" s="1408"/>
      <c r="P487" s="1408"/>
      <c r="Q487" s="1408"/>
      <c r="R487" s="1408"/>
      <c r="S487" s="1408"/>
      <c r="T487" s="1408"/>
      <c r="U487" s="1408"/>
      <c r="V487" s="1408"/>
      <c r="W487" s="1408"/>
      <c r="X487" s="1408"/>
      <c r="Y487" s="1408"/>
      <c r="Z487" s="1408"/>
      <c r="AA487" s="1408"/>
    </row>
    <row r="488" spans="1:27" x14ac:dyDescent="0.25">
      <c r="A488" s="930" t="s">
        <v>1296</v>
      </c>
      <c r="B488" s="857" t="str">
        <f ca="1">IF('Pricing Schedule'!$K$5="No",_xlfn.CONCAT(IFERROR(SUBSTITUTE(ADDRESS(1,MATCH(A488,INDIRECT("'"&amp;E488&amp;"'"&amp;"!A10:Z10"),0),4),1,""),""),21),_xlfn.CONCAT(IFERROR(SUBSTITUTE(ADDRESS(1,MATCH(A488,INDIRECT("'"&amp;E488&amp;"'"&amp;"!A10:Z10"),0),4),1,""),""),55))</f>
        <v>G21</v>
      </c>
      <c r="C488" s="857" t="str">
        <f ca="1">IF('Pricing Schedule'!$K$5="No",IFERROR(SUBSTITUTE(ADDRESS(1,MATCH(A488,INDIRECT("'"&amp;E488&amp;"'"&amp;"!A10:Z10"),0),4),1,""),""),IFERROR(SUBSTITUTE(ADDRESS(1,MATCH(A488,INDIRECT("'"&amp;E488&amp;"'"&amp;"!A10:Z10"),0),4),1,""),""))</f>
        <v>G</v>
      </c>
      <c r="D488" s="859" t="s">
        <v>1374</v>
      </c>
      <c r="E488" s="859" t="s">
        <v>1291</v>
      </c>
      <c r="F488" s="1422"/>
      <c r="G488" s="1409"/>
      <c r="H488" s="1409"/>
      <c r="I488" s="857" t="str">
        <f t="shared" si="50"/>
        <v>EB Markup Amt</v>
      </c>
      <c r="J488" s="1409" t="str">
        <f t="shared" si="52"/>
        <v>F457</v>
      </c>
      <c r="K488" s="1409" t="str">
        <f t="shared" si="51"/>
        <v>Pricing Schedule</v>
      </c>
      <c r="L488" s="898" t="s">
        <v>1296</v>
      </c>
      <c r="M488" s="1409">
        <v>457</v>
      </c>
      <c r="N488" s="1409"/>
      <c r="O488" s="1408"/>
      <c r="P488" s="1408"/>
      <c r="Q488" s="1408"/>
      <c r="R488" s="1408"/>
      <c r="S488" s="1408"/>
      <c r="T488" s="1408"/>
      <c r="U488" s="1408"/>
      <c r="V488" s="1408"/>
      <c r="W488" s="1408"/>
      <c r="X488" s="1408"/>
      <c r="Y488" s="1408"/>
      <c r="Z488" s="1408"/>
      <c r="AA488" s="1408"/>
    </row>
    <row r="489" spans="1:27" x14ac:dyDescent="0.25">
      <c r="A489" s="930" t="s">
        <v>1297</v>
      </c>
      <c r="B489" s="857" t="str">
        <f ca="1">IF('Pricing Schedule'!$K$5="No",_xlfn.CONCAT(IFERROR(SUBSTITUTE(ADDRESS(1,MATCH(A489,INDIRECT("'"&amp;E489&amp;"'"&amp;"!A10:Z10"),0),4),1,""),""),21),_xlfn.CONCAT(IFERROR(SUBSTITUTE(ADDRESS(1,MATCH(A489,INDIRECT("'"&amp;E489&amp;"'"&amp;"!A10:Z10"),0),4),1,""),""),55))</f>
        <v>I21</v>
      </c>
      <c r="C489" s="857" t="str">
        <f ca="1">IF('Pricing Schedule'!$K$5="No",IFERROR(SUBSTITUTE(ADDRESS(1,MATCH(A489,INDIRECT("'"&amp;E489&amp;"'"&amp;"!A10:Z10"),0),4),1,""),""),IFERROR(SUBSTITUTE(ADDRESS(1,MATCH(A489,INDIRECT("'"&amp;E489&amp;"'"&amp;"!A10:Z10"),0),4),1,""),""))</f>
        <v>I</v>
      </c>
      <c r="D489" s="859" t="s">
        <v>1374</v>
      </c>
      <c r="E489" s="859" t="s">
        <v>1291</v>
      </c>
      <c r="F489" s="1422"/>
      <c r="G489" s="1409"/>
      <c r="H489" s="1409"/>
      <c r="I489" s="857" t="str">
        <f t="shared" si="50"/>
        <v>Min CS Markup Override Flag</v>
      </c>
      <c r="J489" s="1409" t="str">
        <f t="shared" si="52"/>
        <v>F458</v>
      </c>
      <c r="K489" s="1409" t="str">
        <f t="shared" si="51"/>
        <v>Pricing Schedule</v>
      </c>
      <c r="L489" s="898" t="s">
        <v>1297</v>
      </c>
      <c r="M489" s="1409">
        <v>458</v>
      </c>
      <c r="N489" s="1409"/>
      <c r="O489" s="1408"/>
      <c r="P489" s="1408"/>
      <c r="Q489" s="1408"/>
      <c r="R489" s="1408"/>
      <c r="S489" s="1408"/>
      <c r="T489" s="1408"/>
      <c r="U489" s="1408"/>
      <c r="V489" s="1408"/>
      <c r="W489" s="1408"/>
      <c r="X489" s="1408"/>
      <c r="Y489" s="1408"/>
      <c r="Z489" s="1408"/>
      <c r="AA489" s="1408"/>
    </row>
    <row r="490" spans="1:27" x14ac:dyDescent="0.25">
      <c r="A490" s="930" t="s">
        <v>1298</v>
      </c>
      <c r="B490" s="857" t="str">
        <f ca="1">IF('Pricing Schedule'!$K$5="No",_xlfn.CONCAT(IFERROR(SUBSTITUTE(ADDRESS(1,MATCH(A490,INDIRECT("'"&amp;E490&amp;"'"&amp;"!A10:Z10"),0),4),1,""),""),21),_xlfn.CONCAT(IFERROR(SUBSTITUTE(ADDRESS(1,MATCH(A490,INDIRECT("'"&amp;E490&amp;"'"&amp;"!A10:Z10"),0),4),1,""),""),55))</f>
        <v>J21</v>
      </c>
      <c r="C490" s="857" t="str">
        <f ca="1">IF('Pricing Schedule'!$K$5="No",IFERROR(SUBSTITUTE(ADDRESS(1,MATCH(A490,INDIRECT("'"&amp;E490&amp;"'"&amp;"!A10:Z10"),0),4),1,""),""),IFERROR(SUBSTITUTE(ADDRESS(1,MATCH(A490,INDIRECT("'"&amp;E490&amp;"'"&amp;"!A10:Z10"),0),4),1,""),""))</f>
        <v>J</v>
      </c>
      <c r="D490" s="859" t="s">
        <v>1374</v>
      </c>
      <c r="E490" s="859" t="s">
        <v>1291</v>
      </c>
      <c r="F490" s="1422"/>
      <c r="G490" s="1409"/>
      <c r="H490" s="1409"/>
      <c r="I490" s="857" t="str">
        <f t="shared" si="50"/>
        <v>Min CS Markup Amt</v>
      </c>
      <c r="J490" s="1409" t="str">
        <f t="shared" si="52"/>
        <v>F459</v>
      </c>
      <c r="K490" s="1409" t="str">
        <f t="shared" si="51"/>
        <v>Pricing Schedule</v>
      </c>
      <c r="L490" s="898" t="s">
        <v>1298</v>
      </c>
      <c r="M490" s="1409">
        <v>459</v>
      </c>
      <c r="N490" s="1409"/>
      <c r="O490" s="1408"/>
      <c r="P490" s="1408"/>
      <c r="Q490" s="1408"/>
      <c r="R490" s="1408"/>
      <c r="S490" s="1408"/>
      <c r="T490" s="1408"/>
      <c r="U490" s="1408"/>
      <c r="V490" s="1408"/>
      <c r="W490" s="1408"/>
      <c r="X490" s="1408"/>
      <c r="Y490" s="1408"/>
      <c r="Z490" s="1408"/>
      <c r="AA490" s="1408"/>
    </row>
    <row r="491" spans="1:27" x14ac:dyDescent="0.25">
      <c r="A491" s="930" t="s">
        <v>1299</v>
      </c>
      <c r="B491" s="857" t="str">
        <f ca="1">IF('Pricing Schedule'!$K$5="No",_xlfn.CONCAT(IFERROR(SUBSTITUTE(ADDRESS(1,MATCH(A491,INDIRECT("'"&amp;E491&amp;"'"&amp;"!A10:Z10"),0),4),1,""),""),21),_xlfn.CONCAT(IFERROR(SUBSTITUTE(ADDRESS(1,MATCH(A491,INDIRECT("'"&amp;E491&amp;"'"&amp;"!A10:Z10"),0),4),1,""),""),55))</f>
        <v>K21</v>
      </c>
      <c r="C491" s="857" t="str">
        <f ca="1">IF('Pricing Schedule'!$K$5="No",IFERROR(SUBSTITUTE(ADDRESS(1,MATCH(A491,INDIRECT("'"&amp;E491&amp;"'"&amp;"!A10:Z10"),0),4),1,""),""),IFERROR(SUBSTITUTE(ADDRESS(1,MATCH(A491,INDIRECT("'"&amp;E491&amp;"'"&amp;"!A10:Z10"),0),4),1,""),""))</f>
        <v>K</v>
      </c>
      <c r="D491" s="859" t="s">
        <v>1374</v>
      </c>
      <c r="E491" s="859" t="s">
        <v>1291</v>
      </c>
      <c r="F491" s="1422"/>
      <c r="G491" s="1409"/>
      <c r="H491" s="1409"/>
      <c r="I491" s="857" t="str">
        <f t="shared" si="50"/>
        <v>Split Case Fee Override Flag</v>
      </c>
      <c r="J491" s="1409" t="str">
        <f t="shared" si="52"/>
        <v>F460</v>
      </c>
      <c r="K491" s="1409" t="str">
        <f t="shared" si="51"/>
        <v>Pricing Schedule</v>
      </c>
      <c r="L491" s="898" t="s">
        <v>1299</v>
      </c>
      <c r="M491" s="1409">
        <v>460</v>
      </c>
      <c r="N491" s="1409"/>
      <c r="O491" s="1408"/>
      <c r="P491" s="1408"/>
      <c r="Q491" s="1408"/>
      <c r="R491" s="1408"/>
      <c r="S491" s="1408"/>
      <c r="T491" s="1408"/>
      <c r="U491" s="1408"/>
      <c r="V491" s="1408"/>
      <c r="W491" s="1408"/>
      <c r="X491" s="1408"/>
      <c r="Y491" s="1408"/>
      <c r="Z491" s="1408"/>
      <c r="AA491" s="1408"/>
    </row>
    <row r="492" spans="1:27" x14ac:dyDescent="0.25">
      <c r="A492" s="930" t="s">
        <v>1300</v>
      </c>
      <c r="B492" s="857" t="str">
        <f ca="1">IF('Pricing Schedule'!$K$5="No",_xlfn.CONCAT(IFERROR(SUBSTITUTE(ADDRESS(1,MATCH(A492,INDIRECT("'"&amp;E492&amp;"'"&amp;"!A10:Z10"),0),4),1,""),""),21),_xlfn.CONCAT(IFERROR(SUBSTITUTE(ADDRESS(1,MATCH(A492,INDIRECT("'"&amp;E492&amp;"'"&amp;"!A10:Z10"),0),4),1,""),""),55))</f>
        <v>L21</v>
      </c>
      <c r="C492" s="857" t="str">
        <f ca="1">IF('Pricing Schedule'!$K$5="No",IFERROR(SUBSTITUTE(ADDRESS(1,MATCH(A492,INDIRECT("'"&amp;E492&amp;"'"&amp;"!A10:Z10"),0),4),1,""),""),IFERROR(SUBSTITUTE(ADDRESS(1,MATCH(A492,INDIRECT("'"&amp;E492&amp;"'"&amp;"!A10:Z10"),0),4),1,""),""))</f>
        <v>L</v>
      </c>
      <c r="D492" s="859" t="s">
        <v>1374</v>
      </c>
      <c r="E492" s="859" t="s">
        <v>1291</v>
      </c>
      <c r="F492" s="1422"/>
      <c r="G492" s="1409"/>
      <c r="H492" s="1409"/>
      <c r="I492" s="857" t="str">
        <f t="shared" si="50"/>
        <v>Split Case Fee</v>
      </c>
      <c r="J492" s="1409" t="str">
        <f t="shared" si="52"/>
        <v>F461</v>
      </c>
      <c r="K492" s="1409" t="str">
        <f t="shared" si="51"/>
        <v>Pricing Schedule</v>
      </c>
      <c r="L492" s="898" t="s">
        <v>1300</v>
      </c>
      <c r="M492" s="1409">
        <v>461</v>
      </c>
      <c r="N492" s="1409"/>
      <c r="O492" s="1408"/>
      <c r="P492" s="1408"/>
      <c r="Q492" s="1408"/>
      <c r="R492" s="1408"/>
      <c r="S492" s="1408"/>
      <c r="T492" s="1408"/>
      <c r="U492" s="1408"/>
      <c r="V492" s="1408"/>
      <c r="W492" s="1408"/>
      <c r="X492" s="1408"/>
      <c r="Y492" s="1408"/>
      <c r="Z492" s="1408"/>
      <c r="AA492" s="1408"/>
    </row>
    <row r="493" spans="1:27" x14ac:dyDescent="0.25">
      <c r="A493" s="930" t="s">
        <v>1238</v>
      </c>
      <c r="B493" s="857" t="str">
        <f ca="1">IF('Pricing Schedule'!$K$5="No",_xlfn.CONCAT(IFERROR(SUBSTITUTE(ADDRESS(1,MATCH(A493,INDIRECT("'"&amp;E493&amp;"'"&amp;"!A10:Z10"),0),4),1,""),""),21),_xlfn.CONCAT(IFERROR(SUBSTITUTE(ADDRESS(1,MATCH(A493,INDIRECT("'"&amp;E493&amp;"'"&amp;"!A10:Z10"),0),4),1,""),""),55))</f>
        <v>M21</v>
      </c>
      <c r="C493" s="857" t="str">
        <f ca="1">IF('Pricing Schedule'!$K$5="No",IFERROR(SUBSTITUTE(ADDRESS(1,MATCH(A493,INDIRECT("'"&amp;E493&amp;"'"&amp;"!A10:Z10"),0),4),1,""),""),IFERROR(SUBSTITUTE(ADDRESS(1,MATCH(A493,INDIRECT("'"&amp;E493&amp;"'"&amp;"!A10:Z10"),0),4),1,""),""))</f>
        <v>M</v>
      </c>
      <c r="D493" s="859" t="s">
        <v>1374</v>
      </c>
      <c r="E493" s="859" t="s">
        <v>1291</v>
      </c>
      <c r="F493" s="1422"/>
      <c r="G493" s="1409"/>
      <c r="H493" s="1409"/>
      <c r="I493" s="857" t="str">
        <f t="shared" si="50"/>
        <v>Split Case Per</v>
      </c>
      <c r="J493" s="1409" t="str">
        <f t="shared" si="52"/>
        <v>F462</v>
      </c>
      <c r="K493" s="1409" t="str">
        <f t="shared" si="51"/>
        <v>Pricing Schedule</v>
      </c>
      <c r="L493" s="898" t="s">
        <v>1238</v>
      </c>
      <c r="M493" s="1409">
        <v>462</v>
      </c>
      <c r="N493" s="1409"/>
      <c r="O493" s="1408"/>
      <c r="P493" s="1408"/>
      <c r="Q493" s="1408"/>
      <c r="R493" s="1408"/>
      <c r="S493" s="1408"/>
      <c r="T493" s="1408"/>
      <c r="U493" s="1408"/>
      <c r="V493" s="1408"/>
      <c r="W493" s="1408"/>
      <c r="X493" s="1408"/>
      <c r="Y493" s="1408"/>
      <c r="Z493" s="1408"/>
      <c r="AA493" s="1408"/>
    </row>
    <row r="494" spans="1:27" x14ac:dyDescent="0.25">
      <c r="A494" s="925" t="s">
        <v>1301</v>
      </c>
      <c r="B494" s="857" t="str">
        <f ca="1">IF('Pricing Schedule'!$K$5="No",_xlfn.CONCAT(IFERROR(SUBSTITUTE(ADDRESS(1,MATCH(A494,INDIRECT("'"&amp;E494&amp;"'"&amp;"!A10:Z10"),0),4),1,""),""),29),_xlfn.CONCAT(IFERROR(SUBSTITUTE(ADDRESS(1,MATCH(A494,INDIRECT("'"&amp;E494&amp;"'"&amp;"!A10:Z10"),0),4),1,""),""),63))</f>
        <v>N29</v>
      </c>
      <c r="C494" s="857" t="str">
        <f ca="1">IF('Pricing Schedule'!$K$5="No",IFERROR(SUBSTITUTE(ADDRESS(1,MATCH(A494,INDIRECT("'"&amp;E494&amp;"'"&amp;"!A10:Z10"),0),4),1,""),""),IFERROR(SUBSTITUTE(ADDRESS(1,MATCH(A494,INDIRECT("'"&amp;E494&amp;"'"&amp;"!A10:Z10"),0),4),1,""),""))</f>
        <v>N</v>
      </c>
      <c r="D494" s="859" t="s">
        <v>1374</v>
      </c>
      <c r="E494" s="859" t="s">
        <v>1291</v>
      </c>
      <c r="F494" s="1409"/>
      <c r="G494" s="1409"/>
      <c r="H494" s="1409"/>
      <c r="I494" s="857" t="str">
        <f t="shared" si="50"/>
        <v/>
      </c>
      <c r="J494" s="1409"/>
      <c r="K494" s="1409" t="str">
        <f t="shared" si="51"/>
        <v/>
      </c>
      <c r="L494" s="898" t="s">
        <v>1301</v>
      </c>
      <c r="M494" s="1409">
        <v>463</v>
      </c>
      <c r="N494" s="1409"/>
      <c r="O494" s="1408"/>
      <c r="P494" s="1408"/>
      <c r="Q494" s="1408"/>
      <c r="R494" s="1408"/>
      <c r="S494" s="1408"/>
      <c r="T494" s="1408"/>
      <c r="U494" s="1408"/>
      <c r="V494" s="1408"/>
      <c r="W494" s="1408"/>
      <c r="X494" s="1408"/>
      <c r="Y494" s="1408"/>
      <c r="Z494" s="1408"/>
      <c r="AA494" s="1408"/>
    </row>
    <row r="495" spans="1:27" x14ac:dyDescent="0.25">
      <c r="A495" s="926" t="s">
        <v>1292</v>
      </c>
      <c r="B495" s="857" t="str">
        <f ca="1">IF('Pricing Schedule'!$K$5="No",_xlfn.CONCAT(IFERROR(SUBSTITUTE(ADDRESS(1,MATCH(A495,INDIRECT("'"&amp;E495&amp;"'"&amp;"!A10:Z10"),0),4),1,""),""),29),_xlfn.CONCAT(IFERROR(SUBSTITUTE(ADDRESS(1,MATCH(A495,INDIRECT("'"&amp;E495&amp;"'"&amp;"!A10:Z10"),0),4),1,""),""),63))</f>
        <v>C29</v>
      </c>
      <c r="C495" s="857" t="str">
        <f ca="1">IF('Pricing Schedule'!$K$5="No",IFERROR(SUBSTITUTE(ADDRESS(1,MATCH(A495,INDIRECT("'"&amp;E495&amp;"'"&amp;"!A10:Z10"),0),4),1,""),""),IFERROR(SUBSTITUTE(ADDRESS(1,MATCH(A495,INDIRECT("'"&amp;E495&amp;"'"&amp;"!A10:Z10"),0),4),1,""),""))</f>
        <v>C</v>
      </c>
      <c r="D495" s="859" t="s">
        <v>1374</v>
      </c>
      <c r="E495" s="859" t="s">
        <v>1291</v>
      </c>
      <c r="F495" s="1409"/>
      <c r="G495" s="1409"/>
      <c r="H495" s="1409"/>
      <c r="I495" s="857" t="str">
        <f t="shared" si="50"/>
        <v/>
      </c>
      <c r="J495" s="1409"/>
      <c r="K495" s="1409" t="str">
        <f t="shared" si="51"/>
        <v/>
      </c>
      <c r="L495" s="898" t="s">
        <v>252</v>
      </c>
      <c r="M495" s="1409">
        <v>464</v>
      </c>
      <c r="N495" s="1409"/>
      <c r="O495" s="1408"/>
      <c r="P495" s="1408"/>
      <c r="Q495" s="1408"/>
      <c r="R495" s="1408"/>
      <c r="S495" s="1408"/>
      <c r="T495" s="1408"/>
      <c r="U495" s="1408"/>
      <c r="V495" s="1408"/>
      <c r="W495" s="1408"/>
      <c r="X495" s="1408"/>
      <c r="Y495" s="1408"/>
      <c r="Z495" s="1408"/>
      <c r="AA495" s="1408"/>
    </row>
    <row r="496" spans="1:27" x14ac:dyDescent="0.25">
      <c r="A496" s="926" t="s">
        <v>1257</v>
      </c>
      <c r="B496" s="857" t="str">
        <f ca="1">IF('Pricing Schedule'!$K$5="No",_xlfn.CONCAT(IFERROR(SUBSTITUTE(ADDRESS(1,MATCH(A496,INDIRECT("'"&amp;E496&amp;"'"&amp;"!A10:Z10"),0),4),1,""),""),29),_xlfn.CONCAT(IFERROR(SUBSTITUTE(ADDRESS(1,MATCH(A496,INDIRECT("'"&amp;E496&amp;"'"&amp;"!A10:Z10"),0),4),1,""),""),63))</f>
        <v>H29</v>
      </c>
      <c r="C496" s="857" t="str">
        <f ca="1">IF('Pricing Schedule'!$K$5="No",IFERROR(SUBSTITUTE(ADDRESS(1,MATCH(A496,INDIRECT("'"&amp;E496&amp;"'"&amp;"!A10:Z10"),0),4),1,""),""),IFERROR(SUBSTITUTE(ADDRESS(1,MATCH(A496,INDIRECT("'"&amp;E496&amp;"'"&amp;"!A10:Z10"),0),4),1,""),""))</f>
        <v>H</v>
      </c>
      <c r="D496" s="859" t="s">
        <v>1374</v>
      </c>
      <c r="E496" s="859" t="s">
        <v>1291</v>
      </c>
      <c r="F496" s="1409"/>
      <c r="G496" s="1409"/>
      <c r="H496" s="1409"/>
      <c r="I496" s="857" t="str">
        <f t="shared" si="50"/>
        <v/>
      </c>
      <c r="J496" s="1409"/>
      <c r="K496" s="1409" t="str">
        <f t="shared" si="51"/>
        <v/>
      </c>
      <c r="L496" s="898" t="s">
        <v>1257</v>
      </c>
      <c r="M496" s="1409">
        <v>465</v>
      </c>
      <c r="N496" s="1409"/>
      <c r="O496" s="1408"/>
      <c r="P496" s="1408"/>
      <c r="Q496" s="1408"/>
      <c r="R496" s="1408"/>
      <c r="S496" s="1408"/>
      <c r="T496" s="1408"/>
      <c r="U496" s="1408"/>
      <c r="V496" s="1408"/>
      <c r="W496" s="1408"/>
      <c r="X496" s="1408"/>
      <c r="Y496" s="1408"/>
      <c r="Z496" s="1408"/>
      <c r="AA496" s="1408"/>
    </row>
    <row r="497" spans="1:27" x14ac:dyDescent="0.25">
      <c r="A497" s="926" t="s">
        <v>1295</v>
      </c>
      <c r="B497" s="857" t="str">
        <f ca="1">IF('Pricing Schedule'!$K$5="No",_xlfn.CONCAT(IFERROR(SUBSTITUTE(ADDRESS(1,MATCH(A497,INDIRECT("'"&amp;E497&amp;"'"&amp;"!A10:Z10"),0),4),1,""),""),29),_xlfn.CONCAT(IFERROR(SUBSTITUTE(ADDRESS(1,MATCH(A497,INDIRECT("'"&amp;E497&amp;"'"&amp;"!A10:Z10"),0),4),1,""),""),63))</f>
        <v>F29</v>
      </c>
      <c r="C497" s="857" t="str">
        <f ca="1">IF('Pricing Schedule'!$K$5="No",IFERROR(SUBSTITUTE(ADDRESS(1,MATCH(A497,INDIRECT("'"&amp;E497&amp;"'"&amp;"!A10:Z10"),0),4),1,""),""),IFERROR(SUBSTITUTE(ADDRESS(1,MATCH(A497,INDIRECT("'"&amp;E497&amp;"'"&amp;"!A10:Z10"),0),4),1,""),""))</f>
        <v>F</v>
      </c>
      <c r="D497" s="859" t="s">
        <v>1374</v>
      </c>
      <c r="E497" s="859" t="s">
        <v>1291</v>
      </c>
      <c r="F497" s="1409"/>
      <c r="G497" s="1409"/>
      <c r="H497" s="1409"/>
      <c r="I497" s="857" t="str">
        <f t="shared" si="50"/>
        <v/>
      </c>
      <c r="J497" s="1409"/>
      <c r="K497" s="1409" t="str">
        <f t="shared" si="51"/>
        <v/>
      </c>
      <c r="L497" s="898" t="s">
        <v>225</v>
      </c>
      <c r="M497" s="1409">
        <v>466</v>
      </c>
      <c r="N497" s="1409"/>
      <c r="O497" s="1408"/>
      <c r="P497" s="1408"/>
      <c r="Q497" s="1408"/>
      <c r="R497" s="1408"/>
      <c r="S497" s="1408"/>
      <c r="T497" s="1408"/>
      <c r="U497" s="1408"/>
      <c r="V497" s="1408"/>
      <c r="W497" s="1408"/>
      <c r="X497" s="1408"/>
      <c r="Y497" s="1408"/>
      <c r="Z497" s="1408"/>
      <c r="AA497" s="1408"/>
    </row>
    <row r="498" spans="1:27" x14ac:dyDescent="0.25">
      <c r="A498" s="927" t="s">
        <v>463</v>
      </c>
      <c r="B498" s="857" t="str">
        <f ca="1">_xlfn.CONCAT(IFERROR(SUBSTITUTE(ADDRESS(1,MATCH(A498,INDIRECT("'"&amp;E498&amp;"'"&amp;"!A9:Z9"),0),4),1,""),""),28)</f>
        <v>E28</v>
      </c>
      <c r="C498" s="857" t="str">
        <f ca="1">_xlfn.CONCAT(IFERROR(SUBSTITUTE(ADDRESS(1,MATCH(A498,INDIRECT("'"&amp;E498&amp;"'"&amp;"!A9:Z9"),0),4),1,""),""))</f>
        <v>E</v>
      </c>
      <c r="D498" s="1174" t="s">
        <v>1374</v>
      </c>
      <c r="E498" s="859" t="s">
        <v>208</v>
      </c>
      <c r="F498" s="1409"/>
      <c r="G498" s="1409"/>
      <c r="H498" s="1409"/>
      <c r="I498" s="857" t="str">
        <f t="shared" si="50"/>
        <v>Exclude PIM Classes Below</v>
      </c>
      <c r="J498" s="1409" t="str">
        <f t="shared" si="52"/>
        <v>F467</v>
      </c>
      <c r="K498" s="1409" t="str">
        <f t="shared" si="51"/>
        <v>PIM Model</v>
      </c>
      <c r="L498" s="898" t="s">
        <v>463</v>
      </c>
      <c r="M498" s="1409">
        <v>467</v>
      </c>
      <c r="N498" s="1409"/>
      <c r="O498" s="1408"/>
      <c r="P498" s="1408"/>
      <c r="Q498" s="1408"/>
      <c r="R498" s="1408"/>
      <c r="S498" s="1408"/>
      <c r="T498" s="1408"/>
      <c r="U498" s="1408"/>
      <c r="V498" s="1408"/>
      <c r="W498" s="1408"/>
      <c r="X498" s="1408"/>
      <c r="Y498" s="1408"/>
      <c r="Z498" s="1408"/>
      <c r="AA498" s="1408"/>
    </row>
    <row r="499" spans="1:27" x14ac:dyDescent="0.25">
      <c r="A499" s="927" t="s">
        <v>1294</v>
      </c>
      <c r="B499" s="857" t="str">
        <f ca="1">IF('Pricing Schedule'!$K$5="No",_xlfn.CONCAT(IFERROR(SUBSTITUTE(ADDRESS(1,MATCH(A499,INDIRECT("'"&amp;E499&amp;"'"&amp;"!A10:Z10"),0),4),1,""),""),29),_xlfn.CONCAT(IFERROR(SUBSTITUTE(ADDRESS(1,MATCH(A499,INDIRECT("'"&amp;E499&amp;"'"&amp;"!A10:Z10"),0),4),1,""),""),63))</f>
        <v>E29</v>
      </c>
      <c r="C499" s="857" t="str">
        <f ca="1">IF('Pricing Schedule'!$K$5="No",IFERROR(SUBSTITUTE(ADDRESS(1,MATCH(A499,INDIRECT("'"&amp;E499&amp;"'"&amp;"!A10:Z10"),0),4),1,""),""),IFERROR(SUBSTITUTE(ADDRESS(1,MATCH(A499,INDIRECT("'"&amp;E499&amp;"'"&amp;"!A10:Z10"),0),4),1,""),""))</f>
        <v>E</v>
      </c>
      <c r="D499" s="859" t="s">
        <v>1374</v>
      </c>
      <c r="E499" s="859" t="s">
        <v>1291</v>
      </c>
      <c r="F499" s="1409"/>
      <c r="G499" s="1409"/>
      <c r="H499" s="1409"/>
      <c r="I499" s="857" t="str">
        <f t="shared" si="50"/>
        <v>Special Pricing Code</v>
      </c>
      <c r="J499" s="1409" t="str">
        <f t="shared" si="52"/>
        <v>F468</v>
      </c>
      <c r="K499" s="1409" t="str">
        <f t="shared" si="51"/>
        <v>Pricing Schedule</v>
      </c>
      <c r="L499" s="898" t="s">
        <v>1294</v>
      </c>
      <c r="M499" s="1409">
        <v>468</v>
      </c>
      <c r="N499" s="1409"/>
      <c r="O499" s="1408"/>
      <c r="P499" s="1408"/>
      <c r="Q499" s="1408"/>
      <c r="R499" s="1408"/>
      <c r="S499" s="1408"/>
      <c r="T499" s="1408"/>
      <c r="U499" s="1408"/>
      <c r="V499" s="1408"/>
      <c r="W499" s="1408"/>
      <c r="X499" s="1408"/>
      <c r="Y499" s="1408"/>
      <c r="Z499" s="1408"/>
      <c r="AA499" s="1408"/>
    </row>
    <row r="500" spans="1:27" x14ac:dyDescent="0.25">
      <c r="A500" s="927" t="s">
        <v>1296</v>
      </c>
      <c r="B500" s="857" t="str">
        <f ca="1">IF('Pricing Schedule'!$K$5="No",_xlfn.CONCAT(IFERROR(SUBSTITUTE(ADDRESS(1,MATCH(A500,INDIRECT("'"&amp;E500&amp;"'"&amp;"!A10:Z10"),0),4),1,""),""),29),_xlfn.CONCAT(IFERROR(SUBSTITUTE(ADDRESS(1,MATCH(A500,INDIRECT("'"&amp;E500&amp;"'"&amp;"!A10:Z10"),0),4),1,""),""),63))</f>
        <v>G29</v>
      </c>
      <c r="C500" s="857" t="str">
        <f ca="1">IF('Pricing Schedule'!$K$5="No",IFERROR(SUBSTITUTE(ADDRESS(1,MATCH(A500,INDIRECT("'"&amp;E500&amp;"'"&amp;"!A10:Z10"),0),4),1,""),""),IFERROR(SUBSTITUTE(ADDRESS(1,MATCH(A500,INDIRECT("'"&amp;E500&amp;"'"&amp;"!A10:Z10"),0),4),1,""),""))</f>
        <v>G</v>
      </c>
      <c r="D500" s="859" t="s">
        <v>1374</v>
      </c>
      <c r="E500" s="859" t="s">
        <v>1291</v>
      </c>
      <c r="F500" s="1422"/>
      <c r="G500" s="1409"/>
      <c r="H500" s="1409"/>
      <c r="I500" s="857" t="str">
        <f t="shared" si="50"/>
        <v>EB Markup Amt</v>
      </c>
      <c r="J500" s="1409" t="str">
        <f t="shared" si="52"/>
        <v>F469</v>
      </c>
      <c r="K500" s="1409" t="str">
        <f t="shared" si="51"/>
        <v>Pricing Schedule</v>
      </c>
      <c r="L500" s="898" t="s">
        <v>1296</v>
      </c>
      <c r="M500" s="1409">
        <v>469</v>
      </c>
      <c r="N500" s="1409"/>
      <c r="O500" s="1408"/>
      <c r="P500" s="1408"/>
      <c r="Q500" s="1408"/>
      <c r="R500" s="1408"/>
      <c r="S500" s="1408"/>
      <c r="T500" s="1408"/>
      <c r="U500" s="1408"/>
      <c r="V500" s="1408"/>
      <c r="W500" s="1408"/>
      <c r="X500" s="1408"/>
      <c r="Y500" s="1408"/>
      <c r="Z500" s="1408"/>
      <c r="AA500" s="1408"/>
    </row>
    <row r="501" spans="1:27" x14ac:dyDescent="0.25">
      <c r="A501" s="927" t="s">
        <v>1297</v>
      </c>
      <c r="B501" s="857" t="str">
        <f ca="1">IF('Pricing Schedule'!$K$5="No",_xlfn.CONCAT(IFERROR(SUBSTITUTE(ADDRESS(1,MATCH(A501,INDIRECT("'"&amp;E501&amp;"'"&amp;"!A10:Z10"),0),4),1,""),""),29),_xlfn.CONCAT(IFERROR(SUBSTITUTE(ADDRESS(1,MATCH(A501,INDIRECT("'"&amp;E501&amp;"'"&amp;"!A10:Z10"),0),4),1,""),""),63))</f>
        <v>I29</v>
      </c>
      <c r="C501" s="857" t="str">
        <f ca="1">IF('Pricing Schedule'!$K$5="No",IFERROR(SUBSTITUTE(ADDRESS(1,MATCH(A501,INDIRECT("'"&amp;E501&amp;"'"&amp;"!A10:Z10"),0),4),1,""),""),IFERROR(SUBSTITUTE(ADDRESS(1,MATCH(A501,INDIRECT("'"&amp;E501&amp;"'"&amp;"!A10:Z10"),0),4),1,""),""))</f>
        <v>I</v>
      </c>
      <c r="D501" s="859" t="s">
        <v>1374</v>
      </c>
      <c r="E501" s="859" t="s">
        <v>1291</v>
      </c>
      <c r="F501" s="1422"/>
      <c r="G501" s="1409"/>
      <c r="H501" s="1409"/>
      <c r="I501" s="857" t="str">
        <f t="shared" si="50"/>
        <v>Min CS Markup Override Flag</v>
      </c>
      <c r="J501" s="1409" t="str">
        <f t="shared" si="52"/>
        <v>F470</v>
      </c>
      <c r="K501" s="1409" t="str">
        <f t="shared" si="51"/>
        <v>Pricing Schedule</v>
      </c>
      <c r="L501" s="898" t="s">
        <v>1297</v>
      </c>
      <c r="M501" s="1409">
        <v>470</v>
      </c>
      <c r="N501" s="1409"/>
      <c r="O501" s="1408"/>
      <c r="P501" s="1408"/>
      <c r="Q501" s="1408"/>
      <c r="R501" s="1408"/>
      <c r="S501" s="1408"/>
      <c r="T501" s="1408"/>
      <c r="U501" s="1408"/>
      <c r="V501" s="1408"/>
      <c r="W501" s="1408"/>
      <c r="X501" s="1408"/>
      <c r="Y501" s="1408"/>
      <c r="Z501" s="1408"/>
      <c r="AA501" s="1408"/>
    </row>
    <row r="502" spans="1:27" x14ac:dyDescent="0.25">
      <c r="A502" s="927" t="s">
        <v>1298</v>
      </c>
      <c r="B502" s="857" t="str">
        <f ca="1">IF('Pricing Schedule'!$K$5="No",_xlfn.CONCAT(IFERROR(SUBSTITUTE(ADDRESS(1,MATCH(A502,INDIRECT("'"&amp;E502&amp;"'"&amp;"!A10:Z10"),0),4),1,""),""),29),_xlfn.CONCAT(IFERROR(SUBSTITUTE(ADDRESS(1,MATCH(A502,INDIRECT("'"&amp;E502&amp;"'"&amp;"!A10:Z10"),0),4),1,""),""),63))</f>
        <v>J29</v>
      </c>
      <c r="C502" s="857" t="str">
        <f ca="1">IF('Pricing Schedule'!$K$5="No",IFERROR(SUBSTITUTE(ADDRESS(1,MATCH(A502,INDIRECT("'"&amp;E502&amp;"'"&amp;"!A10:Z10"),0),4),1,""),""),IFERROR(SUBSTITUTE(ADDRESS(1,MATCH(A502,INDIRECT("'"&amp;E502&amp;"'"&amp;"!A10:Z10"),0),4),1,""),""))</f>
        <v>J</v>
      </c>
      <c r="D502" s="859" t="s">
        <v>1374</v>
      </c>
      <c r="E502" s="859" t="s">
        <v>1291</v>
      </c>
      <c r="F502" s="1422"/>
      <c r="G502" s="1409"/>
      <c r="H502" s="1409"/>
      <c r="I502" s="857" t="str">
        <f t="shared" si="50"/>
        <v>Min CS Markup Amt</v>
      </c>
      <c r="J502" s="1409" t="str">
        <f t="shared" si="52"/>
        <v>F471</v>
      </c>
      <c r="K502" s="1409" t="str">
        <f t="shared" si="51"/>
        <v>Pricing Schedule</v>
      </c>
      <c r="L502" s="898" t="s">
        <v>1298</v>
      </c>
      <c r="M502" s="1409">
        <v>471</v>
      </c>
      <c r="N502" s="1409"/>
      <c r="O502" s="1408"/>
      <c r="P502" s="1408"/>
      <c r="Q502" s="1408"/>
      <c r="R502" s="1408"/>
      <c r="S502" s="1408"/>
      <c r="T502" s="1408"/>
      <c r="U502" s="1408"/>
      <c r="V502" s="1408"/>
      <c r="W502" s="1408"/>
      <c r="X502" s="1408"/>
      <c r="Y502" s="1408"/>
      <c r="Z502" s="1408"/>
      <c r="AA502" s="1408"/>
    </row>
    <row r="503" spans="1:27" x14ac:dyDescent="0.25">
      <c r="A503" s="927" t="s">
        <v>1299</v>
      </c>
      <c r="B503" s="857" t="str">
        <f ca="1">IF('Pricing Schedule'!$K$5="No",_xlfn.CONCAT(IFERROR(SUBSTITUTE(ADDRESS(1,MATCH(A503,INDIRECT("'"&amp;E503&amp;"'"&amp;"!A10:Z10"),0),4),1,""),""),29),_xlfn.CONCAT(IFERROR(SUBSTITUTE(ADDRESS(1,MATCH(A503,INDIRECT("'"&amp;E503&amp;"'"&amp;"!A10:Z10"),0),4),1,""),""),63))</f>
        <v>K29</v>
      </c>
      <c r="C503" s="857" t="str">
        <f ca="1">IF('Pricing Schedule'!$K$5="No",IFERROR(SUBSTITUTE(ADDRESS(1,MATCH(A503,INDIRECT("'"&amp;E503&amp;"'"&amp;"!A10:Z10"),0),4),1,""),""),IFERROR(SUBSTITUTE(ADDRESS(1,MATCH(A503,INDIRECT("'"&amp;E503&amp;"'"&amp;"!A10:Z10"),0),4),1,""),""))</f>
        <v>K</v>
      </c>
      <c r="D503" s="859" t="s">
        <v>1374</v>
      </c>
      <c r="E503" s="859" t="s">
        <v>1291</v>
      </c>
      <c r="F503" s="1422"/>
      <c r="G503" s="1409"/>
      <c r="H503" s="1409"/>
      <c r="I503" s="857" t="str">
        <f t="shared" si="50"/>
        <v>Split Case Fee Override Flag</v>
      </c>
      <c r="J503" s="1409" t="str">
        <f t="shared" si="52"/>
        <v>F472</v>
      </c>
      <c r="K503" s="1409" t="str">
        <f t="shared" si="51"/>
        <v>Pricing Schedule</v>
      </c>
      <c r="L503" s="898" t="s">
        <v>1299</v>
      </c>
      <c r="M503" s="1409">
        <v>472</v>
      </c>
      <c r="N503" s="1409"/>
      <c r="O503" s="1408"/>
      <c r="P503" s="1408"/>
      <c r="Q503" s="1408"/>
      <c r="R503" s="1408"/>
      <c r="S503" s="1408"/>
      <c r="T503" s="1408"/>
      <c r="U503" s="1408"/>
      <c r="V503" s="1408"/>
      <c r="W503" s="1408"/>
      <c r="X503" s="1408"/>
      <c r="Y503" s="1408"/>
      <c r="Z503" s="1408"/>
      <c r="AA503" s="1408"/>
    </row>
    <row r="504" spans="1:27" x14ac:dyDescent="0.25">
      <c r="A504" s="927" t="s">
        <v>1300</v>
      </c>
      <c r="B504" s="857" t="str">
        <f ca="1">IF('Pricing Schedule'!$K$5="No",_xlfn.CONCAT(IFERROR(SUBSTITUTE(ADDRESS(1,MATCH(A504,INDIRECT("'"&amp;E504&amp;"'"&amp;"!A10:Z10"),0),4),1,""),""),29),_xlfn.CONCAT(IFERROR(SUBSTITUTE(ADDRESS(1,MATCH(A504,INDIRECT("'"&amp;E504&amp;"'"&amp;"!A10:Z10"),0),4),1,""),""),63))</f>
        <v>L29</v>
      </c>
      <c r="C504" s="857" t="str">
        <f ca="1">IF('Pricing Schedule'!$K$5="No",IFERROR(SUBSTITUTE(ADDRESS(1,MATCH(A504,INDIRECT("'"&amp;E504&amp;"'"&amp;"!A10:Z10"),0),4),1,""),""),IFERROR(SUBSTITUTE(ADDRESS(1,MATCH(A504,INDIRECT("'"&amp;E504&amp;"'"&amp;"!A10:Z10"),0),4),1,""),""))</f>
        <v>L</v>
      </c>
      <c r="D504" s="859" t="s">
        <v>1374</v>
      </c>
      <c r="E504" s="859" t="s">
        <v>1291</v>
      </c>
      <c r="F504" s="1422"/>
      <c r="G504" s="1409"/>
      <c r="H504" s="1409"/>
      <c r="I504" s="857" t="str">
        <f t="shared" si="50"/>
        <v>Split Case Fee</v>
      </c>
      <c r="J504" s="1409" t="str">
        <f t="shared" si="52"/>
        <v>F473</v>
      </c>
      <c r="K504" s="1409" t="str">
        <f t="shared" si="51"/>
        <v>Pricing Schedule</v>
      </c>
      <c r="L504" s="898" t="s">
        <v>1300</v>
      </c>
      <c r="M504" s="1409">
        <v>473</v>
      </c>
      <c r="N504" s="1409"/>
      <c r="O504" s="1408"/>
      <c r="P504" s="1408"/>
      <c r="Q504" s="1408"/>
      <c r="R504" s="1408"/>
      <c r="S504" s="1408"/>
      <c r="T504" s="1408"/>
      <c r="U504" s="1408"/>
      <c r="V504" s="1408"/>
      <c r="W504" s="1408"/>
      <c r="X504" s="1408"/>
      <c r="Y504" s="1408"/>
      <c r="Z504" s="1408"/>
      <c r="AA504" s="1408"/>
    </row>
    <row r="505" spans="1:27" x14ac:dyDescent="0.25">
      <c r="A505" s="927" t="s">
        <v>1238</v>
      </c>
      <c r="B505" s="857" t="str">
        <f ca="1">IF('Pricing Schedule'!$K$5="No",_xlfn.CONCAT(IFERROR(SUBSTITUTE(ADDRESS(1,MATCH(A505,INDIRECT("'"&amp;E505&amp;"'"&amp;"!A10:Z10"),0),4),1,""),""),29),_xlfn.CONCAT(IFERROR(SUBSTITUTE(ADDRESS(1,MATCH(A505,INDIRECT("'"&amp;E505&amp;"'"&amp;"!A10:Z10"),0),4),1,""),""),63))</f>
        <v>M29</v>
      </c>
      <c r="C505" s="857" t="str">
        <f ca="1">IF('Pricing Schedule'!$K$5="No",IFERROR(SUBSTITUTE(ADDRESS(1,MATCH(A505,INDIRECT("'"&amp;E505&amp;"'"&amp;"!A10:Z10"),0),4),1,""),""),IFERROR(SUBSTITUTE(ADDRESS(1,MATCH(A505,INDIRECT("'"&amp;E505&amp;"'"&amp;"!A10:Z10"),0),4),1,""),""))</f>
        <v>M</v>
      </c>
      <c r="D505" s="859" t="s">
        <v>1374</v>
      </c>
      <c r="E505" s="859" t="s">
        <v>1291</v>
      </c>
      <c r="F505" s="1422"/>
      <c r="G505" s="1409"/>
      <c r="H505" s="1409"/>
      <c r="I505" s="857" t="str">
        <f t="shared" si="50"/>
        <v>Split Case Per</v>
      </c>
      <c r="J505" s="1409" t="str">
        <f t="shared" si="52"/>
        <v>F474</v>
      </c>
      <c r="K505" s="1409" t="str">
        <f t="shared" si="51"/>
        <v>Pricing Schedule</v>
      </c>
      <c r="L505" s="898" t="s">
        <v>1238</v>
      </c>
      <c r="M505" s="1409">
        <v>474</v>
      </c>
      <c r="N505" s="1409"/>
      <c r="O505" s="1408"/>
      <c r="P505" s="1408"/>
      <c r="Q505" s="1408"/>
      <c r="R505" s="1408"/>
      <c r="S505" s="1408"/>
      <c r="T505" s="1408"/>
      <c r="U505" s="1408"/>
      <c r="V505" s="1408"/>
      <c r="W505" s="1408"/>
      <c r="X505" s="1408"/>
      <c r="Y505" s="1408"/>
      <c r="Z505" s="1408"/>
      <c r="AA505" s="1408"/>
    </row>
    <row r="506" spans="1:27" x14ac:dyDescent="0.25">
      <c r="A506" s="928" t="s">
        <v>1301</v>
      </c>
      <c r="B506" s="857" t="str">
        <f ca="1">IF('Pricing Schedule'!$K$5="No",_xlfn.CONCAT(IFERROR(SUBSTITUTE(ADDRESS(1,MATCH(A506,INDIRECT("'"&amp;E506&amp;"'"&amp;"!A10:Z10"),0),4),1,""),""),27),_xlfn.CONCAT(IFERROR(SUBSTITUTE(ADDRESS(1,MATCH(A506,INDIRECT("'"&amp;E506&amp;"'"&amp;"!A10:Z10"),0),4),1,""),""),61))</f>
        <v>N27</v>
      </c>
      <c r="C506" s="857" t="str">
        <f ca="1">IF('Pricing Schedule'!$K$5="No",IFERROR(SUBSTITUTE(ADDRESS(1,MATCH(A506,INDIRECT("'"&amp;E506&amp;"'"&amp;"!A10:Z10"),0),4),1,""),""),IFERROR(SUBSTITUTE(ADDRESS(1,MATCH(A506,INDIRECT("'"&amp;E506&amp;"'"&amp;"!A10:Z10"),0),4),1,""),""))</f>
        <v>N</v>
      </c>
      <c r="D506" s="859" t="s">
        <v>1374</v>
      </c>
      <c r="E506" s="859" t="s">
        <v>1291</v>
      </c>
      <c r="F506" s="1409"/>
      <c r="G506" s="1409"/>
      <c r="H506" s="1409"/>
      <c r="I506" s="857" t="str">
        <f t="shared" si="50"/>
        <v/>
      </c>
      <c r="J506" s="1409"/>
      <c r="K506" s="1409" t="str">
        <f t="shared" si="51"/>
        <v/>
      </c>
      <c r="L506" s="898" t="s">
        <v>1301</v>
      </c>
      <c r="M506" s="1409">
        <v>475</v>
      </c>
      <c r="N506" s="1409"/>
      <c r="O506" s="1408"/>
      <c r="P506" s="1408"/>
      <c r="Q506" s="1408"/>
      <c r="R506" s="1408"/>
      <c r="S506" s="1408"/>
      <c r="T506" s="1408"/>
      <c r="U506" s="1408"/>
      <c r="V506" s="1408"/>
      <c r="W506" s="1408"/>
      <c r="X506" s="1408"/>
      <c r="Y506" s="1408"/>
      <c r="Z506" s="1408"/>
      <c r="AA506" s="1408"/>
    </row>
    <row r="507" spans="1:27" x14ac:dyDescent="0.25">
      <c r="A507" s="929" t="s">
        <v>1292</v>
      </c>
      <c r="B507" s="857" t="str">
        <f ca="1">IF('Pricing Schedule'!$K$5="No",_xlfn.CONCAT(IFERROR(SUBSTITUTE(ADDRESS(1,MATCH(A507,INDIRECT("'"&amp;E507&amp;"'"&amp;"!A10:Z10"),0),4),1,""),""),27),_xlfn.CONCAT(IFERROR(SUBSTITUTE(ADDRESS(1,MATCH(A507,INDIRECT("'"&amp;E507&amp;"'"&amp;"!A10:Z10"),0),4),1,""),""),61))</f>
        <v>C27</v>
      </c>
      <c r="C507" s="857" t="str">
        <f ca="1">IF('Pricing Schedule'!$K$5="No",IFERROR(SUBSTITUTE(ADDRESS(1,MATCH(A507,INDIRECT("'"&amp;E507&amp;"'"&amp;"!A10:Z10"),0),4),1,""),""),IFERROR(SUBSTITUTE(ADDRESS(1,MATCH(A507,INDIRECT("'"&amp;E507&amp;"'"&amp;"!A10:Z10"),0),4),1,""),""))</f>
        <v>C</v>
      </c>
      <c r="D507" s="859" t="s">
        <v>1374</v>
      </c>
      <c r="E507" s="859" t="s">
        <v>1291</v>
      </c>
      <c r="F507" s="1409"/>
      <c r="G507" s="1409"/>
      <c r="H507" s="1409"/>
      <c r="I507" s="857" t="str">
        <f t="shared" si="50"/>
        <v/>
      </c>
      <c r="J507" s="1409"/>
      <c r="K507" s="1409" t="str">
        <f t="shared" si="51"/>
        <v/>
      </c>
      <c r="L507" s="898" t="s">
        <v>252</v>
      </c>
      <c r="M507" s="1409">
        <v>476</v>
      </c>
      <c r="N507" s="1409"/>
      <c r="O507" s="1408"/>
      <c r="P507" s="1408"/>
      <c r="Q507" s="1408"/>
      <c r="R507" s="1408"/>
      <c r="S507" s="1408"/>
      <c r="T507" s="1408"/>
      <c r="U507" s="1408"/>
      <c r="V507" s="1408"/>
      <c r="W507" s="1408"/>
      <c r="X507" s="1408"/>
      <c r="Y507" s="1408"/>
      <c r="Z507" s="1408"/>
      <c r="AA507" s="1408"/>
    </row>
    <row r="508" spans="1:27" x14ac:dyDescent="0.25">
      <c r="A508" s="929" t="s">
        <v>1257</v>
      </c>
      <c r="B508" s="857" t="str">
        <f ca="1">IF('Pricing Schedule'!$K$5="No",_xlfn.CONCAT(IFERROR(SUBSTITUTE(ADDRESS(1,MATCH(A508,INDIRECT("'"&amp;E508&amp;"'"&amp;"!A10:Z10"),0),4),1,""),""),27),_xlfn.CONCAT(IFERROR(SUBSTITUTE(ADDRESS(1,MATCH(A508,INDIRECT("'"&amp;E508&amp;"'"&amp;"!A10:Z10"),0),4),1,""),""),61))</f>
        <v>H27</v>
      </c>
      <c r="C508" s="857" t="str">
        <f ca="1">IF('Pricing Schedule'!$K$5="No",IFERROR(SUBSTITUTE(ADDRESS(1,MATCH(A508,INDIRECT("'"&amp;E508&amp;"'"&amp;"!A10:Z10"),0),4),1,""),""),IFERROR(SUBSTITUTE(ADDRESS(1,MATCH(A508,INDIRECT("'"&amp;E508&amp;"'"&amp;"!A10:Z10"),0),4),1,""),""))</f>
        <v>H</v>
      </c>
      <c r="D508" s="859" t="s">
        <v>1374</v>
      </c>
      <c r="E508" s="859" t="s">
        <v>1291</v>
      </c>
      <c r="F508" s="1409"/>
      <c r="G508" s="1409"/>
      <c r="H508" s="1409"/>
      <c r="I508" s="857" t="str">
        <f t="shared" si="50"/>
        <v/>
      </c>
      <c r="J508" s="1409"/>
      <c r="K508" s="1409" t="str">
        <f t="shared" si="51"/>
        <v/>
      </c>
      <c r="L508" s="898" t="s">
        <v>1257</v>
      </c>
      <c r="M508" s="1409">
        <v>477</v>
      </c>
      <c r="N508" s="1409"/>
      <c r="O508" s="1408"/>
      <c r="P508" s="1408"/>
      <c r="Q508" s="1408"/>
      <c r="R508" s="1408"/>
      <c r="S508" s="1408"/>
      <c r="T508" s="1408"/>
      <c r="U508" s="1408"/>
      <c r="V508" s="1408"/>
      <c r="W508" s="1408"/>
      <c r="X508" s="1408"/>
      <c r="Y508" s="1408"/>
      <c r="Z508" s="1408"/>
      <c r="AA508" s="1408"/>
    </row>
    <row r="509" spans="1:27" x14ac:dyDescent="0.25">
      <c r="A509" s="929" t="s">
        <v>1295</v>
      </c>
      <c r="B509" s="857" t="str">
        <f ca="1">IF('Pricing Schedule'!$K$5="No",_xlfn.CONCAT(IFERROR(SUBSTITUTE(ADDRESS(1,MATCH(A509,INDIRECT("'"&amp;E509&amp;"'"&amp;"!A10:Z10"),0),4),1,""),""),27),_xlfn.CONCAT(IFERROR(SUBSTITUTE(ADDRESS(1,MATCH(A509,INDIRECT("'"&amp;E509&amp;"'"&amp;"!A10:Z10"),0),4),1,""),""),61))</f>
        <v>F27</v>
      </c>
      <c r="C509" s="857" t="str">
        <f ca="1">IF('Pricing Schedule'!$K$5="No",IFERROR(SUBSTITUTE(ADDRESS(1,MATCH(A509,INDIRECT("'"&amp;E509&amp;"'"&amp;"!A10:Z10"),0),4),1,""),""),IFERROR(SUBSTITUTE(ADDRESS(1,MATCH(A509,INDIRECT("'"&amp;E509&amp;"'"&amp;"!A10:Z10"),0),4),1,""),""))</f>
        <v>F</v>
      </c>
      <c r="D509" s="859" t="s">
        <v>1374</v>
      </c>
      <c r="E509" s="859" t="s">
        <v>1291</v>
      </c>
      <c r="F509" s="1409"/>
      <c r="G509" s="1409"/>
      <c r="H509" s="1409"/>
      <c r="I509" s="857" t="str">
        <f t="shared" si="50"/>
        <v/>
      </c>
      <c r="J509" s="1409"/>
      <c r="K509" s="1409" t="str">
        <f t="shared" si="51"/>
        <v/>
      </c>
      <c r="L509" s="898" t="s">
        <v>225</v>
      </c>
      <c r="M509" s="1409">
        <v>478</v>
      </c>
      <c r="N509" s="1409"/>
      <c r="O509" s="1408"/>
      <c r="P509" s="1408"/>
      <c r="Q509" s="1408"/>
      <c r="R509" s="1408"/>
      <c r="S509" s="1408"/>
      <c r="T509" s="1408"/>
      <c r="U509" s="1408"/>
      <c r="V509" s="1408"/>
      <c r="W509" s="1408"/>
      <c r="X509" s="1408"/>
      <c r="Y509" s="1408"/>
      <c r="Z509" s="1408"/>
      <c r="AA509" s="1408"/>
    </row>
    <row r="510" spans="1:27" x14ac:dyDescent="0.25">
      <c r="A510" s="930" t="s">
        <v>463</v>
      </c>
      <c r="B510" s="857" t="str">
        <f ca="1">_xlfn.CONCAT(IFERROR(SUBSTITUTE(ADDRESS(1,MATCH(A510,INDIRECT("'"&amp;E510&amp;"'"&amp;"!A9:Z9"),0),4),1,""),""),29)</f>
        <v>E29</v>
      </c>
      <c r="C510" s="857" t="str">
        <f ca="1">_xlfn.CONCAT(IFERROR(SUBSTITUTE(ADDRESS(1,MATCH(A510,INDIRECT("'"&amp;E510&amp;"'"&amp;"!A9:Z9"),0),4),1,""),""))</f>
        <v>E</v>
      </c>
      <c r="D510" s="1174" t="s">
        <v>1374</v>
      </c>
      <c r="E510" s="859" t="s">
        <v>208</v>
      </c>
      <c r="F510" s="1409"/>
      <c r="G510" s="1409"/>
      <c r="H510" s="1409"/>
      <c r="I510" s="857" t="str">
        <f t="shared" si="50"/>
        <v>Exclude PIM Classes Below</v>
      </c>
      <c r="J510" s="1409" t="str">
        <f t="shared" si="52"/>
        <v>F479</v>
      </c>
      <c r="K510" s="1409" t="str">
        <f t="shared" si="51"/>
        <v>PIM Model</v>
      </c>
      <c r="L510" s="898" t="s">
        <v>463</v>
      </c>
      <c r="M510" s="1409">
        <v>479</v>
      </c>
      <c r="N510" s="1409"/>
      <c r="O510" s="1408"/>
      <c r="P510" s="1408"/>
      <c r="Q510" s="1408"/>
      <c r="R510" s="1408"/>
      <c r="S510" s="1408"/>
      <c r="T510" s="1408"/>
      <c r="U510" s="1408"/>
      <c r="V510" s="1408"/>
      <c r="W510" s="1408"/>
      <c r="X510" s="1408"/>
      <c r="Y510" s="1408"/>
      <c r="Z510" s="1408"/>
      <c r="AA510" s="1408"/>
    </row>
    <row r="511" spans="1:27" x14ac:dyDescent="0.25">
      <c r="A511" s="930" t="s">
        <v>1294</v>
      </c>
      <c r="B511" s="857" t="str">
        <f ca="1">IF('Pricing Schedule'!$K$5="No",_xlfn.CONCAT(IFERROR(SUBSTITUTE(ADDRESS(1,MATCH(A511,INDIRECT("'"&amp;E511&amp;"'"&amp;"!A10:Z10"),0),4),1,""),""),27),_xlfn.CONCAT(IFERROR(SUBSTITUTE(ADDRESS(1,MATCH(A511,INDIRECT("'"&amp;E511&amp;"'"&amp;"!A10:Z10"),0),4),1,""),""),61))</f>
        <v>E27</v>
      </c>
      <c r="C511" s="857" t="str">
        <f ca="1">IF('Pricing Schedule'!$K$5="No",IFERROR(SUBSTITUTE(ADDRESS(1,MATCH(A511,INDIRECT("'"&amp;E511&amp;"'"&amp;"!A10:Z10"),0),4),1,""),""),IFERROR(SUBSTITUTE(ADDRESS(1,MATCH(A511,INDIRECT("'"&amp;E511&amp;"'"&amp;"!A10:Z10"),0),4),1,""),""))</f>
        <v>E</v>
      </c>
      <c r="D511" s="859" t="s">
        <v>1374</v>
      </c>
      <c r="E511" s="859" t="s">
        <v>1291</v>
      </c>
      <c r="F511" s="1409"/>
      <c r="G511" s="1409"/>
      <c r="H511" s="1409"/>
      <c r="I511" s="857" t="str">
        <f t="shared" si="50"/>
        <v>Special Pricing Code</v>
      </c>
      <c r="J511" s="1409" t="str">
        <f t="shared" si="52"/>
        <v>F480</v>
      </c>
      <c r="K511" s="1409" t="str">
        <f t="shared" si="51"/>
        <v>Pricing Schedule</v>
      </c>
      <c r="L511" s="898" t="s">
        <v>1294</v>
      </c>
      <c r="M511" s="1409">
        <v>480</v>
      </c>
      <c r="N511" s="1409"/>
      <c r="O511" s="1408"/>
      <c r="P511" s="1408"/>
      <c r="Q511" s="1408"/>
      <c r="R511" s="1408"/>
      <c r="S511" s="1408"/>
      <c r="T511" s="1408"/>
      <c r="U511" s="1408"/>
      <c r="V511" s="1408"/>
      <c r="W511" s="1408"/>
      <c r="X511" s="1408"/>
      <c r="Y511" s="1408"/>
      <c r="Z511" s="1408"/>
      <c r="AA511" s="1408"/>
    </row>
    <row r="512" spans="1:27" x14ac:dyDescent="0.25">
      <c r="A512" s="930" t="s">
        <v>1296</v>
      </c>
      <c r="B512" s="857" t="str">
        <f ca="1">IF('Pricing Schedule'!$K$5="No",_xlfn.CONCAT(IFERROR(SUBSTITUTE(ADDRESS(1,MATCH(A512,INDIRECT("'"&amp;E512&amp;"'"&amp;"!A10:Z10"),0),4),1,""),""),27),_xlfn.CONCAT(IFERROR(SUBSTITUTE(ADDRESS(1,MATCH(A512,INDIRECT("'"&amp;E512&amp;"'"&amp;"!A10:Z10"),0),4),1,""),""),61))</f>
        <v>G27</v>
      </c>
      <c r="C512" s="857" t="str">
        <f ca="1">IF('Pricing Schedule'!$K$5="No",IFERROR(SUBSTITUTE(ADDRESS(1,MATCH(A512,INDIRECT("'"&amp;E512&amp;"'"&amp;"!A10:Z10"),0),4),1,""),""),IFERROR(SUBSTITUTE(ADDRESS(1,MATCH(A512,INDIRECT("'"&amp;E512&amp;"'"&amp;"!A10:Z10"),0),4),1,""),""))</f>
        <v>G</v>
      </c>
      <c r="D512" s="859" t="s">
        <v>1374</v>
      </c>
      <c r="E512" s="859" t="s">
        <v>1291</v>
      </c>
      <c r="F512" s="1422"/>
      <c r="G512" s="1409"/>
      <c r="H512" s="1409"/>
      <c r="I512" s="857" t="str">
        <f t="shared" si="50"/>
        <v>EB Markup Amt</v>
      </c>
      <c r="J512" s="1409" t="str">
        <f t="shared" si="52"/>
        <v>F481</v>
      </c>
      <c r="K512" s="1409" t="str">
        <f t="shared" si="51"/>
        <v>Pricing Schedule</v>
      </c>
      <c r="L512" s="898" t="s">
        <v>1296</v>
      </c>
      <c r="M512" s="1409">
        <v>481</v>
      </c>
      <c r="N512" s="1409"/>
      <c r="O512" s="1408"/>
      <c r="P512" s="1408"/>
      <c r="Q512" s="1408"/>
      <c r="R512" s="1408"/>
      <c r="S512" s="1408"/>
      <c r="T512" s="1408"/>
      <c r="U512" s="1408"/>
      <c r="V512" s="1408"/>
      <c r="W512" s="1408"/>
      <c r="X512" s="1408"/>
      <c r="Y512" s="1408"/>
      <c r="Z512" s="1408"/>
      <c r="AA512" s="1408"/>
    </row>
    <row r="513" spans="1:27" x14ac:dyDescent="0.25">
      <c r="A513" s="930" t="s">
        <v>1297</v>
      </c>
      <c r="B513" s="857" t="str">
        <f ca="1">IF('Pricing Schedule'!$K$5="No",_xlfn.CONCAT(IFERROR(SUBSTITUTE(ADDRESS(1,MATCH(A513,INDIRECT("'"&amp;E513&amp;"'"&amp;"!A10:Z10"),0),4),1,""),""),27),_xlfn.CONCAT(IFERROR(SUBSTITUTE(ADDRESS(1,MATCH(A513,INDIRECT("'"&amp;E513&amp;"'"&amp;"!A10:Z10"),0),4),1,""),""),61))</f>
        <v>I27</v>
      </c>
      <c r="C513" s="857" t="str">
        <f ca="1">IF('Pricing Schedule'!$K$5="No",IFERROR(SUBSTITUTE(ADDRESS(1,MATCH(A513,INDIRECT("'"&amp;E513&amp;"'"&amp;"!A10:Z10"),0),4),1,""),""),IFERROR(SUBSTITUTE(ADDRESS(1,MATCH(A513,INDIRECT("'"&amp;E513&amp;"'"&amp;"!A10:Z10"),0),4),1,""),""))</f>
        <v>I</v>
      </c>
      <c r="D513" s="859" t="s">
        <v>1374</v>
      </c>
      <c r="E513" s="859" t="s">
        <v>1291</v>
      </c>
      <c r="F513" s="1422"/>
      <c r="G513" s="1409"/>
      <c r="H513" s="1409"/>
      <c r="I513" s="857" t="str">
        <f t="shared" si="50"/>
        <v>Min CS Markup Override Flag</v>
      </c>
      <c r="J513" s="1409" t="str">
        <f t="shared" si="52"/>
        <v>F482</v>
      </c>
      <c r="K513" s="1409" t="str">
        <f t="shared" si="51"/>
        <v>Pricing Schedule</v>
      </c>
      <c r="L513" s="898" t="s">
        <v>1297</v>
      </c>
      <c r="M513" s="1409">
        <v>482</v>
      </c>
      <c r="N513" s="1409"/>
      <c r="O513" s="1408"/>
      <c r="P513" s="1408"/>
      <c r="Q513" s="1408"/>
      <c r="R513" s="1408"/>
      <c r="S513" s="1408"/>
      <c r="T513" s="1408"/>
      <c r="U513" s="1408"/>
      <c r="V513" s="1408"/>
      <c r="W513" s="1408"/>
      <c r="X513" s="1408"/>
      <c r="Y513" s="1408"/>
      <c r="Z513" s="1408"/>
      <c r="AA513" s="1408"/>
    </row>
    <row r="514" spans="1:27" x14ac:dyDescent="0.25">
      <c r="A514" s="930" t="s">
        <v>1298</v>
      </c>
      <c r="B514" s="857" t="str">
        <f ca="1">IF('Pricing Schedule'!$K$5="No",_xlfn.CONCAT(IFERROR(SUBSTITUTE(ADDRESS(1,MATCH(A514,INDIRECT("'"&amp;E514&amp;"'"&amp;"!A10:Z10"),0),4),1,""),""),27),_xlfn.CONCAT(IFERROR(SUBSTITUTE(ADDRESS(1,MATCH(A514,INDIRECT("'"&amp;E514&amp;"'"&amp;"!A10:Z10"),0),4),1,""),""),61))</f>
        <v>J27</v>
      </c>
      <c r="C514" s="857" t="str">
        <f ca="1">IF('Pricing Schedule'!$K$5="No",IFERROR(SUBSTITUTE(ADDRESS(1,MATCH(A514,INDIRECT("'"&amp;E514&amp;"'"&amp;"!A10:Z10"),0),4),1,""),""),IFERROR(SUBSTITUTE(ADDRESS(1,MATCH(A514,INDIRECT("'"&amp;E514&amp;"'"&amp;"!A10:Z10"),0),4),1,""),""))</f>
        <v>J</v>
      </c>
      <c r="D514" s="859" t="s">
        <v>1374</v>
      </c>
      <c r="E514" s="859" t="s">
        <v>1291</v>
      </c>
      <c r="F514" s="1422"/>
      <c r="G514" s="1409"/>
      <c r="H514" s="1409"/>
      <c r="I514" s="857" t="str">
        <f t="shared" si="50"/>
        <v>Min CS Markup Amt</v>
      </c>
      <c r="J514" s="1409" t="str">
        <f t="shared" si="52"/>
        <v>F483</v>
      </c>
      <c r="K514" s="1409" t="str">
        <f t="shared" si="51"/>
        <v>Pricing Schedule</v>
      </c>
      <c r="L514" s="898" t="s">
        <v>1298</v>
      </c>
      <c r="M514" s="1409">
        <v>483</v>
      </c>
      <c r="N514" s="1409"/>
      <c r="O514" s="1408"/>
      <c r="P514" s="1408"/>
      <c r="Q514" s="1408"/>
      <c r="R514" s="1408"/>
      <c r="S514" s="1408"/>
      <c r="T514" s="1408"/>
      <c r="U514" s="1408"/>
      <c r="V514" s="1408"/>
      <c r="W514" s="1408"/>
      <c r="X514" s="1408"/>
      <c r="Y514" s="1408"/>
      <c r="Z514" s="1408"/>
      <c r="AA514" s="1408"/>
    </row>
    <row r="515" spans="1:27" x14ac:dyDescent="0.25">
      <c r="A515" s="930" t="s">
        <v>1299</v>
      </c>
      <c r="B515" s="857" t="str">
        <f ca="1">IF('Pricing Schedule'!$K$5="No",_xlfn.CONCAT(IFERROR(SUBSTITUTE(ADDRESS(1,MATCH(A515,INDIRECT("'"&amp;E515&amp;"'"&amp;"!A10:Z10"),0),4),1,""),""),27),_xlfn.CONCAT(IFERROR(SUBSTITUTE(ADDRESS(1,MATCH(A515,INDIRECT("'"&amp;E515&amp;"'"&amp;"!A10:Z10"),0),4),1,""),""),61))</f>
        <v>K27</v>
      </c>
      <c r="C515" s="857" t="str">
        <f ca="1">IF('Pricing Schedule'!$K$5="No",IFERROR(SUBSTITUTE(ADDRESS(1,MATCH(A515,INDIRECT("'"&amp;E515&amp;"'"&amp;"!A10:Z10"),0),4),1,""),""),IFERROR(SUBSTITUTE(ADDRESS(1,MATCH(A515,INDIRECT("'"&amp;E515&amp;"'"&amp;"!A10:Z10"),0),4),1,""),""))</f>
        <v>K</v>
      </c>
      <c r="D515" s="859" t="s">
        <v>1374</v>
      </c>
      <c r="E515" s="859" t="s">
        <v>1291</v>
      </c>
      <c r="F515" s="1422"/>
      <c r="G515" s="1409"/>
      <c r="H515" s="1409"/>
      <c r="I515" s="857" t="str">
        <f t="shared" si="50"/>
        <v>Split Case Fee Override Flag</v>
      </c>
      <c r="J515" s="1409" t="str">
        <f t="shared" si="52"/>
        <v>F484</v>
      </c>
      <c r="K515" s="1409" t="str">
        <f t="shared" si="51"/>
        <v>Pricing Schedule</v>
      </c>
      <c r="L515" s="898" t="s">
        <v>1299</v>
      </c>
      <c r="M515" s="1409">
        <v>484</v>
      </c>
      <c r="N515" s="1409"/>
      <c r="O515" s="1408"/>
      <c r="P515" s="1408"/>
      <c r="Q515" s="1408"/>
      <c r="R515" s="1408"/>
      <c r="S515" s="1408"/>
      <c r="T515" s="1408"/>
      <c r="U515" s="1408"/>
      <c r="V515" s="1408"/>
      <c r="W515" s="1408"/>
      <c r="X515" s="1408"/>
      <c r="Y515" s="1408"/>
      <c r="Z515" s="1408"/>
      <c r="AA515" s="1408"/>
    </row>
    <row r="516" spans="1:27" x14ac:dyDescent="0.25">
      <c r="A516" s="930" t="s">
        <v>1300</v>
      </c>
      <c r="B516" s="857" t="str">
        <f ca="1">IF('Pricing Schedule'!$K$5="No",_xlfn.CONCAT(IFERROR(SUBSTITUTE(ADDRESS(1,MATCH(A516,INDIRECT("'"&amp;E516&amp;"'"&amp;"!A10:Z10"),0),4),1,""),""),27),_xlfn.CONCAT(IFERROR(SUBSTITUTE(ADDRESS(1,MATCH(A516,INDIRECT("'"&amp;E516&amp;"'"&amp;"!A10:Z10"),0),4),1,""),""),61))</f>
        <v>L27</v>
      </c>
      <c r="C516" s="857" t="str">
        <f ca="1">IF('Pricing Schedule'!$K$5="No",IFERROR(SUBSTITUTE(ADDRESS(1,MATCH(A516,INDIRECT("'"&amp;E516&amp;"'"&amp;"!A10:Z10"),0),4),1,""),""),IFERROR(SUBSTITUTE(ADDRESS(1,MATCH(A516,INDIRECT("'"&amp;E516&amp;"'"&amp;"!A10:Z10"),0),4),1,""),""))</f>
        <v>L</v>
      </c>
      <c r="D516" s="859" t="s">
        <v>1374</v>
      </c>
      <c r="E516" s="859" t="s">
        <v>1291</v>
      </c>
      <c r="F516" s="1422"/>
      <c r="G516" s="1409"/>
      <c r="H516" s="1409"/>
      <c r="I516" s="857" t="str">
        <f t="shared" ref="I516:I579" si="53">IF(J516&lt;&gt;"",A516,"")</f>
        <v>Split Case Fee</v>
      </c>
      <c r="J516" s="1409" t="str">
        <f t="shared" si="52"/>
        <v>F485</v>
      </c>
      <c r="K516" s="1409" t="str">
        <f t="shared" ref="K516:K579" si="54">IF(J516&lt;&gt;"",E516,"")</f>
        <v>Pricing Schedule</v>
      </c>
      <c r="L516" s="898" t="s">
        <v>1300</v>
      </c>
      <c r="M516" s="1409">
        <v>485</v>
      </c>
      <c r="N516" s="1409"/>
      <c r="O516" s="1408"/>
      <c r="P516" s="1408"/>
      <c r="Q516" s="1408"/>
      <c r="R516" s="1408"/>
      <c r="S516" s="1408"/>
      <c r="T516" s="1408"/>
      <c r="U516" s="1408"/>
      <c r="V516" s="1408"/>
      <c r="W516" s="1408"/>
      <c r="X516" s="1408"/>
      <c r="Y516" s="1408"/>
      <c r="Z516" s="1408"/>
      <c r="AA516" s="1408"/>
    </row>
    <row r="517" spans="1:27" x14ac:dyDescent="0.25">
      <c r="A517" s="930" t="s">
        <v>1238</v>
      </c>
      <c r="B517" s="857" t="str">
        <f ca="1">IF('Pricing Schedule'!$K$5="No",_xlfn.CONCAT(IFERROR(SUBSTITUTE(ADDRESS(1,MATCH(A517,INDIRECT("'"&amp;E517&amp;"'"&amp;"!A10:Z10"),0),4),1,""),""),27),_xlfn.CONCAT(IFERROR(SUBSTITUTE(ADDRESS(1,MATCH(A517,INDIRECT("'"&amp;E517&amp;"'"&amp;"!A10:Z10"),0),4),1,""),""),61))</f>
        <v>M27</v>
      </c>
      <c r="C517" s="857" t="str">
        <f ca="1">IF('Pricing Schedule'!$K$5="No",IFERROR(SUBSTITUTE(ADDRESS(1,MATCH(A517,INDIRECT("'"&amp;E517&amp;"'"&amp;"!A10:Z10"),0),4),1,""),""),IFERROR(SUBSTITUTE(ADDRESS(1,MATCH(A517,INDIRECT("'"&amp;E517&amp;"'"&amp;"!A10:Z10"),0),4),1,""),""))</f>
        <v>M</v>
      </c>
      <c r="D517" s="859" t="s">
        <v>1374</v>
      </c>
      <c r="E517" s="859" t="s">
        <v>1291</v>
      </c>
      <c r="F517" s="1422"/>
      <c r="G517" s="1409"/>
      <c r="H517" s="1409"/>
      <c r="I517" s="857" t="str">
        <f t="shared" si="53"/>
        <v>Split Case Per</v>
      </c>
      <c r="J517" s="1409" t="str">
        <f t="shared" si="52"/>
        <v>F486</v>
      </c>
      <c r="K517" s="1409" t="str">
        <f t="shared" si="54"/>
        <v>Pricing Schedule</v>
      </c>
      <c r="L517" s="898" t="s">
        <v>1238</v>
      </c>
      <c r="M517" s="1409">
        <v>486</v>
      </c>
      <c r="N517" s="1409"/>
      <c r="O517" s="1408"/>
      <c r="P517" s="1408"/>
      <c r="Q517" s="1408"/>
      <c r="R517" s="1408"/>
      <c r="S517" s="1408"/>
      <c r="T517" s="1408"/>
      <c r="U517" s="1408"/>
      <c r="V517" s="1408"/>
      <c r="W517" s="1408"/>
      <c r="X517" s="1408"/>
      <c r="Y517" s="1408"/>
      <c r="Z517" s="1408"/>
      <c r="AA517" s="1408"/>
    </row>
    <row r="518" spans="1:27" x14ac:dyDescent="0.25">
      <c r="A518" s="925" t="s">
        <v>1301</v>
      </c>
      <c r="B518" s="857" t="str">
        <f ca="1">IF('Pricing Schedule'!$K$5="No",_xlfn.CONCAT(IFERROR(SUBSTITUTE(ADDRESS(1,MATCH(A518,INDIRECT("'"&amp;E518&amp;"'"&amp;"!A10:Z10"),0),4),1,""),""),28),_xlfn.CONCAT(IFERROR(SUBSTITUTE(ADDRESS(1,MATCH(A518,INDIRECT("'"&amp;E518&amp;"'"&amp;"!A10:Z10"),0),4),1,""),""),62))</f>
        <v>N28</v>
      </c>
      <c r="C518" s="857" t="str">
        <f ca="1">IF('Pricing Schedule'!$K$5="No",IFERROR(SUBSTITUTE(ADDRESS(1,MATCH(A518,INDIRECT("'"&amp;E518&amp;"'"&amp;"!A10:Z10"),0),4),1,""),""),IFERROR(SUBSTITUTE(ADDRESS(1,MATCH(A518,INDIRECT("'"&amp;E518&amp;"'"&amp;"!A10:Z10"),0),4),1,""),""))</f>
        <v>N</v>
      </c>
      <c r="D518" s="859" t="s">
        <v>1374</v>
      </c>
      <c r="E518" s="859" t="s">
        <v>1291</v>
      </c>
      <c r="F518" s="1409"/>
      <c r="G518" s="1409"/>
      <c r="H518" s="1409"/>
      <c r="I518" s="857" t="str">
        <f t="shared" si="53"/>
        <v/>
      </c>
      <c r="J518" s="1409"/>
      <c r="K518" s="1409" t="str">
        <f t="shared" si="54"/>
        <v/>
      </c>
      <c r="L518" s="898" t="s">
        <v>1301</v>
      </c>
      <c r="M518" s="1409">
        <v>487</v>
      </c>
      <c r="N518" s="1409"/>
      <c r="O518" s="1408"/>
      <c r="P518" s="1408"/>
      <c r="Q518" s="1408"/>
      <c r="R518" s="1408"/>
      <c r="S518" s="1408"/>
      <c r="T518" s="1408"/>
      <c r="U518" s="1408"/>
      <c r="V518" s="1408"/>
      <c r="W518" s="1408"/>
      <c r="X518" s="1408"/>
      <c r="Y518" s="1408"/>
      <c r="Z518" s="1408"/>
      <c r="AA518" s="1408"/>
    </row>
    <row r="519" spans="1:27" x14ac:dyDescent="0.25">
      <c r="A519" s="926" t="s">
        <v>1292</v>
      </c>
      <c r="B519" s="857" t="str">
        <f ca="1">IF('Pricing Schedule'!$K$5="No",_xlfn.CONCAT(IFERROR(SUBSTITUTE(ADDRESS(1,MATCH(A519,INDIRECT("'"&amp;E519&amp;"'"&amp;"!A10:Z10"),0),4),1,""),""),28),_xlfn.CONCAT(IFERROR(SUBSTITUTE(ADDRESS(1,MATCH(A519,INDIRECT("'"&amp;E519&amp;"'"&amp;"!A10:Z10"),0),4),1,""),""),62))</f>
        <v>C28</v>
      </c>
      <c r="C519" s="857" t="str">
        <f ca="1">IF('Pricing Schedule'!$K$5="No",IFERROR(SUBSTITUTE(ADDRESS(1,MATCH(A519,INDIRECT("'"&amp;E519&amp;"'"&amp;"!A10:Z10"),0),4),1,""),""),IFERROR(SUBSTITUTE(ADDRESS(1,MATCH(A519,INDIRECT("'"&amp;E519&amp;"'"&amp;"!A10:Z10"),0),4),1,""),""))</f>
        <v>C</v>
      </c>
      <c r="D519" s="859" t="s">
        <v>1374</v>
      </c>
      <c r="E519" s="859" t="s">
        <v>1291</v>
      </c>
      <c r="F519" s="1409"/>
      <c r="G519" s="1409"/>
      <c r="H519" s="1409"/>
      <c r="I519" s="857" t="str">
        <f t="shared" si="53"/>
        <v/>
      </c>
      <c r="J519" s="1409"/>
      <c r="K519" s="1409" t="str">
        <f t="shared" si="54"/>
        <v/>
      </c>
      <c r="L519" s="898" t="s">
        <v>252</v>
      </c>
      <c r="M519" s="1409">
        <v>488</v>
      </c>
      <c r="N519" s="1409"/>
      <c r="O519" s="1408"/>
      <c r="P519" s="1408"/>
      <c r="Q519" s="1408"/>
      <c r="R519" s="1408"/>
      <c r="S519" s="1408"/>
      <c r="T519" s="1408"/>
      <c r="U519" s="1408"/>
      <c r="V519" s="1408"/>
      <c r="W519" s="1408"/>
      <c r="X519" s="1408"/>
      <c r="Y519" s="1408"/>
      <c r="Z519" s="1408"/>
      <c r="AA519" s="1408"/>
    </row>
    <row r="520" spans="1:27" x14ac:dyDescent="0.25">
      <c r="A520" s="926" t="s">
        <v>1257</v>
      </c>
      <c r="B520" s="857" t="str">
        <f ca="1">IF('Pricing Schedule'!$K$5="No",_xlfn.CONCAT(IFERROR(SUBSTITUTE(ADDRESS(1,MATCH(A520,INDIRECT("'"&amp;E520&amp;"'"&amp;"!A10:Z10"),0),4),1,""),""),28),_xlfn.CONCAT(IFERROR(SUBSTITUTE(ADDRESS(1,MATCH(A520,INDIRECT("'"&amp;E520&amp;"'"&amp;"!A10:Z10"),0),4),1,""),""),62))</f>
        <v>H28</v>
      </c>
      <c r="C520" s="857" t="str">
        <f ca="1">IF('Pricing Schedule'!$K$5="No",IFERROR(SUBSTITUTE(ADDRESS(1,MATCH(A520,INDIRECT("'"&amp;E520&amp;"'"&amp;"!A10:Z10"),0),4),1,""),""),IFERROR(SUBSTITUTE(ADDRESS(1,MATCH(A520,INDIRECT("'"&amp;E520&amp;"'"&amp;"!A10:Z10"),0),4),1,""),""))</f>
        <v>H</v>
      </c>
      <c r="D520" s="859" t="s">
        <v>1374</v>
      </c>
      <c r="E520" s="859" t="s">
        <v>1291</v>
      </c>
      <c r="F520" s="1409"/>
      <c r="G520" s="1409"/>
      <c r="H520" s="1409"/>
      <c r="I520" s="857" t="str">
        <f t="shared" si="53"/>
        <v/>
      </c>
      <c r="J520" s="1409"/>
      <c r="K520" s="1409" t="str">
        <f t="shared" si="54"/>
        <v/>
      </c>
      <c r="L520" s="898" t="s">
        <v>1257</v>
      </c>
      <c r="M520" s="1409">
        <v>489</v>
      </c>
      <c r="N520" s="1409"/>
      <c r="O520" s="1408"/>
      <c r="P520" s="1408"/>
      <c r="Q520" s="1408"/>
      <c r="R520" s="1408"/>
      <c r="S520" s="1408"/>
      <c r="T520" s="1408"/>
      <c r="U520" s="1408"/>
      <c r="V520" s="1408"/>
      <c r="W520" s="1408"/>
      <c r="X520" s="1408"/>
      <c r="Y520" s="1408"/>
      <c r="Z520" s="1408"/>
      <c r="AA520" s="1408"/>
    </row>
    <row r="521" spans="1:27" x14ac:dyDescent="0.25">
      <c r="A521" s="926" t="s">
        <v>1295</v>
      </c>
      <c r="B521" s="857" t="str">
        <f ca="1">IF('Pricing Schedule'!$K$5="No",_xlfn.CONCAT(IFERROR(SUBSTITUTE(ADDRESS(1,MATCH(A521,INDIRECT("'"&amp;E521&amp;"'"&amp;"!A10:Z10"),0),4),1,""),""),28),_xlfn.CONCAT(IFERROR(SUBSTITUTE(ADDRESS(1,MATCH(A521,INDIRECT("'"&amp;E521&amp;"'"&amp;"!A10:Z10"),0),4),1,""),""),62))</f>
        <v>F28</v>
      </c>
      <c r="C521" s="857" t="str">
        <f ca="1">IF('Pricing Schedule'!$K$5="No",IFERROR(SUBSTITUTE(ADDRESS(1,MATCH(A521,INDIRECT("'"&amp;E521&amp;"'"&amp;"!A10:Z10"),0),4),1,""),""),IFERROR(SUBSTITUTE(ADDRESS(1,MATCH(A521,INDIRECT("'"&amp;E521&amp;"'"&amp;"!A10:Z10"),0),4),1,""),""))</f>
        <v>F</v>
      </c>
      <c r="D521" s="859" t="s">
        <v>1374</v>
      </c>
      <c r="E521" s="859" t="s">
        <v>1291</v>
      </c>
      <c r="F521" s="1409"/>
      <c r="G521" s="1409"/>
      <c r="H521" s="1409"/>
      <c r="I521" s="857" t="str">
        <f t="shared" si="53"/>
        <v/>
      </c>
      <c r="J521" s="1409"/>
      <c r="K521" s="1409" t="str">
        <f t="shared" si="54"/>
        <v/>
      </c>
      <c r="L521" s="898" t="s">
        <v>225</v>
      </c>
      <c r="M521" s="1409">
        <v>490</v>
      </c>
      <c r="N521" s="1409"/>
      <c r="O521" s="1408"/>
      <c r="P521" s="1408"/>
      <c r="Q521" s="1408"/>
      <c r="R521" s="1408"/>
      <c r="S521" s="1408"/>
      <c r="T521" s="1408"/>
      <c r="U521" s="1408"/>
      <c r="V521" s="1408"/>
      <c r="W521" s="1408"/>
      <c r="X521" s="1408"/>
      <c r="Y521" s="1408"/>
      <c r="Z521" s="1408"/>
      <c r="AA521" s="1408"/>
    </row>
    <row r="522" spans="1:27" x14ac:dyDescent="0.25">
      <c r="A522" s="927" t="s">
        <v>463</v>
      </c>
      <c r="B522" s="857" t="str">
        <f ca="1">_xlfn.CONCAT(IFERROR(SUBSTITUTE(ADDRESS(1,MATCH(A522,INDIRECT("'"&amp;E522&amp;"'"&amp;"!A9:Z9"),0),4),1,""),""),30)</f>
        <v>E30</v>
      </c>
      <c r="C522" s="857" t="str">
        <f ca="1">_xlfn.CONCAT(IFERROR(SUBSTITUTE(ADDRESS(1,MATCH(A522,INDIRECT("'"&amp;E522&amp;"'"&amp;"!A9:Z9"),0),4),1,""),""))</f>
        <v>E</v>
      </c>
      <c r="D522" s="1174" t="s">
        <v>1374</v>
      </c>
      <c r="E522" s="859" t="s">
        <v>208</v>
      </c>
      <c r="F522" s="1409"/>
      <c r="G522" s="1409"/>
      <c r="H522" s="1409"/>
      <c r="I522" s="857" t="str">
        <f t="shared" si="53"/>
        <v>Exclude PIM Classes Below</v>
      </c>
      <c r="J522" s="1409" t="str">
        <f t="shared" ref="J522:J538" si="55">IF(M522&lt;&gt;"",Q$1&amp;M522,"")</f>
        <v>F491</v>
      </c>
      <c r="K522" s="1409" t="str">
        <f t="shared" si="54"/>
        <v>PIM Model</v>
      </c>
      <c r="L522" s="898" t="s">
        <v>463</v>
      </c>
      <c r="M522" s="1409">
        <v>491</v>
      </c>
      <c r="N522" s="1409"/>
      <c r="O522" s="1408"/>
      <c r="P522" s="1408"/>
      <c r="Q522" s="1408"/>
      <c r="R522" s="1408"/>
      <c r="S522" s="1408"/>
      <c r="T522" s="1408"/>
      <c r="U522" s="1408"/>
      <c r="V522" s="1408"/>
      <c r="W522" s="1408"/>
      <c r="X522" s="1408"/>
      <c r="Y522" s="1408"/>
      <c r="Z522" s="1408"/>
      <c r="AA522" s="1408"/>
    </row>
    <row r="523" spans="1:27" x14ac:dyDescent="0.25">
      <c r="A523" s="927" t="s">
        <v>1294</v>
      </c>
      <c r="B523" s="857" t="str">
        <f ca="1">IF('Pricing Schedule'!$K$5="No",_xlfn.CONCAT(IFERROR(SUBSTITUTE(ADDRESS(1,MATCH(A523,INDIRECT("'"&amp;E523&amp;"'"&amp;"!A10:Z10"),0),4),1,""),""),28),_xlfn.CONCAT(IFERROR(SUBSTITUTE(ADDRESS(1,MATCH(A523,INDIRECT("'"&amp;E523&amp;"'"&amp;"!A10:Z10"),0),4),1,""),""),62))</f>
        <v>E28</v>
      </c>
      <c r="C523" s="857" t="str">
        <f ca="1">IF('Pricing Schedule'!$K$5="No",IFERROR(SUBSTITUTE(ADDRESS(1,MATCH(A523,INDIRECT("'"&amp;E523&amp;"'"&amp;"!A10:Z10"),0),4),1,""),""),IFERROR(SUBSTITUTE(ADDRESS(1,MATCH(A523,INDIRECT("'"&amp;E523&amp;"'"&amp;"!A10:Z10"),0),4),1,""),""))</f>
        <v>E</v>
      </c>
      <c r="D523" s="859" t="s">
        <v>1374</v>
      </c>
      <c r="E523" s="859" t="s">
        <v>1291</v>
      </c>
      <c r="F523" s="1409"/>
      <c r="G523" s="1409"/>
      <c r="H523" s="1409"/>
      <c r="I523" s="857" t="str">
        <f t="shared" si="53"/>
        <v>Special Pricing Code</v>
      </c>
      <c r="J523" s="1409" t="str">
        <f t="shared" si="55"/>
        <v>F492</v>
      </c>
      <c r="K523" s="1409" t="str">
        <f t="shared" si="54"/>
        <v>Pricing Schedule</v>
      </c>
      <c r="L523" s="898" t="s">
        <v>1294</v>
      </c>
      <c r="M523" s="1409">
        <v>492</v>
      </c>
      <c r="N523" s="1409"/>
      <c r="O523" s="1408"/>
      <c r="P523" s="1408"/>
      <c r="Q523" s="1408"/>
      <c r="R523" s="1408"/>
      <c r="S523" s="1408"/>
      <c r="T523" s="1408"/>
      <c r="U523" s="1408"/>
      <c r="V523" s="1408"/>
      <c r="W523" s="1408"/>
      <c r="X523" s="1408"/>
      <c r="Y523" s="1408"/>
      <c r="Z523" s="1408"/>
      <c r="AA523" s="1408"/>
    </row>
    <row r="524" spans="1:27" x14ac:dyDescent="0.25">
      <c r="A524" s="927" t="s">
        <v>1296</v>
      </c>
      <c r="B524" s="857" t="str">
        <f ca="1">IF('Pricing Schedule'!$K$5="No",_xlfn.CONCAT(IFERROR(SUBSTITUTE(ADDRESS(1,MATCH(A524,INDIRECT("'"&amp;E524&amp;"'"&amp;"!A10:Z10"),0),4),1,""),""),28),_xlfn.CONCAT(IFERROR(SUBSTITUTE(ADDRESS(1,MATCH(A524,INDIRECT("'"&amp;E524&amp;"'"&amp;"!A10:Z10"),0),4),1,""),""),62))</f>
        <v>G28</v>
      </c>
      <c r="C524" s="857" t="str">
        <f ca="1">IF('Pricing Schedule'!$K$5="No",IFERROR(SUBSTITUTE(ADDRESS(1,MATCH(A524,INDIRECT("'"&amp;E524&amp;"'"&amp;"!A10:Z10"),0),4),1,""),""),IFERROR(SUBSTITUTE(ADDRESS(1,MATCH(A524,INDIRECT("'"&amp;E524&amp;"'"&amp;"!A10:Z10"),0),4),1,""),""))</f>
        <v>G</v>
      </c>
      <c r="D524" s="859" t="s">
        <v>1374</v>
      </c>
      <c r="E524" s="859" t="s">
        <v>1291</v>
      </c>
      <c r="F524" s="1422"/>
      <c r="G524" s="1409"/>
      <c r="H524" s="1409"/>
      <c r="I524" s="857" t="str">
        <f t="shared" si="53"/>
        <v>EB Markup Amt</v>
      </c>
      <c r="J524" s="1409" t="str">
        <f t="shared" si="55"/>
        <v>F493</v>
      </c>
      <c r="K524" s="1409" t="str">
        <f t="shared" si="54"/>
        <v>Pricing Schedule</v>
      </c>
      <c r="L524" s="898" t="s">
        <v>1296</v>
      </c>
      <c r="M524" s="1409">
        <v>493</v>
      </c>
      <c r="N524" s="1409"/>
      <c r="O524" s="1408"/>
      <c r="P524" s="1408"/>
      <c r="Q524" s="1408"/>
      <c r="R524" s="1408"/>
      <c r="S524" s="1408"/>
      <c r="T524" s="1408"/>
      <c r="U524" s="1408"/>
      <c r="V524" s="1408"/>
      <c r="W524" s="1408"/>
      <c r="X524" s="1408"/>
      <c r="Y524" s="1408"/>
      <c r="Z524" s="1408"/>
      <c r="AA524" s="1408"/>
    </row>
    <row r="525" spans="1:27" x14ac:dyDescent="0.25">
      <c r="A525" s="927" t="s">
        <v>1297</v>
      </c>
      <c r="B525" s="857" t="str">
        <f ca="1">IF('Pricing Schedule'!$K$5="No",_xlfn.CONCAT(IFERROR(SUBSTITUTE(ADDRESS(1,MATCH(A525,INDIRECT("'"&amp;E525&amp;"'"&amp;"!A10:Z10"),0),4),1,""),""),28),_xlfn.CONCAT(IFERROR(SUBSTITUTE(ADDRESS(1,MATCH(A525,INDIRECT("'"&amp;E525&amp;"'"&amp;"!A10:Z10"),0),4),1,""),""),62))</f>
        <v>I28</v>
      </c>
      <c r="C525" s="857" t="str">
        <f ca="1">IF('Pricing Schedule'!$K$5="No",IFERROR(SUBSTITUTE(ADDRESS(1,MATCH(A525,INDIRECT("'"&amp;E525&amp;"'"&amp;"!A10:Z10"),0),4),1,""),""),IFERROR(SUBSTITUTE(ADDRESS(1,MATCH(A525,INDIRECT("'"&amp;E525&amp;"'"&amp;"!A10:Z10"),0),4),1,""),""))</f>
        <v>I</v>
      </c>
      <c r="D525" s="859" t="s">
        <v>1374</v>
      </c>
      <c r="E525" s="859" t="s">
        <v>1291</v>
      </c>
      <c r="F525" s="1422"/>
      <c r="G525" s="1409"/>
      <c r="H525" s="1409"/>
      <c r="I525" s="857" t="str">
        <f t="shared" si="53"/>
        <v>Min CS Markup Override Flag</v>
      </c>
      <c r="J525" s="1409" t="str">
        <f t="shared" si="55"/>
        <v>F494</v>
      </c>
      <c r="K525" s="1409" t="str">
        <f t="shared" si="54"/>
        <v>Pricing Schedule</v>
      </c>
      <c r="L525" s="898" t="s">
        <v>1297</v>
      </c>
      <c r="M525" s="1409">
        <v>494</v>
      </c>
      <c r="N525" s="1409"/>
      <c r="O525" s="1408"/>
      <c r="P525" s="1408"/>
      <c r="Q525" s="1408"/>
      <c r="R525" s="1408"/>
      <c r="S525" s="1408"/>
      <c r="T525" s="1408"/>
      <c r="U525" s="1408"/>
      <c r="V525" s="1408"/>
      <c r="W525" s="1408"/>
      <c r="X525" s="1408"/>
      <c r="Y525" s="1408"/>
      <c r="Z525" s="1408"/>
      <c r="AA525" s="1408"/>
    </row>
    <row r="526" spans="1:27" x14ac:dyDescent="0.25">
      <c r="A526" s="927" t="s">
        <v>1298</v>
      </c>
      <c r="B526" s="857" t="str">
        <f ca="1">IF('Pricing Schedule'!$K$5="No",_xlfn.CONCAT(IFERROR(SUBSTITUTE(ADDRESS(1,MATCH(A526,INDIRECT("'"&amp;E526&amp;"'"&amp;"!A10:Z10"),0),4),1,""),""),28),_xlfn.CONCAT(IFERROR(SUBSTITUTE(ADDRESS(1,MATCH(A526,INDIRECT("'"&amp;E526&amp;"'"&amp;"!A10:Z10"),0),4),1,""),""),62))</f>
        <v>J28</v>
      </c>
      <c r="C526" s="857" t="str">
        <f ca="1">IF('Pricing Schedule'!$K$5="No",IFERROR(SUBSTITUTE(ADDRESS(1,MATCH(A526,INDIRECT("'"&amp;E526&amp;"'"&amp;"!A10:Z10"),0),4),1,""),""),IFERROR(SUBSTITUTE(ADDRESS(1,MATCH(A526,INDIRECT("'"&amp;E526&amp;"'"&amp;"!A10:Z10"),0),4),1,""),""))</f>
        <v>J</v>
      </c>
      <c r="D526" s="859" t="s">
        <v>1374</v>
      </c>
      <c r="E526" s="859" t="s">
        <v>1291</v>
      </c>
      <c r="F526" s="1422"/>
      <c r="G526" s="1409"/>
      <c r="H526" s="1409"/>
      <c r="I526" s="857" t="str">
        <f t="shared" si="53"/>
        <v>Min CS Markup Amt</v>
      </c>
      <c r="J526" s="1409" t="str">
        <f t="shared" si="55"/>
        <v>F495</v>
      </c>
      <c r="K526" s="1409" t="str">
        <f t="shared" si="54"/>
        <v>Pricing Schedule</v>
      </c>
      <c r="L526" s="898" t="s">
        <v>1298</v>
      </c>
      <c r="M526" s="1409">
        <v>495</v>
      </c>
      <c r="N526" s="1409"/>
      <c r="O526" s="1408"/>
      <c r="P526" s="1408"/>
      <c r="Q526" s="1408"/>
      <c r="R526" s="1408"/>
      <c r="S526" s="1408"/>
      <c r="T526" s="1408"/>
      <c r="U526" s="1408"/>
      <c r="V526" s="1408"/>
      <c r="W526" s="1408"/>
      <c r="X526" s="1408"/>
      <c r="Y526" s="1408"/>
      <c r="Z526" s="1408"/>
      <c r="AA526" s="1408"/>
    </row>
    <row r="527" spans="1:27" x14ac:dyDescent="0.25">
      <c r="A527" s="927" t="s">
        <v>1299</v>
      </c>
      <c r="B527" s="857" t="str">
        <f ca="1">IF('Pricing Schedule'!$K$5="No",_xlfn.CONCAT(IFERROR(SUBSTITUTE(ADDRESS(1,MATCH(A527,INDIRECT("'"&amp;E527&amp;"'"&amp;"!A10:Z10"),0),4),1,""),""),28),_xlfn.CONCAT(IFERROR(SUBSTITUTE(ADDRESS(1,MATCH(A527,INDIRECT("'"&amp;E527&amp;"'"&amp;"!A10:Z10"),0),4),1,""),""),62))</f>
        <v>K28</v>
      </c>
      <c r="C527" s="857" t="str">
        <f ca="1">IF('Pricing Schedule'!$K$5="No",IFERROR(SUBSTITUTE(ADDRESS(1,MATCH(A527,INDIRECT("'"&amp;E527&amp;"'"&amp;"!A10:Z10"),0),4),1,""),""),IFERROR(SUBSTITUTE(ADDRESS(1,MATCH(A527,INDIRECT("'"&amp;E527&amp;"'"&amp;"!A10:Z10"),0),4),1,""),""))</f>
        <v>K</v>
      </c>
      <c r="D527" s="859" t="s">
        <v>1374</v>
      </c>
      <c r="E527" s="859" t="s">
        <v>1291</v>
      </c>
      <c r="F527" s="1422"/>
      <c r="G527" s="1409"/>
      <c r="H527" s="1409"/>
      <c r="I527" s="857" t="str">
        <f t="shared" si="53"/>
        <v>Split Case Fee Override Flag</v>
      </c>
      <c r="J527" s="1409" t="str">
        <f t="shared" si="55"/>
        <v>F496</v>
      </c>
      <c r="K527" s="1409" t="str">
        <f t="shared" si="54"/>
        <v>Pricing Schedule</v>
      </c>
      <c r="L527" s="898" t="s">
        <v>1299</v>
      </c>
      <c r="M527" s="1409">
        <v>496</v>
      </c>
      <c r="N527" s="1409"/>
      <c r="O527" s="1408"/>
      <c r="P527" s="1408"/>
      <c r="Q527" s="1408"/>
      <c r="R527" s="1408"/>
      <c r="S527" s="1408"/>
      <c r="T527" s="1408"/>
      <c r="U527" s="1408"/>
      <c r="V527" s="1408"/>
      <c r="W527" s="1408"/>
      <c r="X527" s="1408"/>
      <c r="Y527" s="1408"/>
      <c r="Z527" s="1408"/>
      <c r="AA527" s="1408"/>
    </row>
    <row r="528" spans="1:27" x14ac:dyDescent="0.25">
      <c r="A528" s="927" t="s">
        <v>1300</v>
      </c>
      <c r="B528" s="857" t="str">
        <f ca="1">IF('Pricing Schedule'!$K$5="No",_xlfn.CONCAT(IFERROR(SUBSTITUTE(ADDRESS(1,MATCH(A528,INDIRECT("'"&amp;E528&amp;"'"&amp;"!A10:Z10"),0),4),1,""),""),28),_xlfn.CONCAT(IFERROR(SUBSTITUTE(ADDRESS(1,MATCH(A528,INDIRECT("'"&amp;E528&amp;"'"&amp;"!A10:Z10"),0),4),1,""),""),62))</f>
        <v>L28</v>
      </c>
      <c r="C528" s="857" t="str">
        <f ca="1">IF('Pricing Schedule'!$K$5="No",IFERROR(SUBSTITUTE(ADDRESS(1,MATCH(A528,INDIRECT("'"&amp;E528&amp;"'"&amp;"!A10:Z10"),0),4),1,""),""),IFERROR(SUBSTITUTE(ADDRESS(1,MATCH(A528,INDIRECT("'"&amp;E528&amp;"'"&amp;"!A10:Z10"),0),4),1,""),""))</f>
        <v>L</v>
      </c>
      <c r="D528" s="859" t="s">
        <v>1374</v>
      </c>
      <c r="E528" s="859" t="s">
        <v>1291</v>
      </c>
      <c r="F528" s="1422"/>
      <c r="G528" s="1409"/>
      <c r="H528" s="1409"/>
      <c r="I528" s="857" t="str">
        <f t="shared" si="53"/>
        <v>Split Case Fee</v>
      </c>
      <c r="J528" s="1409" t="str">
        <f t="shared" si="55"/>
        <v>F497</v>
      </c>
      <c r="K528" s="1409" t="str">
        <f t="shared" si="54"/>
        <v>Pricing Schedule</v>
      </c>
      <c r="L528" s="898" t="s">
        <v>1300</v>
      </c>
      <c r="M528" s="1409">
        <v>497</v>
      </c>
      <c r="N528" s="1409"/>
      <c r="O528" s="1408"/>
      <c r="P528" s="1408"/>
      <c r="Q528" s="1408"/>
      <c r="R528" s="1408"/>
      <c r="S528" s="1408"/>
      <c r="T528" s="1408"/>
      <c r="U528" s="1408"/>
      <c r="V528" s="1408"/>
      <c r="W528" s="1408"/>
      <c r="X528" s="1408"/>
      <c r="Y528" s="1408"/>
      <c r="Z528" s="1408"/>
      <c r="AA528" s="1408"/>
    </row>
    <row r="529" spans="1:27" x14ac:dyDescent="0.25">
      <c r="A529" s="927" t="s">
        <v>1238</v>
      </c>
      <c r="B529" s="857" t="str">
        <f ca="1">IF('Pricing Schedule'!$K$5="No",_xlfn.CONCAT(IFERROR(SUBSTITUTE(ADDRESS(1,MATCH(A529,INDIRECT("'"&amp;E529&amp;"'"&amp;"!A10:Z10"),0),4),1,""),""),28),_xlfn.CONCAT(IFERROR(SUBSTITUTE(ADDRESS(1,MATCH(A529,INDIRECT("'"&amp;E529&amp;"'"&amp;"!A10:Z10"),0),4),1,""),""),62))</f>
        <v>M28</v>
      </c>
      <c r="C529" s="857" t="str">
        <f ca="1">IF('Pricing Schedule'!$K$5="No",IFERROR(SUBSTITUTE(ADDRESS(1,MATCH(A529,INDIRECT("'"&amp;E529&amp;"'"&amp;"!A10:Z10"),0),4),1,""),""),IFERROR(SUBSTITUTE(ADDRESS(1,MATCH(A529,INDIRECT("'"&amp;E529&amp;"'"&amp;"!A10:Z10"),0),4),1,""),""))</f>
        <v>M</v>
      </c>
      <c r="D529" s="859" t="s">
        <v>1374</v>
      </c>
      <c r="E529" s="859" t="s">
        <v>1291</v>
      </c>
      <c r="F529" s="1422"/>
      <c r="G529" s="1409"/>
      <c r="H529" s="1409"/>
      <c r="I529" s="857" t="str">
        <f t="shared" si="53"/>
        <v>Split Case Per</v>
      </c>
      <c r="J529" s="1409" t="str">
        <f t="shared" si="55"/>
        <v>F498</v>
      </c>
      <c r="K529" s="1409" t="str">
        <f t="shared" si="54"/>
        <v>Pricing Schedule</v>
      </c>
      <c r="L529" s="898" t="s">
        <v>1238</v>
      </c>
      <c r="M529" s="1409">
        <v>498</v>
      </c>
      <c r="N529" s="1409"/>
      <c r="O529" s="1408"/>
      <c r="P529" s="1408"/>
      <c r="Q529" s="1408"/>
      <c r="R529" s="1408"/>
      <c r="S529" s="1408"/>
      <c r="T529" s="1408"/>
      <c r="U529" s="1408"/>
      <c r="V529" s="1408"/>
      <c r="W529" s="1408"/>
      <c r="X529" s="1408"/>
      <c r="Y529" s="1408"/>
      <c r="Z529" s="1408"/>
      <c r="AA529" s="1408"/>
    </row>
    <row r="530" spans="1:27" x14ac:dyDescent="0.25">
      <c r="A530" s="897" t="s">
        <v>1287</v>
      </c>
      <c r="B530" s="857" t="str">
        <f ca="1">_xlfn.CONCAT(IFERROR(SUBSTITUTE(ADDRESS(1,MATCH(A530,INDIRECT("'"&amp;E530&amp;"'"&amp;"!A4:Z4"),0),4),1,""),""),4)</f>
        <v>M4</v>
      </c>
      <c r="C530" s="1174" t="str">
        <f ca="1">_xlfn.CONCAT(IFERROR(SUBSTITUTE(ADDRESS(1,MATCH(A530,INDIRECT("'"&amp;E530&amp;"'"&amp;"!A4:Z4"),0),4),1,""),""),5)</f>
        <v>M5</v>
      </c>
      <c r="D530" s="859" t="s">
        <v>1367</v>
      </c>
      <c r="E530" s="859" t="s">
        <v>1291</v>
      </c>
      <c r="F530" s="919" t="s">
        <v>1287</v>
      </c>
      <c r="G530" s="52" t="s">
        <v>1387</v>
      </c>
      <c r="H530" s="52" t="s">
        <v>1925</v>
      </c>
      <c r="I530" s="857" t="str">
        <f t="shared" si="53"/>
        <v>Pricing Termination End Date</v>
      </c>
      <c r="J530" s="1409" t="str">
        <f t="shared" si="55"/>
        <v>F499</v>
      </c>
      <c r="K530" s="1409" t="str">
        <f t="shared" si="54"/>
        <v>Pricing Schedule</v>
      </c>
      <c r="L530" s="898" t="s">
        <v>1287</v>
      </c>
      <c r="M530" s="1409">
        <v>499</v>
      </c>
      <c r="N530" s="1409"/>
      <c r="O530" s="1408"/>
      <c r="P530" s="1408"/>
      <c r="Q530" s="1408"/>
      <c r="R530" s="1408"/>
      <c r="S530" s="1408"/>
      <c r="T530" s="1408"/>
      <c r="U530" s="1408"/>
      <c r="V530" s="1408"/>
      <c r="W530" s="1408"/>
      <c r="X530" s="1408"/>
      <c r="Y530" s="1408"/>
      <c r="Z530" s="1408"/>
      <c r="AA530" s="1408"/>
    </row>
    <row r="531" spans="1:27" x14ac:dyDescent="0.25">
      <c r="A531" s="897" t="s">
        <v>1288</v>
      </c>
      <c r="B531" s="857" t="str">
        <f t="shared" ref="B531:B538" ca="1" si="56">_xlfn.CONCAT(IFERROR(SUBSTITUTE(ADDRESS(1,MATCH(A531,INDIRECT("'"&amp;E531&amp;"'"&amp;"!A4:Z4"),0),4),1,""),""),4)</f>
        <v>N4</v>
      </c>
      <c r="C531" s="1174" t="str">
        <f t="shared" ref="C531:C538" ca="1" si="57">_xlfn.CONCAT(IFERROR(SUBSTITUTE(ADDRESS(1,MATCH(A531,INDIRECT("'"&amp;E531&amp;"'"&amp;"!A4:Z4"),0),4),1,""),""),5)</f>
        <v>N5</v>
      </c>
      <c r="D531" s="859" t="s">
        <v>1367</v>
      </c>
      <c r="E531" s="859" t="s">
        <v>1291</v>
      </c>
      <c r="F531" s="919" t="s">
        <v>1288</v>
      </c>
      <c r="G531" s="52" t="s">
        <v>657</v>
      </c>
      <c r="H531" s="52" t="s">
        <v>1925</v>
      </c>
      <c r="I531" s="857" t="str">
        <f t="shared" si="53"/>
        <v>Pricing Termination End Date Flag</v>
      </c>
      <c r="J531" s="1409" t="str">
        <f t="shared" si="55"/>
        <v>F500</v>
      </c>
      <c r="K531" s="1409" t="str">
        <f t="shared" si="54"/>
        <v>Pricing Schedule</v>
      </c>
      <c r="L531" s="898" t="s">
        <v>1288</v>
      </c>
      <c r="M531" s="1409">
        <v>500</v>
      </c>
      <c r="N531" s="1409"/>
      <c r="O531" s="1408"/>
      <c r="P531" s="1408"/>
      <c r="Q531" s="1408"/>
      <c r="R531" s="1408"/>
      <c r="S531" s="1408"/>
      <c r="T531" s="1408"/>
      <c r="U531" s="1408"/>
      <c r="V531" s="1408"/>
      <c r="W531" s="1408"/>
      <c r="X531" s="1408"/>
      <c r="Y531" s="1408"/>
      <c r="Z531" s="1408"/>
      <c r="AA531" s="1408"/>
    </row>
    <row r="532" spans="1:27" x14ac:dyDescent="0.25">
      <c r="A532" s="897" t="s">
        <v>1282</v>
      </c>
      <c r="B532" s="857" t="str">
        <f t="shared" ca="1" si="56"/>
        <v>H4</v>
      </c>
      <c r="C532" s="1174" t="str">
        <f t="shared" ca="1" si="57"/>
        <v>H5</v>
      </c>
      <c r="D532" s="859" t="s">
        <v>1367</v>
      </c>
      <c r="E532" s="859" t="s">
        <v>1291</v>
      </c>
      <c r="F532" s="1409"/>
      <c r="G532" s="1409"/>
      <c r="H532" s="1409"/>
      <c r="I532" s="857" t="str">
        <f t="shared" si="53"/>
        <v>Pricing Override Flag</v>
      </c>
      <c r="J532" s="1409" t="str">
        <f t="shared" si="55"/>
        <v>F501</v>
      </c>
      <c r="K532" s="1409" t="str">
        <f t="shared" si="54"/>
        <v>Pricing Schedule</v>
      </c>
      <c r="L532" s="898" t="s">
        <v>1282</v>
      </c>
      <c r="M532" s="1409">
        <v>501</v>
      </c>
      <c r="N532" s="1409"/>
      <c r="O532" s="1408"/>
      <c r="P532" s="1408"/>
      <c r="Q532" s="1408"/>
      <c r="R532" s="1408"/>
      <c r="S532" s="1408"/>
      <c r="T532" s="1408"/>
      <c r="U532" s="1408"/>
      <c r="V532" s="1408"/>
      <c r="W532" s="1408"/>
      <c r="X532" s="1408"/>
      <c r="Y532" s="1408"/>
      <c r="Z532" s="1408"/>
      <c r="AA532" s="1408"/>
    </row>
    <row r="533" spans="1:27" x14ac:dyDescent="0.25">
      <c r="A533" s="897" t="s">
        <v>1280</v>
      </c>
      <c r="B533" s="857" t="str">
        <f t="shared" ca="1" si="56"/>
        <v>F4</v>
      </c>
      <c r="C533" s="1174" t="str">
        <f t="shared" ca="1" si="57"/>
        <v>F5</v>
      </c>
      <c r="D533" s="859" t="s">
        <v>1367</v>
      </c>
      <c r="E533" s="859" t="s">
        <v>1291</v>
      </c>
      <c r="F533" s="1409"/>
      <c r="G533" s="1409"/>
      <c r="H533" s="1409"/>
      <c r="I533" s="857" t="str">
        <f t="shared" si="53"/>
        <v>EBP Cost Basis</v>
      </c>
      <c r="J533" s="1409" t="str">
        <f t="shared" si="55"/>
        <v>F514</v>
      </c>
      <c r="K533" s="1409" t="str">
        <f t="shared" si="54"/>
        <v>Pricing Schedule</v>
      </c>
      <c r="L533" s="897" t="s">
        <v>1280</v>
      </c>
      <c r="M533" s="1409">
        <v>514</v>
      </c>
      <c r="N533" s="1409"/>
      <c r="O533" s="1408"/>
      <c r="P533" s="1408"/>
      <c r="Q533" s="1408"/>
      <c r="R533" s="1408"/>
      <c r="S533" s="1408"/>
      <c r="T533" s="1408"/>
      <c r="U533" s="1408"/>
      <c r="V533" s="1408"/>
      <c r="W533" s="1408"/>
      <c r="X533" s="1408"/>
      <c r="Y533" s="1408"/>
      <c r="Z533" s="1408"/>
      <c r="AA533" s="1408"/>
    </row>
    <row r="534" spans="1:27" x14ac:dyDescent="0.25">
      <c r="A534" s="897" t="s">
        <v>1281</v>
      </c>
      <c r="B534" s="857" t="str">
        <f t="shared" ca="1" si="56"/>
        <v>G4</v>
      </c>
      <c r="C534" s="1174" t="str">
        <f t="shared" ca="1" si="57"/>
        <v>G5</v>
      </c>
      <c r="D534" s="859" t="s">
        <v>1367</v>
      </c>
      <c r="E534" s="859" t="s">
        <v>1291</v>
      </c>
      <c r="F534" s="1409"/>
      <c r="G534" s="1409"/>
      <c r="H534" s="1409"/>
      <c r="I534" s="857" t="str">
        <f t="shared" si="53"/>
        <v>Eligible EBP Language</v>
      </c>
      <c r="J534" s="1409" t="str">
        <f t="shared" si="55"/>
        <v>F515</v>
      </c>
      <c r="K534" s="1409" t="str">
        <f t="shared" si="54"/>
        <v>Pricing Schedule</v>
      </c>
      <c r="L534" s="897" t="s">
        <v>1478</v>
      </c>
      <c r="M534" s="1409">
        <v>515</v>
      </c>
      <c r="N534" s="1409"/>
      <c r="O534" s="1408"/>
      <c r="P534" s="1408"/>
      <c r="Q534" s="1408"/>
      <c r="R534" s="1408"/>
      <c r="S534" s="1408"/>
      <c r="T534" s="1408"/>
      <c r="U534" s="1408"/>
      <c r="V534" s="1408"/>
      <c r="W534" s="1408"/>
      <c r="X534" s="1408"/>
      <c r="Y534" s="1408"/>
      <c r="Z534" s="1408"/>
      <c r="AA534" s="1408"/>
    </row>
    <row r="535" spans="1:27" ht="30" x14ac:dyDescent="0.25">
      <c r="A535" s="897" t="s">
        <v>1283</v>
      </c>
      <c r="B535" s="857" t="str">
        <f t="shared" ca="1" si="56"/>
        <v>I4</v>
      </c>
      <c r="C535" s="1174" t="str">
        <f t="shared" ca="1" si="57"/>
        <v>I5</v>
      </c>
      <c r="D535" s="859" t="s">
        <v>1367</v>
      </c>
      <c r="E535" s="859" t="s">
        <v>1291</v>
      </c>
      <c r="F535" s="1409"/>
      <c r="G535" s="1409"/>
      <c r="H535" s="1409"/>
      <c r="I535" s="857" t="str">
        <f t="shared" si="53"/>
        <v>Product Pricing Schedule Included Flag</v>
      </c>
      <c r="J535" s="1409" t="str">
        <f t="shared" si="55"/>
        <v>F517</v>
      </c>
      <c r="K535" s="1409" t="str">
        <f t="shared" si="54"/>
        <v>Pricing Schedule</v>
      </c>
      <c r="L535" s="897" t="s">
        <v>1283</v>
      </c>
      <c r="M535" s="1409">
        <v>517</v>
      </c>
      <c r="N535" s="1409"/>
      <c r="O535" s="1408"/>
      <c r="P535" s="1408"/>
      <c r="Q535" s="1408"/>
      <c r="R535" s="1408"/>
      <c r="S535" s="1408"/>
      <c r="T535" s="1408"/>
      <c r="U535" s="1408"/>
      <c r="V535" s="1408"/>
      <c r="W535" s="1408"/>
      <c r="X535" s="1408"/>
      <c r="Y535" s="1408"/>
      <c r="Z535" s="1408"/>
      <c r="AA535" s="1408"/>
    </row>
    <row r="536" spans="1:27" x14ac:dyDescent="0.25">
      <c r="A536" s="897" t="s">
        <v>1284</v>
      </c>
      <c r="B536" s="857" t="str">
        <f t="shared" ca="1" si="56"/>
        <v>J4</v>
      </c>
      <c r="C536" s="1174" t="str">
        <f t="shared" ca="1" si="57"/>
        <v>J5</v>
      </c>
      <c r="D536" s="859" t="s">
        <v>1367</v>
      </c>
      <c r="E536" s="859" t="s">
        <v>1291</v>
      </c>
      <c r="F536" s="1409"/>
      <c r="G536" s="1409"/>
      <c r="H536" s="1409"/>
      <c r="I536" s="857" t="str">
        <f t="shared" si="53"/>
        <v>Special Pricing Flag</v>
      </c>
      <c r="J536" s="1409" t="str">
        <f t="shared" si="55"/>
        <v>F518</v>
      </c>
      <c r="K536" s="1409" t="str">
        <f t="shared" si="54"/>
        <v>Pricing Schedule</v>
      </c>
      <c r="L536" s="897" t="s">
        <v>1284</v>
      </c>
      <c r="M536" s="1409">
        <v>518</v>
      </c>
      <c r="N536" s="1409"/>
      <c r="O536" s="1408"/>
      <c r="P536" s="1408"/>
      <c r="Q536" s="1408"/>
      <c r="R536" s="1408"/>
      <c r="S536" s="1408"/>
      <c r="T536" s="1408"/>
      <c r="U536" s="1408"/>
      <c r="V536" s="1408"/>
      <c r="W536" s="1408"/>
      <c r="X536" s="1408"/>
      <c r="Y536" s="1408"/>
      <c r="Z536" s="1408"/>
      <c r="AA536" s="1408"/>
    </row>
    <row r="537" spans="1:27" x14ac:dyDescent="0.25">
      <c r="A537" s="897" t="s">
        <v>1285</v>
      </c>
      <c r="B537" s="857" t="str">
        <f t="shared" ca="1" si="56"/>
        <v>K4</v>
      </c>
      <c r="C537" s="1174" t="str">
        <f t="shared" ca="1" si="57"/>
        <v>K5</v>
      </c>
      <c r="D537" s="859" t="s">
        <v>1367</v>
      </c>
      <c r="E537" s="859" t="s">
        <v>1291</v>
      </c>
      <c r="F537" s="1409"/>
      <c r="G537" s="1409"/>
      <c r="H537" s="1409"/>
      <c r="I537" s="857" t="str">
        <f t="shared" si="53"/>
        <v>Altenate Pricing Schedule Flag</v>
      </c>
      <c r="J537" s="1409" t="str">
        <f t="shared" si="55"/>
        <v>F519</v>
      </c>
      <c r="K537" s="1409" t="str">
        <f t="shared" si="54"/>
        <v>Pricing Schedule</v>
      </c>
      <c r="L537" s="897" t="s">
        <v>1480</v>
      </c>
      <c r="M537" s="1409">
        <v>519</v>
      </c>
      <c r="N537" s="1409"/>
      <c r="O537" s="1408"/>
      <c r="P537" s="1408"/>
      <c r="Q537" s="1408"/>
      <c r="R537" s="1408"/>
      <c r="S537" s="1408"/>
      <c r="T537" s="1408"/>
      <c r="U537" s="1408"/>
      <c r="V537" s="1408"/>
      <c r="W537" s="1408"/>
      <c r="X537" s="1408"/>
      <c r="Y537" s="1408"/>
      <c r="Z537" s="1408"/>
      <c r="AA537" s="1408"/>
    </row>
    <row r="538" spans="1:27" x14ac:dyDescent="0.25">
      <c r="A538" s="897" t="s">
        <v>1286</v>
      </c>
      <c r="B538" s="857" t="str">
        <f t="shared" ca="1" si="56"/>
        <v>L4</v>
      </c>
      <c r="C538" s="1174" t="str">
        <f t="shared" ca="1" si="57"/>
        <v>L5</v>
      </c>
      <c r="D538" s="859" t="s">
        <v>1367</v>
      </c>
      <c r="E538" s="859" t="s">
        <v>1291</v>
      </c>
      <c r="F538" s="1409"/>
      <c r="G538" s="1409"/>
      <c r="H538" s="1409"/>
      <c r="I538" s="857" t="str">
        <f t="shared" si="53"/>
        <v>EB Pricing Schedule Flag</v>
      </c>
      <c r="J538" s="1409" t="str">
        <f t="shared" si="55"/>
        <v>F520</v>
      </c>
      <c r="K538" s="1409" t="str">
        <f t="shared" si="54"/>
        <v>Pricing Schedule</v>
      </c>
      <c r="L538" s="897" t="s">
        <v>1286</v>
      </c>
      <c r="M538" s="52">
        <v>520</v>
      </c>
      <c r="N538" s="1409"/>
      <c r="O538" s="1408" t="s">
        <v>726</v>
      </c>
      <c r="P538" s="1408"/>
      <c r="Q538" s="1408"/>
      <c r="R538" s="1408"/>
      <c r="S538" s="1408"/>
      <c r="T538" s="1408"/>
      <c r="U538" s="1408"/>
      <c r="V538" s="1408"/>
      <c r="W538" s="1408"/>
      <c r="X538" s="1408"/>
      <c r="Y538" s="1408"/>
      <c r="Z538" s="1408"/>
      <c r="AA538" s="1408"/>
    </row>
    <row r="539" spans="1:27" x14ac:dyDescent="0.25">
      <c r="A539" s="925" t="s">
        <v>1510</v>
      </c>
      <c r="B539" s="897" t="str">
        <f ca="1">IFERROR(_xlfn.CONCAT("C",MATCH(A539,INDIRECT("'"&amp;E539&amp;"'!C"&amp;$O$539&amp;":C"&amp;$O$541),0)+$O$539-1),"")</f>
        <v>C7</v>
      </c>
      <c r="C539" s="897" t="str">
        <f ca="1">IFERROR(_xlfn.CONCAT("D",MATCH(A539,INDIRECT("'"&amp;E539&amp;"'!C"&amp;$O$539&amp;":C"&amp;$O$541),0)+$O$539-1),"")</f>
        <v>D7</v>
      </c>
      <c r="D539" s="897" t="s">
        <v>1367</v>
      </c>
      <c r="E539" s="897" t="s">
        <v>1535</v>
      </c>
      <c r="F539" s="1409" t="s">
        <v>1510</v>
      </c>
      <c r="G539" s="1409" t="str">
        <f>IF(T539&lt;&gt;"","A","")</f>
        <v/>
      </c>
      <c r="H539" s="1409" t="s">
        <v>1926</v>
      </c>
      <c r="I539" s="857" t="str">
        <f t="shared" si="53"/>
        <v/>
      </c>
      <c r="J539" s="1409"/>
      <c r="K539" s="1409" t="str">
        <f t="shared" si="54"/>
        <v/>
      </c>
      <c r="L539" s="897" t="s">
        <v>1510</v>
      </c>
      <c r="M539" s="1410">
        <v>522</v>
      </c>
      <c r="N539" s="1409"/>
      <c r="O539" s="1408">
        <f>'Configurable Tab'!H3</f>
        <v>3</v>
      </c>
      <c r="P539" s="1408"/>
      <c r="Q539" s="1408"/>
      <c r="R539" s="1409" t="s">
        <v>855</v>
      </c>
      <c r="S539" s="1408"/>
      <c r="T539" s="1409" t="str">
        <f>IF(Q$540="Yes",1,"")</f>
        <v/>
      </c>
      <c r="U539" s="1408"/>
      <c r="V539" s="1408"/>
      <c r="W539" s="1408"/>
      <c r="X539" s="1408"/>
      <c r="Y539" s="1408"/>
      <c r="Z539" s="1408"/>
      <c r="AA539" s="1408"/>
    </row>
    <row r="540" spans="1:27" x14ac:dyDescent="0.25">
      <c r="A540" s="925" t="s">
        <v>1724</v>
      </c>
      <c r="B540" s="897" t="str">
        <f ca="1">_xlfn.CONCAT(IFERROR(SUBSTITUTE(ADDRESS(1,MATCH(A540,INDIRECT("'"&amp;E540&amp;"'"&amp;"!A" &amp; $O$539+11 &amp; ":Z" &amp; $O$539+11 ),0),4),1,""),""),$O$539+11)</f>
        <v>T14</v>
      </c>
      <c r="C540" s="897" t="str">
        <f ca="1">_xlfn.CONCAT(IFERROR(SUBSTITUTE(ADDRESS(1,MATCH(A540,INDIRECT("'"&amp;E540&amp;"'"&amp;"!A" &amp; $O$539+11 &amp; ":Z" &amp; $O$539+11 ),0),4),1,""),""),$O$539+12)</f>
        <v>T15</v>
      </c>
      <c r="D540" s="897" t="s">
        <v>1367</v>
      </c>
      <c r="E540" s="897" t="s">
        <v>1535</v>
      </c>
      <c r="F540" s="1409"/>
      <c r="G540" s="1409"/>
      <c r="H540" s="1409"/>
      <c r="I540" s="857" t="str">
        <f t="shared" si="53"/>
        <v/>
      </c>
      <c r="J540" s="1409" t="str">
        <f t="shared" ref="J540:J552" si="58">IF(M540&lt;&gt;"",IF($Q$540="Yes",Q$1&amp;M540,""))</f>
        <v/>
      </c>
      <c r="K540" s="1409" t="str">
        <f t="shared" si="54"/>
        <v/>
      </c>
      <c r="L540" s="897" t="s">
        <v>1724</v>
      </c>
      <c r="M540" s="1410">
        <v>523</v>
      </c>
      <c r="N540" s="1409"/>
      <c r="O540" s="1408" t="s">
        <v>727</v>
      </c>
      <c r="P540" s="1408">
        <f>'Configurable Tab'!J3</f>
        <v>0</v>
      </c>
      <c r="Q540" s="1408" t="s">
        <v>649</v>
      </c>
      <c r="R540" s="1409" t="s">
        <v>855</v>
      </c>
      <c r="S540" s="1408"/>
      <c r="T540" s="1409" t="str">
        <f>IF(Q$540="Yes",1,"")</f>
        <v/>
      </c>
      <c r="U540" s="1408"/>
      <c r="V540" s="1408"/>
      <c r="W540" s="1408"/>
      <c r="X540" s="1408"/>
      <c r="Y540" s="1408"/>
      <c r="Z540" s="1408"/>
      <c r="AA540" s="1408"/>
    </row>
    <row r="541" spans="1:27" x14ac:dyDescent="0.25">
      <c r="A541" s="925" t="s">
        <v>1400</v>
      </c>
      <c r="B541" s="897" t="str">
        <f ca="1">IFERROR(_xlfn.CONCAT("C",MATCH(A541,INDIRECT("'"&amp;E541&amp;"'!C"&amp;$O$539&amp;":C"&amp;$O$541),0)+$O$539-1),"")</f>
        <v>C5</v>
      </c>
      <c r="C541" s="897" t="str">
        <f ca="1">IFERROR(_xlfn.CONCAT("D",MATCH(A541,INDIRECT("'"&amp;E541&amp;"'!C"&amp;$O$539&amp;":C"&amp;$O$541),0)+$O$539-1),"")</f>
        <v>D5</v>
      </c>
      <c r="D541" s="897" t="s">
        <v>1367</v>
      </c>
      <c r="E541" s="897" t="s">
        <v>1535</v>
      </c>
      <c r="F541" s="1409" t="s">
        <v>1400</v>
      </c>
      <c r="G541" s="1409" t="str">
        <f>IF(T541&lt;&gt;"","B","")</f>
        <v/>
      </c>
      <c r="H541" s="1409" t="s">
        <v>1926</v>
      </c>
      <c r="I541" s="857" t="str">
        <f t="shared" si="53"/>
        <v/>
      </c>
      <c r="J541" s="1409"/>
      <c r="K541" s="1409" t="str">
        <f t="shared" si="54"/>
        <v/>
      </c>
      <c r="L541" s="897" t="s">
        <v>1400</v>
      </c>
      <c r="M541" s="1410">
        <v>524</v>
      </c>
      <c r="N541" s="1409"/>
      <c r="O541" s="1408">
        <f>'Configurable Tab'!I3</f>
        <v>16</v>
      </c>
      <c r="P541" s="1408"/>
      <c r="Q541" s="1408"/>
      <c r="R541" s="1409" t="s">
        <v>855</v>
      </c>
      <c r="S541" s="1408"/>
      <c r="T541" s="1409" t="str">
        <f>IF(Q$540="Yes",1,"")</f>
        <v/>
      </c>
      <c r="U541" s="1408"/>
      <c r="V541" s="1408"/>
      <c r="W541" s="1408"/>
      <c r="X541" s="1408"/>
      <c r="Y541" s="1408"/>
      <c r="Z541" s="1408"/>
      <c r="AA541" s="1408"/>
    </row>
    <row r="542" spans="1:27" x14ac:dyDescent="0.25">
      <c r="A542" s="925" t="s">
        <v>1397</v>
      </c>
      <c r="B542" s="897" t="str">
        <f t="shared" ref="B542:B548" ca="1" si="59">_xlfn.CONCAT(IFERROR(SUBSTITUTE(ADDRESS(1,MATCH(A542,INDIRECT("'"&amp;E542&amp;"'"&amp;"!A" &amp; $O$539+2 &amp; ":Z"&amp;$O$539+2 ),0),4),1,""),""),$O$539+2)</f>
        <v>H5</v>
      </c>
      <c r="C542" s="897" t="str">
        <f t="shared" ref="C542:C548" ca="1" si="60">_xlfn.CONCAT(IFERROR(SUBSTITUTE(ADDRESS(1,MATCH(A542,INDIRECT("'"&amp;E542&amp;"'"&amp;"!A" &amp; $O$539+2 &amp; ":Z"&amp;$O$539+2 ),0),4),1,""),""),$O$539+3)</f>
        <v>H6</v>
      </c>
      <c r="D542" s="897" t="s">
        <v>1367</v>
      </c>
      <c r="E542" s="897" t="s">
        <v>1535</v>
      </c>
      <c r="F542" s="1409" t="s">
        <v>1927</v>
      </c>
      <c r="G542" s="1409" t="str">
        <f>IF(T542&lt;&gt;"","E","")</f>
        <v/>
      </c>
      <c r="H542" s="1409" t="s">
        <v>1926</v>
      </c>
      <c r="I542" s="857" t="str">
        <f t="shared" si="53"/>
        <v/>
      </c>
      <c r="J542" s="1409" t="str">
        <f t="shared" si="58"/>
        <v/>
      </c>
      <c r="K542" s="1409" t="str">
        <f t="shared" si="54"/>
        <v/>
      </c>
      <c r="L542" s="897" t="s">
        <v>1397</v>
      </c>
      <c r="M542" s="1410">
        <v>525</v>
      </c>
      <c r="N542" s="1409"/>
      <c r="O542" s="1408" t="s">
        <v>1651</v>
      </c>
      <c r="P542" s="1408"/>
      <c r="Q542" s="1408"/>
      <c r="R542" s="1409" t="s">
        <v>855</v>
      </c>
      <c r="S542" s="1408"/>
      <c r="T542" s="1409" t="str">
        <f t="shared" ref="T542:T553" si="61">IF(Q$540="Yes",1,"")</f>
        <v/>
      </c>
      <c r="U542" s="1408"/>
      <c r="V542" s="1408"/>
      <c r="W542" s="1408"/>
      <c r="X542" s="1408"/>
      <c r="Y542" s="1408"/>
      <c r="Z542" s="1408"/>
      <c r="AA542" s="1408"/>
    </row>
    <row r="543" spans="1:27" x14ac:dyDescent="0.25">
      <c r="A543" s="925" t="s">
        <v>1398</v>
      </c>
      <c r="B543" s="897" t="str">
        <f t="shared" ca="1" si="59"/>
        <v>J5</v>
      </c>
      <c r="C543" s="897" t="str">
        <f t="shared" ca="1" si="60"/>
        <v>J6</v>
      </c>
      <c r="D543" s="897" t="s">
        <v>1367</v>
      </c>
      <c r="E543" s="897" t="s">
        <v>1535</v>
      </c>
      <c r="F543" s="1409" t="s">
        <v>1928</v>
      </c>
      <c r="G543" s="1409" t="str">
        <f>IF(T543&lt;&gt;"","I","")</f>
        <v/>
      </c>
      <c r="H543" s="1409" t="s">
        <v>1926</v>
      </c>
      <c r="I543" s="857" t="str">
        <f t="shared" si="53"/>
        <v/>
      </c>
      <c r="J543" s="1409" t="str">
        <f t="shared" si="58"/>
        <v/>
      </c>
      <c r="K543" s="1409" t="str">
        <f t="shared" si="54"/>
        <v/>
      </c>
      <c r="L543" s="897" t="s">
        <v>1398</v>
      </c>
      <c r="M543" s="1410">
        <v>526</v>
      </c>
      <c r="N543" s="1409"/>
      <c r="O543" s="1408"/>
      <c r="P543" s="1408"/>
      <c r="Q543" s="1408"/>
      <c r="R543" s="1409" t="s">
        <v>855</v>
      </c>
      <c r="S543" s="1408"/>
      <c r="T543" s="1409" t="str">
        <f t="shared" si="61"/>
        <v/>
      </c>
      <c r="U543" s="1408"/>
      <c r="V543" s="1408"/>
      <c r="W543" s="1408"/>
      <c r="X543" s="1408"/>
      <c r="Y543" s="1408"/>
      <c r="Z543" s="1408"/>
      <c r="AA543" s="1408"/>
    </row>
    <row r="544" spans="1:27" x14ac:dyDescent="0.25">
      <c r="A544" s="925" t="s">
        <v>1414</v>
      </c>
      <c r="B544" s="897" t="str">
        <f t="shared" ca="1" si="59"/>
        <v>L5</v>
      </c>
      <c r="C544" s="897" t="str">
        <f t="shared" ca="1" si="60"/>
        <v>L6</v>
      </c>
      <c r="D544" s="897" t="s">
        <v>1367</v>
      </c>
      <c r="E544" s="897" t="s">
        <v>1535</v>
      </c>
      <c r="F544" s="1409" t="s">
        <v>1929</v>
      </c>
      <c r="G544" s="1409" t="str">
        <f>IF(T544&lt;&gt;"","H","")</f>
        <v/>
      </c>
      <c r="H544" s="1409" t="s">
        <v>1926</v>
      </c>
      <c r="I544" s="857" t="str">
        <f t="shared" si="53"/>
        <v/>
      </c>
      <c r="J544" s="1409" t="str">
        <f t="shared" si="58"/>
        <v/>
      </c>
      <c r="K544" s="1409" t="str">
        <f t="shared" si="54"/>
        <v/>
      </c>
      <c r="L544" s="897" t="s">
        <v>1414</v>
      </c>
      <c r="M544" s="1410">
        <v>527</v>
      </c>
      <c r="N544" s="1409"/>
      <c r="O544" s="1408"/>
      <c r="P544" s="1408"/>
      <c r="Q544" s="1408"/>
      <c r="R544" s="1409" t="s">
        <v>855</v>
      </c>
      <c r="S544" s="1408"/>
      <c r="T544" s="1409" t="str">
        <f t="shared" si="61"/>
        <v/>
      </c>
      <c r="U544" s="1408"/>
      <c r="V544" s="1408"/>
      <c r="W544" s="1408"/>
      <c r="X544" s="1408"/>
      <c r="Y544" s="1408"/>
      <c r="Z544" s="1408"/>
      <c r="AA544" s="1408"/>
    </row>
    <row r="545" spans="1:27" x14ac:dyDescent="0.25">
      <c r="A545" s="925" t="s">
        <v>1399</v>
      </c>
      <c r="B545" s="897" t="str">
        <f t="shared" ca="1" si="59"/>
        <v>N5</v>
      </c>
      <c r="C545" s="897" t="str">
        <f t="shared" ca="1" si="60"/>
        <v>N6</v>
      </c>
      <c r="D545" s="897" t="s">
        <v>1367</v>
      </c>
      <c r="E545" s="897" t="s">
        <v>1535</v>
      </c>
      <c r="F545" s="1409" t="s">
        <v>1399</v>
      </c>
      <c r="G545" s="1409" t="str">
        <f>IF(T545&lt;&gt;"",IF(Q543="Credit Memo","J",IF(Q543="Check","K","")),"")</f>
        <v/>
      </c>
      <c r="H545" s="1409" t="s">
        <v>1926</v>
      </c>
      <c r="I545" s="857" t="str">
        <f t="shared" si="53"/>
        <v/>
      </c>
      <c r="J545" s="1409" t="str">
        <f t="shared" si="58"/>
        <v/>
      </c>
      <c r="K545" s="1409" t="str">
        <f t="shared" si="54"/>
        <v/>
      </c>
      <c r="L545" s="897" t="s">
        <v>1399</v>
      </c>
      <c r="M545" s="1410">
        <v>528</v>
      </c>
      <c r="N545" s="1409"/>
      <c r="O545" s="1408"/>
      <c r="P545" s="1408"/>
      <c r="Q545" s="1408"/>
      <c r="R545" s="1409" t="s">
        <v>855</v>
      </c>
      <c r="S545" s="1408"/>
      <c r="T545" s="1409" t="str">
        <f t="shared" si="61"/>
        <v/>
      </c>
      <c r="U545" s="1408"/>
      <c r="V545" s="1408"/>
      <c r="W545" s="1408"/>
      <c r="X545" s="1408"/>
      <c r="Y545" s="1408"/>
      <c r="Z545" s="1408"/>
      <c r="AA545" s="1408"/>
    </row>
    <row r="546" spans="1:27" x14ac:dyDescent="0.25">
      <c r="A546" s="925" t="s">
        <v>1505</v>
      </c>
      <c r="B546" s="897" t="str">
        <f t="shared" ca="1" si="59"/>
        <v>P5</v>
      </c>
      <c r="C546" s="897" t="str">
        <f t="shared" ca="1" si="60"/>
        <v>P6</v>
      </c>
      <c r="D546" s="897" t="s">
        <v>1367</v>
      </c>
      <c r="E546" s="897" t="s">
        <v>1535</v>
      </c>
      <c r="F546" s="1409" t="s">
        <v>1930</v>
      </c>
      <c r="G546" s="1409" t="str">
        <f>IF(T546&lt;&gt;"","F","")</f>
        <v/>
      </c>
      <c r="H546" s="1409" t="s">
        <v>1926</v>
      </c>
      <c r="I546" s="857" t="str">
        <f t="shared" si="53"/>
        <v/>
      </c>
      <c r="J546" s="1409" t="str">
        <f t="shared" si="58"/>
        <v/>
      </c>
      <c r="K546" s="1409" t="str">
        <f t="shared" si="54"/>
        <v/>
      </c>
      <c r="L546" s="897" t="s">
        <v>1505</v>
      </c>
      <c r="M546" s="1410">
        <v>529</v>
      </c>
      <c r="N546" s="1409"/>
      <c r="O546" s="1408"/>
      <c r="P546" s="1408"/>
      <c r="Q546" s="1408"/>
      <c r="R546" s="1409" t="s">
        <v>855</v>
      </c>
      <c r="S546" s="1408"/>
      <c r="T546" s="1409" t="str">
        <f t="shared" si="61"/>
        <v/>
      </c>
      <c r="U546" s="1408"/>
      <c r="V546" s="1408"/>
      <c r="W546" s="1408"/>
      <c r="X546" s="1408"/>
      <c r="Y546" s="1408"/>
      <c r="Z546" s="1408"/>
      <c r="AA546" s="1408"/>
    </row>
    <row r="547" spans="1:27" x14ac:dyDescent="0.25">
      <c r="A547" s="925" t="s">
        <v>1506</v>
      </c>
      <c r="B547" s="897" t="str">
        <f t="shared" ca="1" si="59"/>
        <v>R5</v>
      </c>
      <c r="C547" s="897" t="str">
        <f t="shared" ca="1" si="60"/>
        <v>R6</v>
      </c>
      <c r="D547" s="897" t="s">
        <v>1367</v>
      </c>
      <c r="E547" s="897" t="s">
        <v>1535</v>
      </c>
      <c r="F547" s="1409" t="s">
        <v>1931</v>
      </c>
      <c r="G547" s="1409" t="str">
        <f>IF(T547&lt;&gt;"","G","")</f>
        <v/>
      </c>
      <c r="H547" s="1409" t="s">
        <v>1926</v>
      </c>
      <c r="I547" s="857" t="str">
        <f t="shared" si="53"/>
        <v/>
      </c>
      <c r="J547" s="1409" t="str">
        <f t="shared" si="58"/>
        <v/>
      </c>
      <c r="K547" s="1409" t="str">
        <f t="shared" si="54"/>
        <v/>
      </c>
      <c r="L547" s="897" t="s">
        <v>1506</v>
      </c>
      <c r="M547" s="1410">
        <v>530</v>
      </c>
      <c r="N547" s="1409"/>
      <c r="O547" s="1408"/>
      <c r="P547" s="1408"/>
      <c r="Q547" s="1408"/>
      <c r="R547" s="1409" t="s">
        <v>855</v>
      </c>
      <c r="S547" s="1408"/>
      <c r="T547" s="1409" t="str">
        <f t="shared" si="61"/>
        <v/>
      </c>
      <c r="U547" s="1408"/>
      <c r="V547" s="1408"/>
      <c r="W547" s="1408"/>
      <c r="X547" s="1408"/>
      <c r="Y547" s="1408"/>
      <c r="Z547" s="1408"/>
      <c r="AA547" s="1408"/>
    </row>
    <row r="548" spans="1:27" x14ac:dyDescent="0.25">
      <c r="A548" s="925" t="s">
        <v>1507</v>
      </c>
      <c r="B548" s="897" t="str">
        <f t="shared" ca="1" si="59"/>
        <v>T5</v>
      </c>
      <c r="C548" s="897" t="str">
        <f t="shared" ca="1" si="60"/>
        <v>T6</v>
      </c>
      <c r="D548" s="897" t="s">
        <v>1367</v>
      </c>
      <c r="E548" s="897" t="s">
        <v>1535</v>
      </c>
      <c r="F548" s="919" t="s">
        <v>1507</v>
      </c>
      <c r="G548" s="1409" t="str">
        <f>IF(T548&lt;&gt;"","AW","")</f>
        <v/>
      </c>
      <c r="H548" s="1409" t="s">
        <v>1926</v>
      </c>
      <c r="I548" s="857" t="str">
        <f t="shared" si="53"/>
        <v/>
      </c>
      <c r="J548" s="1409" t="str">
        <f t="shared" si="58"/>
        <v/>
      </c>
      <c r="K548" s="1409" t="str">
        <f t="shared" si="54"/>
        <v/>
      </c>
      <c r="L548" s="897" t="s">
        <v>1507</v>
      </c>
      <c r="M548" s="1410">
        <v>531</v>
      </c>
      <c r="N548" s="1409"/>
      <c r="O548" s="1408"/>
      <c r="P548" s="1408"/>
      <c r="Q548" s="1408"/>
      <c r="R548" s="1409" t="s">
        <v>855</v>
      </c>
      <c r="S548" s="1408"/>
      <c r="T548" s="1409" t="str">
        <f t="shared" si="61"/>
        <v/>
      </c>
      <c r="U548" s="1408"/>
      <c r="V548" s="1408"/>
      <c r="W548" s="1408"/>
      <c r="X548" s="1408"/>
      <c r="Y548" s="1408"/>
      <c r="Z548" s="1408"/>
      <c r="AA548" s="1408"/>
    </row>
    <row r="549" spans="1:27" x14ac:dyDescent="0.25">
      <c r="A549" s="925" t="s">
        <v>1402</v>
      </c>
      <c r="B549" s="897" t="str">
        <f ca="1">IFERROR(_xlfn.CONCAT("C",MATCH(A549,INDIRECT("'"&amp;E549&amp;"'!C"&amp;$O$539&amp;":C"&amp;$O$541),0)+$O$539-1),"")</f>
        <v>C9</v>
      </c>
      <c r="C549" s="897" t="str">
        <f ca="1">IFERROR(_xlfn.CONCAT("D",MATCH(A549,INDIRECT("'"&amp;E549&amp;"'!C"&amp;$O$539&amp;":C"&amp;$O$541),0)+$O$539-1),"")</f>
        <v>D9</v>
      </c>
      <c r="D549" s="897" t="s">
        <v>1367</v>
      </c>
      <c r="E549" s="897" t="s">
        <v>1535</v>
      </c>
      <c r="F549" s="1409" t="s">
        <v>1402</v>
      </c>
      <c r="G549" s="1409" t="str">
        <f>IF(T549&lt;&gt;"","C","")</f>
        <v/>
      </c>
      <c r="H549" s="1409" t="s">
        <v>1926</v>
      </c>
      <c r="I549" s="857" t="str">
        <f t="shared" si="53"/>
        <v/>
      </c>
      <c r="J549" s="1409"/>
      <c r="K549" s="1409" t="str">
        <f t="shared" si="54"/>
        <v/>
      </c>
      <c r="L549" s="897" t="s">
        <v>1402</v>
      </c>
      <c r="M549" s="1410">
        <v>532</v>
      </c>
      <c r="N549" s="1409"/>
      <c r="O549" s="1408"/>
      <c r="P549" s="1408"/>
      <c r="Q549" s="1408"/>
      <c r="R549" s="1409" t="s">
        <v>855</v>
      </c>
      <c r="S549" s="1408"/>
      <c r="T549" s="1409" t="str">
        <f t="shared" si="61"/>
        <v/>
      </c>
      <c r="U549" s="1408"/>
      <c r="V549" s="1408"/>
      <c r="W549" s="1408"/>
      <c r="X549" s="1408"/>
      <c r="Y549" s="1408"/>
      <c r="Z549" s="1408"/>
      <c r="AA549" s="1408"/>
    </row>
    <row r="550" spans="1:27" x14ac:dyDescent="0.25">
      <c r="A550" s="925" t="s">
        <v>1403</v>
      </c>
      <c r="B550" s="897" t="str">
        <f ca="1">IFERROR(_xlfn.CONCAT("C",MATCH(A550,INDIRECT("'"&amp;E550&amp;"'!C"&amp;$O$539&amp;":C"&amp;$O$541),0)+$O$539-1),"")</f>
        <v>C11</v>
      </c>
      <c r="C550" s="897" t="str">
        <f ca="1">IFERROR(_xlfn.CONCAT("D",MATCH(A550,INDIRECT("'"&amp;E550&amp;"'!C"&amp;$O$539&amp;":C"&amp;$O$541),0)+$O$539-1),"")</f>
        <v>D11</v>
      </c>
      <c r="D550" s="897" t="s">
        <v>1367</v>
      </c>
      <c r="E550" s="897" t="s">
        <v>1535</v>
      </c>
      <c r="F550" s="1409" t="s">
        <v>1403</v>
      </c>
      <c r="G550" s="1409" t="str">
        <f>IF(T550&lt;&gt;"","D","")</f>
        <v/>
      </c>
      <c r="H550" s="1409" t="s">
        <v>1926</v>
      </c>
      <c r="I550" s="857" t="str">
        <f t="shared" si="53"/>
        <v/>
      </c>
      <c r="J550" s="1409"/>
      <c r="K550" s="1409" t="str">
        <f t="shared" si="54"/>
        <v/>
      </c>
      <c r="L550" s="897" t="s">
        <v>1403</v>
      </c>
      <c r="M550" s="1410">
        <v>533</v>
      </c>
      <c r="N550" s="1409"/>
      <c r="O550" s="1408"/>
      <c r="P550" s="1408"/>
      <c r="Q550" s="1408"/>
      <c r="R550" s="1409" t="s">
        <v>855</v>
      </c>
      <c r="S550" s="1408"/>
      <c r="T550" s="1409" t="str">
        <f t="shared" si="61"/>
        <v/>
      </c>
      <c r="U550" s="1408"/>
      <c r="V550" s="1408"/>
      <c r="W550" s="1408"/>
      <c r="X550" s="1408"/>
      <c r="Y550" s="1408"/>
      <c r="Z550" s="1408"/>
      <c r="AA550" s="1408"/>
    </row>
    <row r="551" spans="1:27" x14ac:dyDescent="0.25">
      <c r="A551" s="925" t="s">
        <v>1514</v>
      </c>
      <c r="B551" s="897" t="str">
        <f ca="1">IFERROR(_xlfn.CONCAT("C",MATCH(A551,INDIRECT("'"&amp;E551&amp;"'!C"&amp;$O$539&amp;":C"&amp;$O$541),0)+$O$539-1),"")</f>
        <v>C13</v>
      </c>
      <c r="C551" s="897" t="str">
        <f ca="1">IFERROR(_xlfn.CONCAT("D",MATCH(A551,INDIRECT("'"&amp;E551&amp;"'!C"&amp;$O$539&amp;":C"&amp;$O$541),0)+$O$539-1),"")</f>
        <v>D13</v>
      </c>
      <c r="D551" s="897" t="s">
        <v>1367</v>
      </c>
      <c r="E551" s="897" t="s">
        <v>1535</v>
      </c>
      <c r="F551" s="1409" t="s">
        <v>1514</v>
      </c>
      <c r="G551" s="1409" t="str">
        <f>IF(T551&lt;&gt;"","AN","")</f>
        <v/>
      </c>
      <c r="H551" s="1409" t="s">
        <v>1926</v>
      </c>
      <c r="I551" s="857" t="str">
        <f t="shared" si="53"/>
        <v/>
      </c>
      <c r="J551" s="1409" t="str">
        <f t="shared" si="58"/>
        <v/>
      </c>
      <c r="K551" s="1409" t="str">
        <f t="shared" si="54"/>
        <v/>
      </c>
      <c r="L551" s="897" t="s">
        <v>1514</v>
      </c>
      <c r="M551" s="1410">
        <v>534</v>
      </c>
      <c r="N551" s="1409"/>
      <c r="O551" s="1408"/>
      <c r="P551" s="1409" t="str" cm="1">
        <f t="array" aca="1" ref="P551" ca="1">_xlfn.CONCAT("F",RIGHT(B551, LEN(B551) - MAX(IF(ISNUMBER(MID(B551, ROW(INDIRECT("1:"&amp;LEN(B551))), 1) *1)=FALSE, ROW(INDIRECT("1:"&amp;LEN(B551))), 0))))</f>
        <v>F13</v>
      </c>
      <c r="Q551" s="1409" t="str" cm="1">
        <f t="array" aca="1" ref="Q551" ca="1">_xlfn.CONCAT("E",RIGHT(C551, LEN(C551) - MAX(IF(ISNUMBER(MID(C551, ROW(INDIRECT("1:"&amp;LEN(C551))), 1) *1)=FALSE, ROW(INDIRECT("1:"&amp;LEN(C551))), 0))))</f>
        <v>E13</v>
      </c>
      <c r="R551" s="1409" t="s">
        <v>855</v>
      </c>
      <c r="S551" s="1408"/>
      <c r="T551" s="1409" t="str">
        <f t="shared" si="61"/>
        <v/>
      </c>
      <c r="U551" s="1408"/>
      <c r="V551" s="1408"/>
      <c r="W551" s="1408"/>
      <c r="X551" s="1408"/>
      <c r="Y551" s="1408"/>
      <c r="Z551" s="1408"/>
      <c r="AA551" s="1408"/>
    </row>
    <row r="552" spans="1:27" x14ac:dyDescent="0.25">
      <c r="A552" s="925" t="s">
        <v>1511</v>
      </c>
      <c r="B552" s="897" t="str">
        <f ca="1">_xlfn.CONCAT(IFERROR(SUBSTITUTE(ADDRESS(1,MATCH(A552,INDIRECT("'"&amp;E552&amp;"'"&amp;"!A" &amp; $O$539+8 &amp; ":Z"&amp;$O$539+8),0),4),1,""),""),$O$539+8)</f>
        <v>H11</v>
      </c>
      <c r="C552" s="897" t="str">
        <f ca="1">_xlfn.CONCAT(IFERROR(SUBSTITUTE(ADDRESS(1,MATCH(A552,INDIRECT("'"&amp;E552&amp;"'"&amp;"!A" &amp; $O$539+8 &amp; ":Z"&amp;$O$539+8),0),4),1,""),""),$O$539+9)</f>
        <v>H12</v>
      </c>
      <c r="D552" s="897" t="s">
        <v>1367</v>
      </c>
      <c r="E552" s="897" t="s">
        <v>1535</v>
      </c>
      <c r="F552" s="1409" t="s">
        <v>1511</v>
      </c>
      <c r="G552" s="1409" t="str">
        <f>IF(T552&lt;&gt;"","AL","")</f>
        <v/>
      </c>
      <c r="H552" s="1409" t="s">
        <v>1926</v>
      </c>
      <c r="I552" s="857" t="str">
        <f t="shared" si="53"/>
        <v/>
      </c>
      <c r="J552" s="1409" t="str">
        <f t="shared" si="58"/>
        <v/>
      </c>
      <c r="K552" s="1409" t="str">
        <f t="shared" si="54"/>
        <v/>
      </c>
      <c r="L552" s="897" t="s">
        <v>1511</v>
      </c>
      <c r="M552" s="1410">
        <v>535</v>
      </c>
      <c r="N552" s="1409"/>
      <c r="O552" s="1408"/>
      <c r="P552" s="1408"/>
      <c r="Q552" s="1408"/>
      <c r="R552" s="1409" t="s">
        <v>855</v>
      </c>
      <c r="S552" s="1408"/>
      <c r="T552" s="1409" t="str">
        <f t="shared" si="61"/>
        <v/>
      </c>
      <c r="U552" s="1408"/>
      <c r="V552" s="1408"/>
      <c r="W552" s="1408"/>
      <c r="X552" s="1408"/>
      <c r="Y552" s="1408"/>
      <c r="Z552" s="1408"/>
      <c r="AA552" s="1408"/>
    </row>
    <row r="553" spans="1:27" x14ac:dyDescent="0.25">
      <c r="A553" s="925" t="s">
        <v>1406</v>
      </c>
      <c r="B553" s="897" t="str">
        <f ca="1">_xlfn.CONCAT(IFERROR(SUBSTITUTE(ADDRESS(1,MATCH(A553,INDIRECT("'"&amp;E553&amp;"'"&amp;"!A" &amp; $O$539+5 &amp; ":Z"&amp;$O$539+5),0),4),1,""),""),$O$539+5)</f>
        <v>L8</v>
      </c>
      <c r="C553" s="897" t="str">
        <f ca="1">_xlfn.CONCAT(IFERROR(SUBSTITUTE(ADDRESS(1,MATCH(A553,INDIRECT("'"&amp;E553&amp;"'"&amp;"!A" &amp; $O$539+5 &amp; ":Z"&amp;$O$539+5),0),4),1,""),""),$O$539+6)</f>
        <v>L9</v>
      </c>
      <c r="D553" s="897" t="s">
        <v>1367</v>
      </c>
      <c r="E553" s="897" t="s">
        <v>1535</v>
      </c>
      <c r="F553" s="1409" t="s">
        <v>1896</v>
      </c>
      <c r="G553" s="1409" t="str">
        <f>IF(T553&lt;&gt;"","O","")</f>
        <v/>
      </c>
      <c r="H553" s="1409" t="s">
        <v>1926</v>
      </c>
      <c r="I553" s="857" t="str">
        <f t="shared" si="53"/>
        <v/>
      </c>
      <c r="J553" s="1409"/>
      <c r="K553" s="1409" t="str">
        <f t="shared" si="54"/>
        <v/>
      </c>
      <c r="L553" s="897" t="s">
        <v>1406</v>
      </c>
      <c r="M553" s="1410">
        <v>536</v>
      </c>
      <c r="N553" s="1409"/>
      <c r="O553" s="1408"/>
      <c r="P553" s="1408"/>
      <c r="Q553" s="1408"/>
      <c r="R553" s="1409" t="s">
        <v>855</v>
      </c>
      <c r="S553" s="1408"/>
      <c r="T553" s="1409" t="str">
        <f t="shared" si="61"/>
        <v/>
      </c>
      <c r="U553" s="1408"/>
      <c r="V553" s="1408"/>
      <c r="W553" s="1408"/>
      <c r="X553" s="1408"/>
      <c r="Y553" s="1408"/>
      <c r="Z553" s="1408"/>
      <c r="AA553" s="1408"/>
    </row>
    <row r="554" spans="1:27" x14ac:dyDescent="0.25">
      <c r="A554" s="928" t="s">
        <v>1510</v>
      </c>
      <c r="B554" s="897" t="str">
        <f ca="1">IFERROR(_xlfn.CONCAT("C",MATCH(A554,INDIRECT("'"&amp;E554&amp;"'!C"&amp;$O$555&amp;":C"&amp;$O$557),0)+$O$555-1),"")</f>
        <v>C21</v>
      </c>
      <c r="C554" s="897" t="str">
        <f ca="1">IFERROR(_xlfn.CONCAT("D",MATCH(A554,INDIRECT("'"&amp;E554&amp;"'!C"&amp;$O$555&amp;":C"&amp;$O$557),0)+$O$555-1),"")</f>
        <v>D21</v>
      </c>
      <c r="D554" s="897" t="s">
        <v>1367</v>
      </c>
      <c r="E554" s="897" t="s">
        <v>1535</v>
      </c>
      <c r="F554" s="1409" t="s">
        <v>1510</v>
      </c>
      <c r="G554" s="1409" t="str">
        <f>IF(T554&lt;&gt;"","A","")</f>
        <v/>
      </c>
      <c r="H554" s="1409" t="s">
        <v>1926</v>
      </c>
      <c r="I554" s="857" t="str">
        <f t="shared" si="53"/>
        <v/>
      </c>
      <c r="J554" s="1409"/>
      <c r="K554" s="1409" t="str">
        <f t="shared" si="54"/>
        <v/>
      </c>
      <c r="L554" s="897" t="s">
        <v>1510</v>
      </c>
      <c r="M554" s="1410">
        <v>537</v>
      </c>
      <c r="N554" s="1409"/>
      <c r="O554" s="1408" t="s">
        <v>726</v>
      </c>
      <c r="P554" s="1408"/>
      <c r="Q554" s="1408"/>
      <c r="R554" s="1409" t="s">
        <v>855</v>
      </c>
      <c r="S554" s="1408"/>
      <c r="T554" s="1409" t="str">
        <f>IF(Q$555="Yes",2,"")</f>
        <v/>
      </c>
      <c r="U554" s="1408"/>
      <c r="V554" s="1408"/>
      <c r="W554" s="1408"/>
      <c r="X554" s="1408"/>
      <c r="Y554" s="1408"/>
      <c r="Z554" s="1408"/>
      <c r="AA554" s="1408"/>
    </row>
    <row r="555" spans="1:27" x14ac:dyDescent="0.25">
      <c r="A555" s="928" t="s">
        <v>1724</v>
      </c>
      <c r="B555" s="897" t="str">
        <f ca="1">_xlfn.CONCAT(IFERROR(SUBSTITUTE(ADDRESS(1,MATCH(A555,INDIRECT("'"&amp;E555&amp;"'"&amp;"!A" &amp; $O$555+11 &amp; ":Z" &amp; $O$555+11),0),4),1,""),""),$O$555+11)</f>
        <v>T28</v>
      </c>
      <c r="C555" s="897" t="str">
        <f ca="1">_xlfn.CONCAT(IFERROR(SUBSTITUTE(ADDRESS(1,MATCH(A555,INDIRECT("'"&amp;E555&amp;"'"&amp;"!A" &amp; $O$555+11 &amp; ":Z" &amp; $O$555+11),0),4),1,""),""),$O$555+12)</f>
        <v>T29</v>
      </c>
      <c r="D555" s="897" t="s">
        <v>1367</v>
      </c>
      <c r="E555" s="897" t="s">
        <v>1535</v>
      </c>
      <c r="F555" s="1409"/>
      <c r="G555" s="1409"/>
      <c r="H555" s="1409"/>
      <c r="I555" s="857" t="str">
        <f t="shared" si="53"/>
        <v/>
      </c>
      <c r="J555" s="1409" t="str">
        <f t="shared" ref="J555:J567" si="62">IF(M555&lt;&gt;"",IF($Q$555="Yes",Q$1&amp;M555,""))</f>
        <v/>
      </c>
      <c r="K555" s="1409" t="str">
        <f t="shared" si="54"/>
        <v/>
      </c>
      <c r="L555" s="897" t="s">
        <v>1724</v>
      </c>
      <c r="M555" s="1410">
        <v>538</v>
      </c>
      <c r="N555" s="1409"/>
      <c r="O555" s="1408">
        <f>'Configurable Tab'!H4</f>
        <v>17</v>
      </c>
      <c r="P555" s="1408">
        <f>'Configurable Tab'!J4</f>
        <v>0</v>
      </c>
      <c r="Q555" s="1408" t="s">
        <v>649</v>
      </c>
      <c r="R555" s="1409" t="s">
        <v>855</v>
      </c>
      <c r="S555" s="1408"/>
      <c r="T555" s="1409" t="str">
        <f>IF(Q$555="Yes",2,"")</f>
        <v/>
      </c>
      <c r="U555" s="1408"/>
      <c r="V555" s="1408"/>
      <c r="W555" s="1408"/>
      <c r="X555" s="1408"/>
      <c r="Y555" s="1408"/>
      <c r="Z555" s="1408"/>
      <c r="AA555" s="1408"/>
    </row>
    <row r="556" spans="1:27" x14ac:dyDescent="0.25">
      <c r="A556" s="928" t="s">
        <v>1400</v>
      </c>
      <c r="B556" s="897" t="str">
        <f ca="1">IFERROR(_xlfn.CONCAT("C",MATCH(A556,INDIRECT("'"&amp;E556&amp;"'!C"&amp;$O$555&amp;":C"&amp;$O$557),0)+$O$555-1),"")</f>
        <v>C19</v>
      </c>
      <c r="C556" s="897" t="str">
        <f ca="1">IFERROR(_xlfn.CONCAT("D",MATCH(A556,INDIRECT("'"&amp;E556&amp;"'!C"&amp;$O$555&amp;":C"&amp;$O$557),0)+$O$555-1),"")</f>
        <v>D19</v>
      </c>
      <c r="D556" s="897" t="s">
        <v>1367</v>
      </c>
      <c r="E556" s="897" t="s">
        <v>1535</v>
      </c>
      <c r="F556" s="1409" t="s">
        <v>1400</v>
      </c>
      <c r="G556" s="1409" t="str">
        <f>IF(T556&lt;&gt;"","B","")</f>
        <v/>
      </c>
      <c r="H556" s="1409" t="s">
        <v>1926</v>
      </c>
      <c r="I556" s="857" t="str">
        <f t="shared" si="53"/>
        <v/>
      </c>
      <c r="J556" s="1409"/>
      <c r="K556" s="1409" t="str">
        <f t="shared" si="54"/>
        <v/>
      </c>
      <c r="L556" s="897" t="s">
        <v>1400</v>
      </c>
      <c r="M556" s="1410">
        <v>539</v>
      </c>
      <c r="N556" s="1409"/>
      <c r="O556" s="1408" t="s">
        <v>727</v>
      </c>
      <c r="P556" s="1408"/>
      <c r="Q556" s="1408"/>
      <c r="R556" s="1409" t="s">
        <v>855</v>
      </c>
      <c r="S556" s="1408"/>
      <c r="T556" s="1409" t="str">
        <f>IF(Q$555="Yes",2,"")</f>
        <v/>
      </c>
      <c r="U556" s="1408"/>
      <c r="V556" s="1408"/>
      <c r="W556" s="1408"/>
      <c r="X556" s="1408"/>
      <c r="Y556" s="1408"/>
      <c r="Z556" s="1408"/>
      <c r="AA556" s="1408"/>
    </row>
    <row r="557" spans="1:27" x14ac:dyDescent="0.25">
      <c r="A557" s="928" t="s">
        <v>1397</v>
      </c>
      <c r="B557" s="897" t="str">
        <f ca="1">_xlfn.CONCAT(IFERROR(SUBSTITUTE(ADDRESS(1,MATCH(A557,INDIRECT("'"&amp;E557&amp;"'"&amp;"!A" &amp; $O$555+2 &amp; ":Z" &amp; $O$555+2),0),4),1,""),""),$O$555+2)</f>
        <v>H19</v>
      </c>
      <c r="C557" s="897" t="str">
        <f ca="1">_xlfn.CONCAT(IFERROR(SUBSTITUTE(ADDRESS(1,MATCH(A557,INDIRECT("'"&amp;E557&amp;"'"&amp;"!A" &amp; $O$555+2 &amp; ":Z" &amp; $O$555+2),0),4),1,""),""),$O$555+3)</f>
        <v>H20</v>
      </c>
      <c r="D557" s="897" t="s">
        <v>1367</v>
      </c>
      <c r="E557" s="897" t="s">
        <v>1535</v>
      </c>
      <c r="F557" s="1409" t="s">
        <v>1927</v>
      </c>
      <c r="G557" s="1409" t="str">
        <f>IF(T557&lt;&gt;"","E","")</f>
        <v/>
      </c>
      <c r="H557" s="1409" t="s">
        <v>1926</v>
      </c>
      <c r="I557" s="857" t="str">
        <f t="shared" si="53"/>
        <v/>
      </c>
      <c r="J557" s="1409" t="str">
        <f t="shared" si="62"/>
        <v/>
      </c>
      <c r="K557" s="1409" t="str">
        <f t="shared" si="54"/>
        <v/>
      </c>
      <c r="L557" s="897" t="s">
        <v>1397</v>
      </c>
      <c r="M557" s="1410">
        <v>540</v>
      </c>
      <c r="N557" s="1409"/>
      <c r="O557" s="1408">
        <f>'Configurable Tab'!I4</f>
        <v>30</v>
      </c>
      <c r="P557" s="1408"/>
      <c r="Q557" s="1408"/>
      <c r="R557" s="1409" t="s">
        <v>855</v>
      </c>
      <c r="S557" s="1408"/>
      <c r="T557" s="1409" t="str">
        <f t="shared" ref="T557:T568" si="63">IF(Q$555="Yes",2,"")</f>
        <v/>
      </c>
      <c r="U557" s="1408"/>
      <c r="V557" s="1408"/>
      <c r="W557" s="1408"/>
      <c r="X557" s="1408"/>
      <c r="Y557" s="1408"/>
      <c r="Z557" s="1408"/>
      <c r="AA557" s="1408"/>
    </row>
    <row r="558" spans="1:27" x14ac:dyDescent="0.25">
      <c r="A558" s="928" t="s">
        <v>1398</v>
      </c>
      <c r="B558" s="897" t="str">
        <f t="shared" ref="B558:B563" ca="1" si="64">_xlfn.CONCAT(IFERROR(SUBSTITUTE(ADDRESS(1,MATCH(A558,INDIRECT("'"&amp;E558&amp;"'"&amp;"!A" &amp; $O$555+2 &amp; ":Z" &amp; $O$555+2),0),4),1,""),""),$O$555+2)</f>
        <v>J19</v>
      </c>
      <c r="C558" s="897" t="str">
        <f t="shared" ref="C558:C563" ca="1" si="65">_xlfn.CONCAT(IFERROR(SUBSTITUTE(ADDRESS(1,MATCH(A558,INDIRECT("'"&amp;E558&amp;"'"&amp;"!A" &amp; $O$555+2 &amp; ":Z" &amp; $O$555+2),0),4),1,""),""),$O$555+3)</f>
        <v>J20</v>
      </c>
      <c r="D558" s="897" t="s">
        <v>1367</v>
      </c>
      <c r="E558" s="897" t="s">
        <v>1535</v>
      </c>
      <c r="F558" s="1409" t="s">
        <v>1928</v>
      </c>
      <c r="G558" s="1409" t="str">
        <f>IF(T558&lt;&gt;"","I","")</f>
        <v/>
      </c>
      <c r="H558" s="1409" t="s">
        <v>1926</v>
      </c>
      <c r="I558" s="857" t="str">
        <f t="shared" si="53"/>
        <v/>
      </c>
      <c r="J558" s="1409" t="str">
        <f t="shared" si="62"/>
        <v/>
      </c>
      <c r="K558" s="1409" t="str">
        <f t="shared" si="54"/>
        <v/>
      </c>
      <c r="L558" s="897" t="s">
        <v>1398</v>
      </c>
      <c r="M558" s="1410">
        <v>541</v>
      </c>
      <c r="N558" s="1409"/>
      <c r="O558" s="1408" t="s">
        <v>1652</v>
      </c>
      <c r="P558" s="1408"/>
      <c r="Q558" s="1408"/>
      <c r="R558" s="1409" t="s">
        <v>855</v>
      </c>
      <c r="S558" s="1408"/>
      <c r="T558" s="1409" t="str">
        <f t="shared" si="63"/>
        <v/>
      </c>
      <c r="U558" s="1408"/>
      <c r="V558" s="1408"/>
      <c r="W558" s="1408"/>
      <c r="X558" s="1408"/>
      <c r="Y558" s="1408"/>
      <c r="Z558" s="1408"/>
      <c r="AA558" s="1408"/>
    </row>
    <row r="559" spans="1:27" x14ac:dyDescent="0.25">
      <c r="A559" s="928" t="s">
        <v>1414</v>
      </c>
      <c r="B559" s="897" t="str">
        <f t="shared" ca="1" si="64"/>
        <v>L19</v>
      </c>
      <c r="C559" s="897" t="str">
        <f t="shared" ca="1" si="65"/>
        <v>L20</v>
      </c>
      <c r="D559" s="897" t="s">
        <v>1367</v>
      </c>
      <c r="E559" s="897" t="s">
        <v>1535</v>
      </c>
      <c r="F559" s="1409" t="s">
        <v>1929</v>
      </c>
      <c r="G559" s="1409" t="str">
        <f>IF(T559&lt;&gt;"","H","")</f>
        <v/>
      </c>
      <c r="H559" s="1409" t="s">
        <v>1926</v>
      </c>
      <c r="I559" s="857" t="str">
        <f t="shared" si="53"/>
        <v/>
      </c>
      <c r="J559" s="1409" t="str">
        <f t="shared" si="62"/>
        <v/>
      </c>
      <c r="K559" s="1409" t="str">
        <f t="shared" si="54"/>
        <v/>
      </c>
      <c r="L559" s="897" t="s">
        <v>1414</v>
      </c>
      <c r="M559" s="1410">
        <v>542</v>
      </c>
      <c r="N559" s="1409"/>
      <c r="O559" s="1408"/>
      <c r="P559" s="1408"/>
      <c r="Q559" s="1408"/>
      <c r="R559" s="1409" t="s">
        <v>855</v>
      </c>
      <c r="S559" s="1408"/>
      <c r="T559" s="1409" t="str">
        <f t="shared" si="63"/>
        <v/>
      </c>
      <c r="U559" s="1408"/>
      <c r="V559" s="1408"/>
      <c r="W559" s="1408"/>
      <c r="X559" s="1408"/>
      <c r="Y559" s="1408"/>
      <c r="Z559" s="1408"/>
      <c r="AA559" s="1408"/>
    </row>
    <row r="560" spans="1:27" x14ac:dyDescent="0.25">
      <c r="A560" s="928" t="s">
        <v>1399</v>
      </c>
      <c r="B560" s="897" t="str">
        <f t="shared" ca="1" si="64"/>
        <v>N19</v>
      </c>
      <c r="C560" s="897" t="str">
        <f t="shared" ca="1" si="65"/>
        <v>N20</v>
      </c>
      <c r="D560" s="897" t="s">
        <v>1367</v>
      </c>
      <c r="E560" s="897" t="s">
        <v>1535</v>
      </c>
      <c r="F560" s="1409" t="s">
        <v>1399</v>
      </c>
      <c r="G560" s="1409" t="str">
        <f>IF(T560&lt;&gt;"",IF(Q558="Credit Memo","J",IF(Q558="Check","K","")),"")</f>
        <v/>
      </c>
      <c r="H560" s="1409" t="s">
        <v>1926</v>
      </c>
      <c r="I560" s="857" t="str">
        <f t="shared" si="53"/>
        <v/>
      </c>
      <c r="J560" s="1409" t="str">
        <f t="shared" si="62"/>
        <v/>
      </c>
      <c r="K560" s="1409" t="str">
        <f t="shared" si="54"/>
        <v/>
      </c>
      <c r="L560" s="897" t="s">
        <v>1399</v>
      </c>
      <c r="M560" s="1410">
        <v>543</v>
      </c>
      <c r="N560" s="1409"/>
      <c r="O560" s="1408"/>
      <c r="P560" s="1408"/>
      <c r="Q560" s="1408"/>
      <c r="R560" s="1409" t="s">
        <v>855</v>
      </c>
      <c r="S560" s="1408"/>
      <c r="T560" s="1409" t="str">
        <f t="shared" si="63"/>
        <v/>
      </c>
      <c r="U560" s="1408"/>
      <c r="V560" s="1408"/>
      <c r="W560" s="1408"/>
      <c r="X560" s="1408"/>
      <c r="Y560" s="1408"/>
      <c r="Z560" s="1408"/>
      <c r="AA560" s="1408"/>
    </row>
    <row r="561" spans="1:27" x14ac:dyDescent="0.25">
      <c r="A561" s="928" t="s">
        <v>1505</v>
      </c>
      <c r="B561" s="897" t="str">
        <f t="shared" ca="1" si="64"/>
        <v>P19</v>
      </c>
      <c r="C561" s="897" t="str">
        <f t="shared" ca="1" si="65"/>
        <v>P20</v>
      </c>
      <c r="D561" s="897" t="s">
        <v>1367</v>
      </c>
      <c r="E561" s="897" t="s">
        <v>1535</v>
      </c>
      <c r="F561" s="1409" t="s">
        <v>1930</v>
      </c>
      <c r="G561" s="1409" t="str">
        <f>IF(T561&lt;&gt;"","F","")</f>
        <v/>
      </c>
      <c r="H561" s="1409" t="s">
        <v>1926</v>
      </c>
      <c r="I561" s="857" t="str">
        <f t="shared" si="53"/>
        <v/>
      </c>
      <c r="J561" s="1409" t="str">
        <f t="shared" si="62"/>
        <v/>
      </c>
      <c r="K561" s="1409" t="str">
        <f t="shared" si="54"/>
        <v/>
      </c>
      <c r="L561" s="897" t="s">
        <v>1505</v>
      </c>
      <c r="M561" s="1410">
        <v>544</v>
      </c>
      <c r="N561" s="1409"/>
      <c r="O561" s="1408"/>
      <c r="P561" s="1408"/>
      <c r="Q561" s="1408"/>
      <c r="R561" s="1409" t="s">
        <v>855</v>
      </c>
      <c r="S561" s="1408"/>
      <c r="T561" s="1409" t="str">
        <f t="shared" si="63"/>
        <v/>
      </c>
      <c r="U561" s="1408"/>
      <c r="V561" s="1408"/>
      <c r="W561" s="1408"/>
      <c r="X561" s="1408"/>
      <c r="Y561" s="1408"/>
      <c r="Z561" s="1408"/>
      <c r="AA561" s="1408"/>
    </row>
    <row r="562" spans="1:27" x14ac:dyDescent="0.25">
      <c r="A562" s="928" t="s">
        <v>1506</v>
      </c>
      <c r="B562" s="897" t="str">
        <f t="shared" ca="1" si="64"/>
        <v>R19</v>
      </c>
      <c r="C562" s="897" t="str">
        <f t="shared" ca="1" si="65"/>
        <v>R20</v>
      </c>
      <c r="D562" s="897" t="s">
        <v>1367</v>
      </c>
      <c r="E562" s="897" t="s">
        <v>1535</v>
      </c>
      <c r="F562" s="1409" t="s">
        <v>1931</v>
      </c>
      <c r="G562" s="1409" t="str">
        <f>IF(T562&lt;&gt;"","G","")</f>
        <v/>
      </c>
      <c r="H562" s="1409" t="s">
        <v>1926</v>
      </c>
      <c r="I562" s="857" t="str">
        <f t="shared" si="53"/>
        <v/>
      </c>
      <c r="J562" s="1409" t="str">
        <f t="shared" si="62"/>
        <v/>
      </c>
      <c r="K562" s="1409" t="str">
        <f t="shared" si="54"/>
        <v/>
      </c>
      <c r="L562" s="897" t="s">
        <v>1506</v>
      </c>
      <c r="M562" s="1410">
        <v>545</v>
      </c>
      <c r="N562" s="1409"/>
      <c r="O562" s="1408"/>
      <c r="P562" s="1408"/>
      <c r="Q562" s="1408"/>
      <c r="R562" s="1409" t="s">
        <v>855</v>
      </c>
      <c r="S562" s="1408"/>
      <c r="T562" s="1409" t="str">
        <f t="shared" si="63"/>
        <v/>
      </c>
      <c r="U562" s="1408"/>
      <c r="V562" s="1408"/>
      <c r="W562" s="1408"/>
      <c r="X562" s="1408"/>
      <c r="Y562" s="1408"/>
      <c r="Z562" s="1408"/>
      <c r="AA562" s="1408"/>
    </row>
    <row r="563" spans="1:27" x14ac:dyDescent="0.25">
      <c r="A563" s="928" t="s">
        <v>1507</v>
      </c>
      <c r="B563" s="897" t="str">
        <f t="shared" ca="1" si="64"/>
        <v>T19</v>
      </c>
      <c r="C563" s="897" t="str">
        <f t="shared" ca="1" si="65"/>
        <v>T20</v>
      </c>
      <c r="D563" s="897" t="s">
        <v>1367</v>
      </c>
      <c r="E563" s="897" t="s">
        <v>1535</v>
      </c>
      <c r="F563" s="919" t="s">
        <v>1507</v>
      </c>
      <c r="G563" s="1409" t="str">
        <f>IF(T563&lt;&gt;"","AW","")</f>
        <v/>
      </c>
      <c r="H563" s="1409" t="s">
        <v>1926</v>
      </c>
      <c r="I563" s="857" t="str">
        <f t="shared" si="53"/>
        <v/>
      </c>
      <c r="J563" s="1409" t="str">
        <f t="shared" si="62"/>
        <v/>
      </c>
      <c r="K563" s="1409" t="str">
        <f t="shared" si="54"/>
        <v/>
      </c>
      <c r="L563" s="897" t="s">
        <v>1507</v>
      </c>
      <c r="M563" s="1410">
        <v>546</v>
      </c>
      <c r="N563" s="1409"/>
      <c r="O563" s="1408"/>
      <c r="P563" s="1408"/>
      <c r="Q563" s="1408"/>
      <c r="R563" s="1409" t="s">
        <v>855</v>
      </c>
      <c r="S563" s="1408"/>
      <c r="T563" s="1409" t="str">
        <f t="shared" si="63"/>
        <v/>
      </c>
      <c r="U563" s="1408"/>
      <c r="V563" s="1408"/>
      <c r="W563" s="1408"/>
      <c r="X563" s="1408"/>
      <c r="Y563" s="1408"/>
      <c r="Z563" s="1408"/>
      <c r="AA563" s="1408"/>
    </row>
    <row r="564" spans="1:27" x14ac:dyDescent="0.25">
      <c r="A564" s="928" t="s">
        <v>1402</v>
      </c>
      <c r="B564" s="897" t="str">
        <f ca="1">IFERROR(_xlfn.CONCAT("C",MATCH(A564,INDIRECT("'"&amp;E564&amp;"'!C"&amp;$O$555&amp;":C"&amp;$O$557),0)+$O$555-1),"")</f>
        <v>C23</v>
      </c>
      <c r="C564" s="897" t="str">
        <f ca="1">IFERROR(_xlfn.CONCAT("D",MATCH(A564,INDIRECT("'"&amp;E564&amp;"'!C"&amp;$O$555&amp;":C"&amp;$O$557),0)+$O$555-1),"")</f>
        <v>D23</v>
      </c>
      <c r="D564" s="897" t="s">
        <v>1367</v>
      </c>
      <c r="E564" s="897" t="s">
        <v>1535</v>
      </c>
      <c r="F564" s="1409" t="s">
        <v>1402</v>
      </c>
      <c r="G564" s="1409" t="str">
        <f>IF(T564&lt;&gt;"","C","")</f>
        <v/>
      </c>
      <c r="H564" s="1409" t="s">
        <v>1926</v>
      </c>
      <c r="I564" s="857" t="str">
        <f t="shared" si="53"/>
        <v/>
      </c>
      <c r="J564" s="1409"/>
      <c r="K564" s="1409" t="str">
        <f t="shared" si="54"/>
        <v/>
      </c>
      <c r="L564" s="897" t="s">
        <v>1402</v>
      </c>
      <c r="M564" s="1410">
        <v>547</v>
      </c>
      <c r="N564" s="1409"/>
      <c r="O564" s="1408"/>
      <c r="P564" s="1408"/>
      <c r="Q564" s="1408"/>
      <c r="R564" s="1409" t="s">
        <v>855</v>
      </c>
      <c r="S564" s="1408"/>
      <c r="T564" s="1409" t="str">
        <f t="shared" si="63"/>
        <v/>
      </c>
      <c r="U564" s="1408"/>
      <c r="V564" s="1408"/>
      <c r="W564" s="1408"/>
      <c r="X564" s="1408"/>
      <c r="Y564" s="1408"/>
      <c r="Z564" s="1408"/>
      <c r="AA564" s="1408"/>
    </row>
    <row r="565" spans="1:27" x14ac:dyDescent="0.25">
      <c r="A565" s="928" t="s">
        <v>1403</v>
      </c>
      <c r="B565" s="897" t="str">
        <f ca="1">IFERROR(_xlfn.CONCAT("C",MATCH(A565,INDIRECT("'"&amp;E565&amp;"'!C"&amp;$O$555&amp;":C"&amp;$O$557),0)+$O$555-1),"")</f>
        <v>C25</v>
      </c>
      <c r="C565" s="897" t="str">
        <f ca="1">IFERROR(_xlfn.CONCAT("D",MATCH(A565,INDIRECT("'"&amp;E565&amp;"'!C"&amp;$O$555&amp;":C"&amp;$O$557),0)+$O$555-1),"")</f>
        <v>D25</v>
      </c>
      <c r="D565" s="897" t="s">
        <v>1367</v>
      </c>
      <c r="E565" s="897" t="s">
        <v>1535</v>
      </c>
      <c r="F565" s="1409" t="s">
        <v>1403</v>
      </c>
      <c r="G565" s="1409" t="str">
        <f>IF(T565&lt;&gt;"","D","")</f>
        <v/>
      </c>
      <c r="H565" s="1409" t="s">
        <v>1926</v>
      </c>
      <c r="I565" s="857" t="str">
        <f t="shared" si="53"/>
        <v/>
      </c>
      <c r="J565" s="1409"/>
      <c r="K565" s="1409" t="str">
        <f t="shared" si="54"/>
        <v/>
      </c>
      <c r="L565" s="897" t="s">
        <v>1403</v>
      </c>
      <c r="M565" s="1410">
        <v>548</v>
      </c>
      <c r="N565" s="1409"/>
      <c r="O565" s="1408"/>
      <c r="P565" s="1408"/>
      <c r="Q565" s="1408"/>
      <c r="R565" s="1409" t="s">
        <v>855</v>
      </c>
      <c r="S565" s="1408"/>
      <c r="T565" s="1409" t="str">
        <f t="shared" si="63"/>
        <v/>
      </c>
      <c r="U565" s="1408"/>
      <c r="V565" s="1408"/>
      <c r="W565" s="1408"/>
      <c r="X565" s="1408"/>
      <c r="Y565" s="1408"/>
      <c r="Z565" s="1408"/>
      <c r="AA565" s="1408"/>
    </row>
    <row r="566" spans="1:27" x14ac:dyDescent="0.25">
      <c r="A566" s="928" t="s">
        <v>1514</v>
      </c>
      <c r="B566" s="897" t="str">
        <f ca="1">IFERROR(_xlfn.CONCAT("C",MATCH(A566,INDIRECT("'"&amp;E566&amp;"'!C"&amp;$O$555&amp;":C"&amp;$O$557),0)+$O$555-1),"")</f>
        <v>C27</v>
      </c>
      <c r="C566" s="897" t="str">
        <f ca="1">IFERROR(_xlfn.CONCAT("D",MATCH(A566,INDIRECT("'"&amp;E566&amp;"'!C"&amp;$O$555&amp;":C"&amp;$O$557),0)+$O$555-1),"")</f>
        <v>D27</v>
      </c>
      <c r="D566" s="897" t="s">
        <v>1367</v>
      </c>
      <c r="E566" s="897" t="s">
        <v>1535</v>
      </c>
      <c r="F566" s="1409" t="s">
        <v>1514</v>
      </c>
      <c r="G566" s="1409" t="str">
        <f>IF(T566&lt;&gt;"","AN","")</f>
        <v/>
      </c>
      <c r="H566" s="1409" t="s">
        <v>1926</v>
      </c>
      <c r="I566" s="857" t="str">
        <f t="shared" si="53"/>
        <v/>
      </c>
      <c r="J566" s="1409" t="str">
        <f t="shared" si="62"/>
        <v/>
      </c>
      <c r="K566" s="1409" t="str">
        <f t="shared" si="54"/>
        <v/>
      </c>
      <c r="L566" s="897" t="s">
        <v>1514</v>
      </c>
      <c r="M566" s="1410">
        <v>549</v>
      </c>
      <c r="N566" s="1409"/>
      <c r="O566" s="1408"/>
      <c r="P566" s="1409" t="str" cm="1">
        <f t="array" aca="1" ref="P566" ca="1">_xlfn.CONCAT("F",RIGHT(B566, LEN(B566) - MAX(IF(ISNUMBER(MID(B566, ROW(INDIRECT("1:"&amp;LEN(B566))), 1) *1)=FALSE, ROW(INDIRECT("1:"&amp;LEN(B566))), 0))))</f>
        <v>F27</v>
      </c>
      <c r="Q566" s="1409" t="str" cm="1">
        <f t="array" aca="1" ref="Q566" ca="1">_xlfn.CONCAT("E",RIGHT(C566, LEN(C566) - MAX(IF(ISNUMBER(MID(C566, ROW(INDIRECT("1:"&amp;LEN(C566))), 1) *1)=FALSE, ROW(INDIRECT("1:"&amp;LEN(C566))), 0))))</f>
        <v>E27</v>
      </c>
      <c r="R566" s="1409" t="s">
        <v>855</v>
      </c>
      <c r="S566" s="1408"/>
      <c r="T566" s="1409" t="str">
        <f t="shared" si="63"/>
        <v/>
      </c>
      <c r="U566" s="1408"/>
      <c r="V566" s="1408"/>
      <c r="W566" s="1408"/>
      <c r="X566" s="1408"/>
      <c r="Y566" s="1408"/>
      <c r="Z566" s="1408"/>
      <c r="AA566" s="1408"/>
    </row>
    <row r="567" spans="1:27" x14ac:dyDescent="0.25">
      <c r="A567" s="928" t="s">
        <v>1511</v>
      </c>
      <c r="B567" s="897" t="str">
        <f ca="1">_xlfn.CONCAT(IFERROR(SUBSTITUTE(ADDRESS(1,MATCH(A567,INDIRECT("'"&amp;E567&amp;"'"&amp;"!A" &amp; $O$555+8 &amp; ":Z" &amp; $O$555+8),0),4),1,""),""),$O$555+8)</f>
        <v>H25</v>
      </c>
      <c r="C567" s="897" t="str">
        <f ca="1">_xlfn.CONCAT(IFERROR(SUBSTITUTE(ADDRESS(1,MATCH(A567,INDIRECT("'"&amp;E567&amp;"'"&amp;"!A" &amp; $O$555+8 &amp; ":Z" &amp; $O$555+8),0),4),1,""),""),$O$555+9)</f>
        <v>H26</v>
      </c>
      <c r="D567" s="897" t="s">
        <v>1367</v>
      </c>
      <c r="E567" s="897" t="s">
        <v>1535</v>
      </c>
      <c r="F567" s="1409" t="s">
        <v>1511</v>
      </c>
      <c r="G567" s="1409" t="str">
        <f>IF(T567&lt;&gt;"","AL","")</f>
        <v/>
      </c>
      <c r="H567" s="1409" t="s">
        <v>1926</v>
      </c>
      <c r="I567" s="857" t="str">
        <f t="shared" si="53"/>
        <v/>
      </c>
      <c r="J567" s="1409" t="str">
        <f t="shared" si="62"/>
        <v/>
      </c>
      <c r="K567" s="1409" t="str">
        <f t="shared" si="54"/>
        <v/>
      </c>
      <c r="L567" s="897" t="s">
        <v>1511</v>
      </c>
      <c r="M567" s="1410">
        <v>550</v>
      </c>
      <c r="N567" s="1409"/>
      <c r="O567" s="1408"/>
      <c r="P567" s="1408"/>
      <c r="Q567" s="1408"/>
      <c r="R567" s="1409" t="s">
        <v>855</v>
      </c>
      <c r="S567" s="1408"/>
      <c r="T567" s="1409" t="str">
        <f t="shared" si="63"/>
        <v/>
      </c>
      <c r="U567" s="1408"/>
      <c r="V567" s="1408"/>
      <c r="W567" s="1408"/>
      <c r="X567" s="1408"/>
      <c r="Y567" s="1408"/>
      <c r="Z567" s="1408"/>
      <c r="AA567" s="1408"/>
    </row>
    <row r="568" spans="1:27" x14ac:dyDescent="0.25">
      <c r="A568" s="928" t="s">
        <v>1406</v>
      </c>
      <c r="B568" s="897" t="str">
        <f ca="1">_xlfn.CONCAT(IFERROR(SUBSTITUTE(ADDRESS(1,MATCH(A568,INDIRECT("'"&amp;E568&amp;"'"&amp;"!A" &amp; $O$555+5 &amp; ":Z" &amp; $O$555+5),0),4),1,""),""),$O$555+5)</f>
        <v>L22</v>
      </c>
      <c r="C568" s="897" t="str">
        <f ca="1">_xlfn.CONCAT(IFERROR(SUBSTITUTE(ADDRESS(1,MATCH(A568,INDIRECT("'"&amp;E568&amp;"'"&amp;"!A" &amp; $O$555+5 &amp; ":Z" &amp; $O$555+5),0),4),1,""),""),$O$555+6)</f>
        <v>L23</v>
      </c>
      <c r="D568" s="897" t="s">
        <v>1367</v>
      </c>
      <c r="E568" s="897" t="s">
        <v>1535</v>
      </c>
      <c r="F568" s="1409" t="s">
        <v>1896</v>
      </c>
      <c r="G568" s="1409" t="str">
        <f>IF(T568&lt;&gt;"","O","")</f>
        <v/>
      </c>
      <c r="H568" s="1409" t="s">
        <v>1926</v>
      </c>
      <c r="I568" s="857" t="str">
        <f t="shared" si="53"/>
        <v/>
      </c>
      <c r="J568" s="1409"/>
      <c r="K568" s="1409" t="str">
        <f t="shared" si="54"/>
        <v/>
      </c>
      <c r="L568" s="897" t="s">
        <v>1406</v>
      </c>
      <c r="M568" s="1410">
        <v>551</v>
      </c>
      <c r="N568" s="1409"/>
      <c r="O568" s="1408"/>
      <c r="P568" s="1408"/>
      <c r="Q568" s="1408"/>
      <c r="R568" s="1409" t="s">
        <v>855</v>
      </c>
      <c r="S568" s="1408"/>
      <c r="T568" s="1409" t="str">
        <f t="shared" si="63"/>
        <v/>
      </c>
      <c r="U568" s="1408"/>
      <c r="V568" s="1408"/>
      <c r="W568" s="1408"/>
      <c r="X568" s="1408"/>
      <c r="Y568" s="1408"/>
      <c r="Z568" s="1408"/>
      <c r="AA568" s="1408"/>
    </row>
    <row r="569" spans="1:27" x14ac:dyDescent="0.25">
      <c r="A569" s="925" t="s">
        <v>1510</v>
      </c>
      <c r="B569" s="897" t="str">
        <f ca="1">IFERROR(_xlfn.CONCAT("C",MATCH(A569,INDIRECT("'"&amp;E569&amp;"'!C"&amp;$O$570&amp;":C"&amp;$O$572),0)+$O$570-1),"")</f>
        <v>C35</v>
      </c>
      <c r="C569" s="897" t="str">
        <f ca="1">IFERROR(_xlfn.CONCAT("D",MATCH(A569,INDIRECT("'"&amp;E569&amp;"'!C"&amp;$O$570&amp;":C"&amp;$O$572),0)+$O$570-1),"")</f>
        <v>D35</v>
      </c>
      <c r="D569" s="897" t="s">
        <v>1367</v>
      </c>
      <c r="E569" s="897" t="s">
        <v>1535</v>
      </c>
      <c r="F569" s="1409" t="s">
        <v>1510</v>
      </c>
      <c r="G569" s="1409" t="str">
        <f>IF(T569&lt;&gt;"","A","")</f>
        <v/>
      </c>
      <c r="H569" s="1409" t="s">
        <v>1926</v>
      </c>
      <c r="I569" s="857" t="str">
        <f t="shared" si="53"/>
        <v/>
      </c>
      <c r="J569" s="1409"/>
      <c r="K569" s="1409" t="str">
        <f t="shared" si="54"/>
        <v/>
      </c>
      <c r="L569" s="897" t="s">
        <v>1510</v>
      </c>
      <c r="M569" s="1410">
        <v>552</v>
      </c>
      <c r="N569" s="1409"/>
      <c r="O569" s="1408" t="s">
        <v>726</v>
      </c>
      <c r="P569" s="1408"/>
      <c r="Q569" s="1408"/>
      <c r="R569" s="1409" t="s">
        <v>855</v>
      </c>
      <c r="S569" s="1408"/>
      <c r="T569" s="1409" t="str">
        <f t="shared" ref="T569:T586" si="66">IF(Q$570="Yes",3,"")</f>
        <v/>
      </c>
      <c r="U569" s="1408"/>
      <c r="V569" s="1408"/>
      <c r="W569" s="1408"/>
      <c r="X569" s="1408"/>
      <c r="Y569" s="1408"/>
      <c r="Z569" s="1408"/>
      <c r="AA569" s="1408"/>
    </row>
    <row r="570" spans="1:27" x14ac:dyDescent="0.25">
      <c r="A570" s="925" t="s">
        <v>1724</v>
      </c>
      <c r="B570" s="897" t="str">
        <f ca="1">_xlfn.CONCAT(IFERROR(SUBSTITUTE(ADDRESS(1,MATCH(A570,INDIRECT("'"&amp;E570&amp;"'"&amp;"!A" &amp; $O$570+11 &amp; ":Z" &amp; $O$570+11),0),4),1,""),""),$O$570+11)</f>
        <v>T42</v>
      </c>
      <c r="C570" s="897" t="str">
        <f ca="1">_xlfn.CONCAT(IFERROR(SUBSTITUTE(ADDRESS(1,MATCH(A570,INDIRECT("'"&amp;E570&amp;"'"&amp;"!A" &amp; $O$570+11 &amp; ":Z" &amp; $O$570+11),0),4),1,""),""),$O$570+12)</f>
        <v>T43</v>
      </c>
      <c r="D570" s="897" t="s">
        <v>1367</v>
      </c>
      <c r="E570" s="897" t="s">
        <v>1535</v>
      </c>
      <c r="F570" s="1409"/>
      <c r="G570" s="1409"/>
      <c r="H570" s="1409"/>
      <c r="I570" s="857" t="str">
        <f t="shared" si="53"/>
        <v/>
      </c>
      <c r="J570" s="1409" t="str">
        <f t="shared" ref="J570:J587" si="67">IF(M570&lt;&gt;"",IF($Q$570="Yes",Q$1&amp;M570,""))</f>
        <v/>
      </c>
      <c r="K570" s="1409" t="str">
        <f t="shared" si="54"/>
        <v/>
      </c>
      <c r="L570" s="897" t="s">
        <v>1724</v>
      </c>
      <c r="M570" s="1410">
        <v>553</v>
      </c>
      <c r="N570" s="1409"/>
      <c r="O570" s="1408">
        <f>'Configurable Tab'!H5</f>
        <v>31</v>
      </c>
      <c r="P570" s="1408">
        <f>'Configurable Tab'!J5</f>
        <v>0</v>
      </c>
      <c r="Q570" s="1408" t="s">
        <v>649</v>
      </c>
      <c r="R570" s="1409" t="s">
        <v>855</v>
      </c>
      <c r="S570" s="1408"/>
      <c r="T570" s="1409" t="str">
        <f t="shared" si="66"/>
        <v/>
      </c>
      <c r="U570" s="1408"/>
      <c r="V570" s="1408"/>
      <c r="W570" s="1408"/>
      <c r="X570" s="1408"/>
      <c r="Y570" s="1408"/>
      <c r="Z570" s="1408"/>
      <c r="AA570" s="1408"/>
    </row>
    <row r="571" spans="1:27" x14ac:dyDescent="0.25">
      <c r="A571" s="925" t="s">
        <v>1400</v>
      </c>
      <c r="B571" s="897" t="str">
        <f ca="1">IFERROR(_xlfn.CONCAT("C",MATCH(A571,INDIRECT("'"&amp;E571&amp;"'!C"&amp;$O$570&amp;":C"&amp;$O$572),0)+$O$570-1),"")</f>
        <v>C33</v>
      </c>
      <c r="C571" s="897" t="str">
        <f ca="1">IFERROR(_xlfn.CONCAT("D",MATCH(A571,INDIRECT("'"&amp;E571&amp;"'!C"&amp;$O$570&amp;":C"&amp;$O$572),0)+$O$570-1),"")</f>
        <v>D33</v>
      </c>
      <c r="D571" s="897" t="s">
        <v>1367</v>
      </c>
      <c r="E571" s="897" t="s">
        <v>1535</v>
      </c>
      <c r="F571" s="1409" t="s">
        <v>1400</v>
      </c>
      <c r="G571" s="1409" t="str">
        <f>IF(T571&lt;&gt;"","B","")</f>
        <v/>
      </c>
      <c r="H571" s="1409" t="s">
        <v>1926</v>
      </c>
      <c r="I571" s="857" t="str">
        <f t="shared" si="53"/>
        <v/>
      </c>
      <c r="J571" s="1409"/>
      <c r="K571" s="1409" t="str">
        <f t="shared" si="54"/>
        <v/>
      </c>
      <c r="L571" s="897" t="s">
        <v>1400</v>
      </c>
      <c r="M571" s="1410">
        <v>554</v>
      </c>
      <c r="N571" s="1409"/>
      <c r="O571" s="1408" t="s">
        <v>727</v>
      </c>
      <c r="P571" s="1408"/>
      <c r="Q571" s="1408"/>
      <c r="R571" s="1409" t="s">
        <v>855</v>
      </c>
      <c r="S571" s="1408"/>
      <c r="T571" s="1409" t="str">
        <f t="shared" si="66"/>
        <v/>
      </c>
      <c r="U571" s="1408"/>
      <c r="V571" s="1408"/>
      <c r="W571" s="1408"/>
      <c r="X571" s="1408"/>
      <c r="Y571" s="1408"/>
      <c r="Z571" s="1408"/>
      <c r="AA571" s="1408"/>
    </row>
    <row r="572" spans="1:27" x14ac:dyDescent="0.25">
      <c r="A572" s="925" t="s">
        <v>1397</v>
      </c>
      <c r="B572" s="897" t="str">
        <f ca="1">_xlfn.CONCAT(IFERROR(SUBSTITUTE(ADDRESS(1,MATCH(A572,INDIRECT("'"&amp;E572&amp;"'"&amp;"!A" &amp; $O$570+2 &amp; ":Z" &amp; $O$570+2),0),4),1,""),""),$O$570+2)</f>
        <v>H33</v>
      </c>
      <c r="C572" s="897" t="str">
        <f ca="1">_xlfn.CONCAT(IFERROR(SUBSTITUTE(ADDRESS(1,MATCH(A572,INDIRECT("'"&amp;E572&amp;"'"&amp;"!A" &amp; $O$570+2 &amp; ":Z" &amp; $O$570+2),0),4),1,""),""),$O$570+3)</f>
        <v>H34</v>
      </c>
      <c r="D572" s="897" t="s">
        <v>1367</v>
      </c>
      <c r="E572" s="897" t="s">
        <v>1535</v>
      </c>
      <c r="F572" s="1409" t="s">
        <v>1927</v>
      </c>
      <c r="G572" s="1409" t="str">
        <f>IF(T572&lt;&gt;"","E","")</f>
        <v/>
      </c>
      <c r="H572" s="1409" t="s">
        <v>1926</v>
      </c>
      <c r="I572" s="857" t="str">
        <f t="shared" si="53"/>
        <v/>
      </c>
      <c r="J572" s="1409" t="str">
        <f t="shared" si="67"/>
        <v/>
      </c>
      <c r="K572" s="1409" t="str">
        <f t="shared" si="54"/>
        <v/>
      </c>
      <c r="L572" s="897" t="s">
        <v>1397</v>
      </c>
      <c r="M572" s="1410">
        <v>555</v>
      </c>
      <c r="N572" s="1409"/>
      <c r="O572" s="1408">
        <f>'Configurable Tab'!I5</f>
        <v>44</v>
      </c>
      <c r="P572" s="1408"/>
      <c r="Q572" s="1408"/>
      <c r="R572" s="1409" t="s">
        <v>855</v>
      </c>
      <c r="S572" s="1408"/>
      <c r="T572" s="1409" t="str">
        <f t="shared" si="66"/>
        <v/>
      </c>
      <c r="U572" s="1408"/>
      <c r="V572" s="1408"/>
      <c r="W572" s="1408"/>
      <c r="X572" s="1408"/>
      <c r="Y572" s="1408"/>
      <c r="Z572" s="1408"/>
      <c r="AA572" s="1408"/>
    </row>
    <row r="573" spans="1:27" x14ac:dyDescent="0.25">
      <c r="A573" s="925" t="s">
        <v>1398</v>
      </c>
      <c r="B573" s="897" t="str">
        <f t="shared" ref="B573:B578" ca="1" si="68">_xlfn.CONCAT(IFERROR(SUBSTITUTE(ADDRESS(1,MATCH(A573,INDIRECT("'"&amp;E573&amp;"'"&amp;"!A" &amp; $O$570+2 &amp; ":Z" &amp; $O$570+2),0),4),1,""),""),$O$570+2)</f>
        <v>J33</v>
      </c>
      <c r="C573" s="897" t="str">
        <f t="shared" ref="C573:C578" ca="1" si="69">_xlfn.CONCAT(IFERROR(SUBSTITUTE(ADDRESS(1,MATCH(A573,INDIRECT("'"&amp;E573&amp;"'"&amp;"!A" &amp; $O$570+2 &amp; ":Z" &amp; $O$570+2),0),4),1,""),""),$O$570+3)</f>
        <v>J34</v>
      </c>
      <c r="D573" s="897" t="s">
        <v>1367</v>
      </c>
      <c r="E573" s="897" t="s">
        <v>1535</v>
      </c>
      <c r="F573" s="1409" t="s">
        <v>1928</v>
      </c>
      <c r="G573" s="1409" t="str">
        <f>IF(T573&lt;&gt;"","I","")</f>
        <v/>
      </c>
      <c r="H573" s="1409" t="s">
        <v>1926</v>
      </c>
      <c r="I573" s="857" t="str">
        <f t="shared" si="53"/>
        <v/>
      </c>
      <c r="J573" s="1409" t="str">
        <f t="shared" si="67"/>
        <v/>
      </c>
      <c r="K573" s="1409" t="str">
        <f t="shared" si="54"/>
        <v/>
      </c>
      <c r="L573" s="897" t="s">
        <v>1398</v>
      </c>
      <c r="M573" s="1410">
        <v>556</v>
      </c>
      <c r="N573" s="1409"/>
      <c r="O573" s="1423" t="s">
        <v>1653</v>
      </c>
      <c r="P573" s="1408"/>
      <c r="Q573" s="1408" t="s">
        <v>482</v>
      </c>
      <c r="R573" s="1409" t="s">
        <v>855</v>
      </c>
      <c r="S573" s="1408"/>
      <c r="T573" s="1409" t="str">
        <f t="shared" si="66"/>
        <v/>
      </c>
      <c r="U573" s="1408"/>
      <c r="V573" s="1408"/>
      <c r="W573" s="1408"/>
      <c r="X573" s="1408"/>
      <c r="Y573" s="1408"/>
      <c r="Z573" s="1408"/>
      <c r="AA573" s="1408"/>
    </row>
    <row r="574" spans="1:27" x14ac:dyDescent="0.25">
      <c r="A574" s="925" t="s">
        <v>1414</v>
      </c>
      <c r="B574" s="897" t="str">
        <f t="shared" ca="1" si="68"/>
        <v>L33</v>
      </c>
      <c r="C574" s="897" t="str">
        <f t="shared" ca="1" si="69"/>
        <v>L34</v>
      </c>
      <c r="D574" s="897" t="s">
        <v>1367</v>
      </c>
      <c r="E574" s="897" t="s">
        <v>1535</v>
      </c>
      <c r="F574" s="1409" t="s">
        <v>1929</v>
      </c>
      <c r="G574" s="1409" t="str">
        <f>IF(T574&lt;&gt;"","H","")</f>
        <v/>
      </c>
      <c r="H574" s="1409" t="s">
        <v>1926</v>
      </c>
      <c r="I574" s="857" t="str">
        <f t="shared" si="53"/>
        <v/>
      </c>
      <c r="J574" s="1409" t="str">
        <f t="shared" si="67"/>
        <v/>
      </c>
      <c r="K574" s="1409" t="str">
        <f t="shared" si="54"/>
        <v/>
      </c>
      <c r="L574" s="897" t="s">
        <v>1414</v>
      </c>
      <c r="M574" s="1410">
        <v>557</v>
      </c>
      <c r="N574" s="1409"/>
      <c r="O574" s="1408"/>
      <c r="P574" s="1408"/>
      <c r="Q574" s="1408"/>
      <c r="R574" s="1409" t="s">
        <v>855</v>
      </c>
      <c r="S574" s="1408"/>
      <c r="T574" s="1409" t="str">
        <f t="shared" si="66"/>
        <v/>
      </c>
      <c r="U574" s="1408"/>
      <c r="V574" s="1408"/>
      <c r="W574" s="1408"/>
      <c r="X574" s="1408"/>
      <c r="Y574" s="1408"/>
      <c r="Z574" s="1408"/>
      <c r="AA574" s="1408"/>
    </row>
    <row r="575" spans="1:27" x14ac:dyDescent="0.25">
      <c r="A575" s="925" t="s">
        <v>1399</v>
      </c>
      <c r="B575" s="897" t="str">
        <f t="shared" ca="1" si="68"/>
        <v>N33</v>
      </c>
      <c r="C575" s="897" t="str">
        <f t="shared" ca="1" si="69"/>
        <v>N34</v>
      </c>
      <c r="D575" s="897" t="s">
        <v>1367</v>
      </c>
      <c r="E575" s="897" t="s">
        <v>1535</v>
      </c>
      <c r="F575" s="1409" t="s">
        <v>1399</v>
      </c>
      <c r="G575" s="1409" t="str">
        <f>IF(T575&lt;&gt;"",IF(Q573="Credit Memo","J",IF(Q573="Check","K","")),"")</f>
        <v/>
      </c>
      <c r="H575" s="1409" t="s">
        <v>1926</v>
      </c>
      <c r="I575" s="857" t="str">
        <f t="shared" si="53"/>
        <v/>
      </c>
      <c r="J575" s="1409" t="str">
        <f t="shared" si="67"/>
        <v/>
      </c>
      <c r="K575" s="1409" t="str">
        <f t="shared" si="54"/>
        <v/>
      </c>
      <c r="L575" s="897" t="s">
        <v>1399</v>
      </c>
      <c r="M575" s="1410">
        <v>558</v>
      </c>
      <c r="N575" s="1409"/>
      <c r="O575" s="1408"/>
      <c r="P575" s="1408"/>
      <c r="Q575" s="1408"/>
      <c r="R575" s="1409" t="s">
        <v>855</v>
      </c>
      <c r="S575" s="1408"/>
      <c r="T575" s="1409" t="str">
        <f t="shared" si="66"/>
        <v/>
      </c>
      <c r="U575" s="1408"/>
      <c r="V575" s="1408"/>
      <c r="W575" s="1408"/>
      <c r="X575" s="1408"/>
      <c r="Y575" s="1408"/>
      <c r="Z575" s="1408"/>
      <c r="AA575" s="1408"/>
    </row>
    <row r="576" spans="1:27" x14ac:dyDescent="0.25">
      <c r="A576" s="925" t="s">
        <v>1505</v>
      </c>
      <c r="B576" s="897" t="str">
        <f t="shared" ca="1" si="68"/>
        <v>P33</v>
      </c>
      <c r="C576" s="897" t="str">
        <f t="shared" ca="1" si="69"/>
        <v>P34</v>
      </c>
      <c r="D576" s="897" t="s">
        <v>1367</v>
      </c>
      <c r="E576" s="897" t="s">
        <v>1535</v>
      </c>
      <c r="F576" s="1409" t="s">
        <v>1930</v>
      </c>
      <c r="G576" s="1409" t="str">
        <f>IF(T576&lt;&gt;"","F","")</f>
        <v/>
      </c>
      <c r="H576" s="1409" t="s">
        <v>1926</v>
      </c>
      <c r="I576" s="857" t="str">
        <f t="shared" si="53"/>
        <v/>
      </c>
      <c r="J576" s="1409" t="str">
        <f t="shared" si="67"/>
        <v/>
      </c>
      <c r="K576" s="1409" t="str">
        <f t="shared" si="54"/>
        <v/>
      </c>
      <c r="L576" s="897" t="s">
        <v>1505</v>
      </c>
      <c r="M576" s="1410">
        <v>559</v>
      </c>
      <c r="N576" s="1409"/>
      <c r="O576" s="1408"/>
      <c r="P576" s="1408"/>
      <c r="Q576" s="1408"/>
      <c r="R576" s="1409" t="s">
        <v>855</v>
      </c>
      <c r="S576" s="1408"/>
      <c r="T576" s="1409" t="str">
        <f t="shared" si="66"/>
        <v/>
      </c>
      <c r="U576" s="1408"/>
      <c r="V576" s="1408"/>
      <c r="W576" s="1408"/>
      <c r="X576" s="1408"/>
      <c r="Y576" s="1408"/>
      <c r="Z576" s="1408"/>
      <c r="AA576" s="1408"/>
    </row>
    <row r="577" spans="1:27" x14ac:dyDescent="0.25">
      <c r="A577" s="925" t="s">
        <v>1506</v>
      </c>
      <c r="B577" s="897" t="str">
        <f t="shared" ca="1" si="68"/>
        <v>R33</v>
      </c>
      <c r="C577" s="897" t="str">
        <f t="shared" ca="1" si="69"/>
        <v>R34</v>
      </c>
      <c r="D577" s="897" t="s">
        <v>1367</v>
      </c>
      <c r="E577" s="897" t="s">
        <v>1535</v>
      </c>
      <c r="F577" s="1409" t="s">
        <v>1931</v>
      </c>
      <c r="G577" s="1409" t="str">
        <f>IF(T577&lt;&gt;"","G","")</f>
        <v/>
      </c>
      <c r="H577" s="1409" t="s">
        <v>1926</v>
      </c>
      <c r="I577" s="857" t="str">
        <f t="shared" si="53"/>
        <v/>
      </c>
      <c r="J577" s="1409" t="str">
        <f t="shared" si="67"/>
        <v/>
      </c>
      <c r="K577" s="1409" t="str">
        <f t="shared" si="54"/>
        <v/>
      </c>
      <c r="L577" s="897" t="s">
        <v>1506</v>
      </c>
      <c r="M577" s="1410">
        <v>560</v>
      </c>
      <c r="N577" s="1409"/>
      <c r="O577" s="1408"/>
      <c r="P577" s="1408"/>
      <c r="Q577" s="1408"/>
      <c r="R577" s="1409" t="s">
        <v>855</v>
      </c>
      <c r="S577" s="1408"/>
      <c r="T577" s="1409" t="str">
        <f t="shared" si="66"/>
        <v/>
      </c>
      <c r="U577" s="1408"/>
      <c r="V577" s="1408"/>
      <c r="W577" s="1408"/>
      <c r="X577" s="1408"/>
      <c r="Y577" s="1408"/>
      <c r="Z577" s="1408"/>
      <c r="AA577" s="1408"/>
    </row>
    <row r="578" spans="1:27" x14ac:dyDescent="0.25">
      <c r="A578" s="925" t="s">
        <v>1507</v>
      </c>
      <c r="B578" s="897" t="str">
        <f t="shared" ca="1" si="68"/>
        <v>T33</v>
      </c>
      <c r="C578" s="897" t="str">
        <f t="shared" ca="1" si="69"/>
        <v>T34</v>
      </c>
      <c r="D578" s="897" t="s">
        <v>1367</v>
      </c>
      <c r="E578" s="897" t="s">
        <v>1535</v>
      </c>
      <c r="F578" s="919" t="s">
        <v>1507</v>
      </c>
      <c r="G578" s="1409" t="str">
        <f>IF(T578&lt;&gt;"","AW","")</f>
        <v/>
      </c>
      <c r="H578" s="1409" t="s">
        <v>1926</v>
      </c>
      <c r="I578" s="857" t="str">
        <f t="shared" si="53"/>
        <v/>
      </c>
      <c r="J578" s="1409" t="str">
        <f t="shared" si="67"/>
        <v/>
      </c>
      <c r="K578" s="1409" t="str">
        <f t="shared" si="54"/>
        <v/>
      </c>
      <c r="L578" s="897" t="s">
        <v>1507</v>
      </c>
      <c r="M578" s="1410">
        <v>561</v>
      </c>
      <c r="N578" s="1409"/>
      <c r="O578" s="1408"/>
      <c r="P578" s="1408"/>
      <c r="Q578" s="1408"/>
      <c r="R578" s="1409" t="s">
        <v>855</v>
      </c>
      <c r="S578" s="1408"/>
      <c r="T578" s="1409" t="str">
        <f t="shared" si="66"/>
        <v/>
      </c>
      <c r="U578" s="1408"/>
      <c r="V578" s="1408"/>
      <c r="W578" s="1408"/>
      <c r="X578" s="1408"/>
      <c r="Y578" s="1408"/>
      <c r="Z578" s="1408"/>
      <c r="AA578" s="1408"/>
    </row>
    <row r="579" spans="1:27" x14ac:dyDescent="0.25">
      <c r="A579" s="925" t="s">
        <v>1402</v>
      </c>
      <c r="B579" s="897" t="str">
        <f ca="1">IFERROR(_xlfn.CONCAT("C",MATCH(A579,INDIRECT("'"&amp;E579&amp;"'!C"&amp;$O$570&amp;":C"&amp;$O$572),0)+$O$570-1),"")</f>
        <v>C37</v>
      </c>
      <c r="C579" s="897" t="str">
        <f ca="1">IFERROR(_xlfn.CONCAT("D",MATCH(A579,INDIRECT("'"&amp;E579&amp;"'!C"&amp;$O$570&amp;":C"&amp;$O$572),0)+$O$570-1),"")</f>
        <v>D37</v>
      </c>
      <c r="D579" s="897" t="s">
        <v>1367</v>
      </c>
      <c r="E579" s="897" t="s">
        <v>1535</v>
      </c>
      <c r="F579" s="1409" t="s">
        <v>1402</v>
      </c>
      <c r="G579" s="1409" t="str">
        <f>IF(T579&lt;&gt;"","C","")</f>
        <v/>
      </c>
      <c r="H579" s="1409" t="s">
        <v>1926</v>
      </c>
      <c r="I579" s="857" t="str">
        <f t="shared" si="53"/>
        <v/>
      </c>
      <c r="J579" s="1409"/>
      <c r="K579" s="1409" t="str">
        <f t="shared" si="54"/>
        <v/>
      </c>
      <c r="L579" s="897" t="s">
        <v>1402</v>
      </c>
      <c r="M579" s="1410">
        <v>562</v>
      </c>
      <c r="N579" s="1409"/>
      <c r="O579" s="1408"/>
      <c r="P579" s="1408"/>
      <c r="Q579" s="1408"/>
      <c r="R579" s="1409" t="s">
        <v>855</v>
      </c>
      <c r="S579" s="1408"/>
      <c r="T579" s="1409" t="str">
        <f t="shared" si="66"/>
        <v/>
      </c>
      <c r="U579" s="1408"/>
      <c r="V579" s="1408"/>
      <c r="W579" s="1408"/>
      <c r="X579" s="1408"/>
      <c r="Y579" s="1408"/>
      <c r="Z579" s="1408"/>
      <c r="AA579" s="1408"/>
    </row>
    <row r="580" spans="1:27" x14ac:dyDescent="0.25">
      <c r="A580" s="925" t="s">
        <v>1403</v>
      </c>
      <c r="B580" s="897" t="str">
        <f ca="1">IFERROR(_xlfn.CONCAT("C",MATCH(A580,INDIRECT("'"&amp;E580&amp;"'!C"&amp;$O$570&amp;":C"&amp;$O$572),0)+$O$570-1),"")</f>
        <v>C39</v>
      </c>
      <c r="C580" s="897" t="str">
        <f ca="1">IFERROR(_xlfn.CONCAT("D",MATCH(A580,INDIRECT("'"&amp;E580&amp;"'!C"&amp;$O$570&amp;":C"&amp;$O$572),0)+$O$570-1),"")</f>
        <v>D39</v>
      </c>
      <c r="D580" s="897" t="s">
        <v>1367</v>
      </c>
      <c r="E580" s="897" t="s">
        <v>1535</v>
      </c>
      <c r="F580" s="1409" t="s">
        <v>1403</v>
      </c>
      <c r="G580" s="1409" t="str">
        <f>IF(T580&lt;&gt;"","D","")</f>
        <v/>
      </c>
      <c r="H580" s="1409" t="s">
        <v>1926</v>
      </c>
      <c r="I580" s="857" t="str">
        <f t="shared" ref="I580:I643" si="70">IF(J580&lt;&gt;"",A580,"")</f>
        <v/>
      </c>
      <c r="J580" s="1409"/>
      <c r="K580" s="1409" t="str">
        <f t="shared" ref="K580:K643" si="71">IF(J580&lt;&gt;"",E580,"")</f>
        <v/>
      </c>
      <c r="L580" s="897" t="s">
        <v>1403</v>
      </c>
      <c r="M580" s="1410">
        <v>563</v>
      </c>
      <c r="N580" s="1409"/>
      <c r="O580" s="1408"/>
      <c r="P580" s="1408"/>
      <c r="Q580" s="1408"/>
      <c r="R580" s="1409" t="s">
        <v>855</v>
      </c>
      <c r="S580" s="1408"/>
      <c r="T580" s="1409" t="str">
        <f t="shared" si="66"/>
        <v/>
      </c>
      <c r="U580" s="1408"/>
      <c r="V580" s="1408"/>
      <c r="W580" s="1408"/>
      <c r="X580" s="1408"/>
      <c r="Y580" s="1408"/>
      <c r="Z580" s="1408"/>
      <c r="AA580" s="1408"/>
    </row>
    <row r="581" spans="1:27" x14ac:dyDescent="0.25">
      <c r="A581" s="925" t="s">
        <v>1514</v>
      </c>
      <c r="B581" s="897" t="str">
        <f ca="1">IFERROR(_xlfn.CONCAT("C",MATCH(A581,INDIRECT("'"&amp;E581&amp;"'!C"&amp;$O$570&amp;":C"&amp;$O$572),0)+$O$570-1),"")</f>
        <v>C41</v>
      </c>
      <c r="C581" s="897" t="str">
        <f ca="1">IFERROR(_xlfn.CONCAT("D",MATCH(A581,INDIRECT("'"&amp;E581&amp;"'!C"&amp;$O$570&amp;":C"&amp;$O$572),0)+$O$570-1),"")</f>
        <v>D41</v>
      </c>
      <c r="D581" s="897" t="s">
        <v>1367</v>
      </c>
      <c r="E581" s="897" t="s">
        <v>1535</v>
      </c>
      <c r="F581" s="1409" t="s">
        <v>1514</v>
      </c>
      <c r="G581" s="1409" t="str">
        <f>IF(T581&lt;&gt;"","AN","")</f>
        <v/>
      </c>
      <c r="H581" s="1409" t="s">
        <v>1926</v>
      </c>
      <c r="I581" s="857" t="str">
        <f t="shared" si="70"/>
        <v/>
      </c>
      <c r="J581" s="1409" t="str">
        <f t="shared" si="67"/>
        <v/>
      </c>
      <c r="K581" s="1409" t="str">
        <f t="shared" si="71"/>
        <v/>
      </c>
      <c r="L581" s="897" t="s">
        <v>1514</v>
      </c>
      <c r="M581" s="1410">
        <v>564</v>
      </c>
      <c r="N581" s="1409"/>
      <c r="O581" s="1408"/>
      <c r="P581" s="1409" t="str" cm="1">
        <f t="array" aca="1" ref="P581" ca="1">_xlfn.CONCAT("F",RIGHT(B581, LEN(B581) - MAX(IF(ISNUMBER(MID(B581, ROW(INDIRECT("1:"&amp;LEN(B581))), 1) *1)=FALSE, ROW(INDIRECT("1:"&amp;LEN(B581))), 0))))</f>
        <v>F41</v>
      </c>
      <c r="Q581" s="1409" t="str" cm="1">
        <f t="array" aca="1" ref="Q581" ca="1">_xlfn.CONCAT("E",RIGHT(C581, LEN(C581) - MAX(IF(ISNUMBER(MID(C581, ROW(INDIRECT("1:"&amp;LEN(C581))), 1) *1)=FALSE, ROW(INDIRECT("1:"&amp;LEN(C581))), 0))))</f>
        <v>E41</v>
      </c>
      <c r="R581" s="1409" t="s">
        <v>855</v>
      </c>
      <c r="S581" s="1408"/>
      <c r="T581" s="1409" t="str">
        <f t="shared" si="66"/>
        <v/>
      </c>
      <c r="U581" s="1408"/>
      <c r="V581" s="1408"/>
      <c r="W581" s="1408"/>
      <c r="X581" s="1408"/>
      <c r="Y581" s="1408"/>
      <c r="Z581" s="1408"/>
      <c r="AA581" s="1408"/>
    </row>
    <row r="582" spans="1:27" x14ac:dyDescent="0.25">
      <c r="A582" s="925" t="s">
        <v>1511</v>
      </c>
      <c r="B582" s="897" t="s">
        <v>1808</v>
      </c>
      <c r="C582" s="897" t="s">
        <v>1809</v>
      </c>
      <c r="D582" s="897" t="s">
        <v>1367</v>
      </c>
      <c r="E582" s="897" t="s">
        <v>1535</v>
      </c>
      <c r="F582" s="1409" t="s">
        <v>1511</v>
      </c>
      <c r="G582" s="1409" t="str">
        <f>IF(T582&lt;&gt;"","AL","")</f>
        <v/>
      </c>
      <c r="H582" s="1409" t="s">
        <v>1926</v>
      </c>
      <c r="I582" s="857" t="str">
        <f t="shared" si="70"/>
        <v/>
      </c>
      <c r="J582" s="1409" t="str">
        <f t="shared" si="67"/>
        <v/>
      </c>
      <c r="K582" s="1409" t="str">
        <f t="shared" si="71"/>
        <v/>
      </c>
      <c r="L582" s="897" t="s">
        <v>1511</v>
      </c>
      <c r="M582" s="1410">
        <v>565</v>
      </c>
      <c r="N582" s="1409"/>
      <c r="O582" s="1408"/>
      <c r="P582" s="1408"/>
      <c r="Q582" s="1408"/>
      <c r="R582" s="1409" t="s">
        <v>855</v>
      </c>
      <c r="S582" s="1408"/>
      <c r="T582" s="1409" t="str">
        <f t="shared" si="66"/>
        <v/>
      </c>
      <c r="U582" s="1408"/>
      <c r="V582" s="1408"/>
      <c r="W582" s="1408"/>
      <c r="X582" s="1408"/>
      <c r="Y582" s="1408"/>
      <c r="Z582" s="1408"/>
      <c r="AA582" s="1408"/>
    </row>
    <row r="583" spans="1:27" x14ac:dyDescent="0.25">
      <c r="A583" s="925" t="s">
        <v>1525</v>
      </c>
      <c r="B583" s="897" t="s">
        <v>1810</v>
      </c>
      <c r="C583" s="897" t="s">
        <v>1811</v>
      </c>
      <c r="D583" s="897" t="s">
        <v>1367</v>
      </c>
      <c r="E583" s="897" t="s">
        <v>1535</v>
      </c>
      <c r="F583" s="1409" t="s">
        <v>1932</v>
      </c>
      <c r="G583" s="1409" t="str">
        <f>IF(T583&lt;&gt;"","L","")</f>
        <v/>
      </c>
      <c r="H583" s="1409" t="s">
        <v>1926</v>
      </c>
      <c r="I583" s="857" t="str">
        <f t="shared" si="70"/>
        <v/>
      </c>
      <c r="J583" s="1409" t="str">
        <f t="shared" si="67"/>
        <v/>
      </c>
      <c r="K583" s="1409" t="str">
        <f t="shared" si="71"/>
        <v/>
      </c>
      <c r="L583" s="897" t="s">
        <v>1525</v>
      </c>
      <c r="M583" s="1410">
        <v>566</v>
      </c>
      <c r="N583" s="1409"/>
      <c r="O583" s="1408"/>
      <c r="P583" s="1408"/>
      <c r="Q583" s="1408"/>
      <c r="R583" s="1409" t="s">
        <v>855</v>
      </c>
      <c r="S583" s="1408"/>
      <c r="T583" s="1409" t="str">
        <f t="shared" si="66"/>
        <v/>
      </c>
      <c r="U583" s="1408"/>
      <c r="V583" s="1408"/>
      <c r="W583" s="1408"/>
      <c r="X583" s="1408"/>
      <c r="Y583" s="1408"/>
      <c r="Z583" s="1408"/>
      <c r="AA583" s="1408"/>
    </row>
    <row r="584" spans="1:27" x14ac:dyDescent="0.25">
      <c r="A584" s="925" t="s">
        <v>1404</v>
      </c>
      <c r="B584" s="897" t="s">
        <v>1812</v>
      </c>
      <c r="C584" s="897" t="s">
        <v>1813</v>
      </c>
      <c r="D584" s="897" t="s">
        <v>1367</v>
      </c>
      <c r="E584" s="897" t="s">
        <v>1535</v>
      </c>
      <c r="F584" s="919" t="s">
        <v>1404</v>
      </c>
      <c r="G584" s="1409" t="str">
        <f>IF(T584&lt;&gt;"","AH","")</f>
        <v/>
      </c>
      <c r="H584" s="1409" t="s">
        <v>1926</v>
      </c>
      <c r="I584" s="857" t="str">
        <f t="shared" si="70"/>
        <v/>
      </c>
      <c r="J584" s="1409" t="str">
        <f t="shared" si="67"/>
        <v/>
      </c>
      <c r="K584" s="1409" t="str">
        <f t="shared" si="71"/>
        <v/>
      </c>
      <c r="L584" s="897" t="s">
        <v>1404</v>
      </c>
      <c r="M584" s="1410">
        <v>567</v>
      </c>
      <c r="N584" s="1409"/>
      <c r="O584" s="1408"/>
      <c r="P584" s="1408"/>
      <c r="Q584" s="1408"/>
      <c r="R584" s="1409" t="s">
        <v>855</v>
      </c>
      <c r="S584" s="1408"/>
      <c r="T584" s="1409" t="str">
        <f t="shared" si="66"/>
        <v/>
      </c>
      <c r="U584" s="1408"/>
      <c r="V584" s="1408"/>
      <c r="W584" s="1408"/>
      <c r="X584" s="1408"/>
      <c r="Y584" s="1408"/>
      <c r="Z584" s="1408"/>
      <c r="AA584" s="1408"/>
    </row>
    <row r="585" spans="1:27" x14ac:dyDescent="0.25">
      <c r="A585" s="925" t="s">
        <v>1405</v>
      </c>
      <c r="B585" s="897" t="s">
        <v>1814</v>
      </c>
      <c r="C585" s="897" t="s">
        <v>1815</v>
      </c>
      <c r="D585" s="897" t="s">
        <v>1367</v>
      </c>
      <c r="E585" s="897" t="s">
        <v>1535</v>
      </c>
      <c r="F585" s="919"/>
      <c r="G585" s="1409"/>
      <c r="H585" s="1409"/>
      <c r="I585" s="857" t="str">
        <f t="shared" si="70"/>
        <v/>
      </c>
      <c r="J585" s="1409"/>
      <c r="K585" s="1409" t="str">
        <f t="shared" si="71"/>
        <v/>
      </c>
      <c r="L585" s="897" t="s">
        <v>1405</v>
      </c>
      <c r="M585" s="1410">
        <v>568</v>
      </c>
      <c r="N585" s="1409"/>
      <c r="O585" s="1408"/>
      <c r="P585" s="1408"/>
      <c r="Q585" s="1408"/>
      <c r="R585" s="1409" t="s">
        <v>855</v>
      </c>
      <c r="S585" s="1408"/>
      <c r="T585" s="1409" t="str">
        <f t="shared" si="66"/>
        <v/>
      </c>
      <c r="U585" s="1408"/>
      <c r="V585" s="1408"/>
      <c r="W585" s="1408"/>
      <c r="X585" s="1408"/>
      <c r="Y585" s="1408"/>
      <c r="Z585" s="1408"/>
      <c r="AA585" s="1408"/>
    </row>
    <row r="586" spans="1:27" x14ac:dyDescent="0.25">
      <c r="A586" s="926" t="s">
        <v>1406</v>
      </c>
      <c r="B586" s="897" t="s">
        <v>1816</v>
      </c>
      <c r="C586" s="897" t="s">
        <v>1817</v>
      </c>
      <c r="D586" s="897" t="s">
        <v>1367</v>
      </c>
      <c r="E586" s="897" t="s">
        <v>1535</v>
      </c>
      <c r="F586" s="1409" t="s">
        <v>1896</v>
      </c>
      <c r="G586" s="1409" t="str">
        <f>IF(T586&lt;&gt;"","AI","")</f>
        <v/>
      </c>
      <c r="H586" s="1409" t="s">
        <v>1926</v>
      </c>
      <c r="I586" s="857" t="str">
        <f t="shared" si="70"/>
        <v/>
      </c>
      <c r="J586" s="1409"/>
      <c r="K586" s="1409" t="str">
        <f t="shared" si="71"/>
        <v/>
      </c>
      <c r="L586" s="899" t="s">
        <v>1406</v>
      </c>
      <c r="M586" s="1410">
        <v>569</v>
      </c>
      <c r="N586" s="1409"/>
      <c r="O586" s="1408"/>
      <c r="P586" s="1408"/>
      <c r="Q586" s="1408"/>
      <c r="R586" s="1409" t="s">
        <v>855</v>
      </c>
      <c r="S586" s="1408"/>
      <c r="T586" s="1409" t="str">
        <f t="shared" si="66"/>
        <v/>
      </c>
      <c r="U586" s="1408"/>
      <c r="V586" s="1408"/>
      <c r="W586" s="1408"/>
      <c r="X586" s="1408"/>
      <c r="Y586" s="1408"/>
      <c r="Z586" s="1408"/>
      <c r="AA586" s="1408"/>
    </row>
    <row r="587" spans="1:27" x14ac:dyDescent="0.25">
      <c r="A587" s="925" t="s">
        <v>1527</v>
      </c>
      <c r="B587" s="897" t="str">
        <f t="shared" ref="B587" ca="1" si="72">_xlfn.CONCAT(IFERROR(SUBSTITUTE(ADDRESS(1,MATCH(A587,INDIRECT("'"&amp;E587&amp;"'"&amp;"!A" &amp; $O$570+8 &amp; ":Z" &amp; $O$570+8),0),4),1,""),""),$O$570+8)</f>
        <v>P39</v>
      </c>
      <c r="C587" s="897" t="str">
        <f t="shared" ref="C587" ca="1" si="73">_xlfn.CONCAT(IFERROR(SUBSTITUTE(ADDRESS(1,MATCH(A587,INDIRECT("'"&amp;E587&amp;"'"&amp;"!A" &amp; $O$570+8 &amp; ":Z" &amp; $O$570+8),0),4),1,""),""),$O$570+9)</f>
        <v>P40</v>
      </c>
      <c r="D587" s="897" t="s">
        <v>1367</v>
      </c>
      <c r="E587" s="897" t="s">
        <v>1535</v>
      </c>
      <c r="F587" s="1409" t="s">
        <v>1527</v>
      </c>
      <c r="G587" s="1409" t="str">
        <f>IF(T587&lt;&gt;"","P","")</f>
        <v/>
      </c>
      <c r="H587" s="1409" t="s">
        <v>1926</v>
      </c>
      <c r="I587" s="857" t="str">
        <f t="shared" si="70"/>
        <v/>
      </c>
      <c r="J587" s="1409" t="str">
        <f t="shared" si="67"/>
        <v/>
      </c>
      <c r="K587" s="1409" t="str">
        <f t="shared" si="71"/>
        <v/>
      </c>
      <c r="L587" s="897" t="s">
        <v>1527</v>
      </c>
      <c r="M587" s="1410">
        <v>570</v>
      </c>
      <c r="N587" s="1409"/>
      <c r="O587" s="1408"/>
      <c r="P587" s="1408"/>
      <c r="Q587" s="1408"/>
      <c r="R587" s="1409" t="s">
        <v>855</v>
      </c>
      <c r="S587" s="1408"/>
      <c r="T587" s="1409" t="str">
        <f>IF(Q$570="Yes",3,"")</f>
        <v/>
      </c>
      <c r="U587" s="1408"/>
      <c r="V587" s="1408"/>
      <c r="W587" s="1408"/>
      <c r="X587" s="1408"/>
      <c r="Y587" s="1408"/>
      <c r="Z587" s="1408"/>
      <c r="AA587" s="1408"/>
    </row>
    <row r="588" spans="1:27" x14ac:dyDescent="0.25">
      <c r="A588" s="928" t="s">
        <v>1510</v>
      </c>
      <c r="B588" s="897" t="str">
        <f ca="1">IFERROR(_xlfn.CONCAT("C",MATCH(A588,INDIRECT("'"&amp;E588&amp;"'!C"&amp;$O$589&amp;":C"&amp;$O$591),0)+$O$589-1),"")</f>
        <v>C49</v>
      </c>
      <c r="C588" s="897" t="str">
        <f ca="1">IFERROR(_xlfn.CONCAT("D",MATCH(A588,INDIRECT("'"&amp;E588&amp;"'!C"&amp;$O$589&amp;":C"&amp;$O$591),0)+$O$589-1),"")</f>
        <v>D49</v>
      </c>
      <c r="D588" s="897" t="s">
        <v>1367</v>
      </c>
      <c r="E588" s="897" t="s">
        <v>1535</v>
      </c>
      <c r="F588" s="1409" t="s">
        <v>1510</v>
      </c>
      <c r="G588" s="1409" t="str">
        <f>IF(T588&lt;&gt;"","A","")</f>
        <v/>
      </c>
      <c r="H588" s="1409" t="s">
        <v>1926</v>
      </c>
      <c r="I588" s="857" t="str">
        <f t="shared" si="70"/>
        <v/>
      </c>
      <c r="J588" s="1409"/>
      <c r="K588" s="1409" t="str">
        <f t="shared" si="71"/>
        <v/>
      </c>
      <c r="L588" s="897" t="s">
        <v>1510</v>
      </c>
      <c r="M588" s="1410">
        <v>571</v>
      </c>
      <c r="N588" s="1409"/>
      <c r="O588" s="1408" t="s">
        <v>726</v>
      </c>
      <c r="P588" s="1408"/>
      <c r="Q588" s="1408"/>
      <c r="R588" s="1409" t="s">
        <v>855</v>
      </c>
      <c r="S588" s="1408"/>
      <c r="T588" s="1409" t="str">
        <f t="shared" ref="T588:T605" si="74">IF(Q$589="Yes",4,"")</f>
        <v/>
      </c>
      <c r="U588" s="1408"/>
      <c r="V588" s="1408"/>
      <c r="W588" s="1408"/>
      <c r="X588" s="1408"/>
      <c r="Y588" s="1408"/>
      <c r="Z588" s="1408"/>
      <c r="AA588" s="1408"/>
    </row>
    <row r="589" spans="1:27" x14ac:dyDescent="0.25">
      <c r="A589" s="928" t="s">
        <v>1724</v>
      </c>
      <c r="B589" s="897" t="str">
        <f ca="1">_xlfn.CONCAT(IFERROR(SUBSTITUTE(ADDRESS(1,MATCH(A589,INDIRECT("'"&amp;E589&amp;"'"&amp;"!A" &amp; $O$589+11 &amp; ":Z" &amp; $O$589+11),0),4),1,""),""),$O$589+11)</f>
        <v>T56</v>
      </c>
      <c r="C589" s="897" t="str">
        <f ca="1">_xlfn.CONCAT(IFERROR(SUBSTITUTE(ADDRESS(1,MATCH(A589,INDIRECT("'"&amp;E589&amp;"'"&amp;"!A" &amp; $O$589+11 &amp; ":Z" &amp; $O$589+11),0),4),1,""),""),$O$589+12)</f>
        <v>T57</v>
      </c>
      <c r="D589" s="897" t="s">
        <v>1367</v>
      </c>
      <c r="E589" s="897" t="s">
        <v>1535</v>
      </c>
      <c r="F589" s="1409"/>
      <c r="G589" s="1409"/>
      <c r="H589" s="1409"/>
      <c r="I589" s="857" t="str">
        <f t="shared" si="70"/>
        <v/>
      </c>
      <c r="J589" s="1409" t="str">
        <f t="shared" ref="J589:J606" si="75">IF(M589&lt;&gt;"",IF($Q$589="Yes",Q$1&amp;M589,""))</f>
        <v/>
      </c>
      <c r="K589" s="1409" t="str">
        <f t="shared" si="71"/>
        <v/>
      </c>
      <c r="L589" s="897" t="s">
        <v>1724</v>
      </c>
      <c r="M589" s="1410">
        <v>572</v>
      </c>
      <c r="N589" s="1409"/>
      <c r="O589" s="1408">
        <f>'Configurable Tab'!H6</f>
        <v>45</v>
      </c>
      <c r="P589" s="1408">
        <f>'Configurable Tab'!J6</f>
        <v>0</v>
      </c>
      <c r="Q589" s="1408" t="s">
        <v>649</v>
      </c>
      <c r="R589" s="1409" t="s">
        <v>855</v>
      </c>
      <c r="S589" s="1408"/>
      <c r="T589" s="1409" t="str">
        <f t="shared" si="74"/>
        <v/>
      </c>
      <c r="U589" s="1408"/>
      <c r="V589" s="1408"/>
      <c r="W589" s="1408"/>
      <c r="X589" s="1408"/>
      <c r="Y589" s="1408"/>
      <c r="Z589" s="1408"/>
      <c r="AA589" s="1408"/>
    </row>
    <row r="590" spans="1:27" x14ac:dyDescent="0.25">
      <c r="A590" s="928" t="s">
        <v>1400</v>
      </c>
      <c r="B590" s="897" t="str">
        <f ca="1">IFERROR(_xlfn.CONCAT("C",MATCH(A590,INDIRECT("'"&amp;E590&amp;"'!C"&amp;$O$589&amp;":C"&amp;$O$591),0)+$O$589-1),"")</f>
        <v>C47</v>
      </c>
      <c r="C590" s="897" t="str">
        <f ca="1">IFERROR(_xlfn.CONCAT("D",MATCH(A590,INDIRECT("'"&amp;E590&amp;"'!C"&amp;$O$589&amp;":C"&amp;$O$591),0)+$O$589-1),"")</f>
        <v>D47</v>
      </c>
      <c r="D590" s="897" t="s">
        <v>1367</v>
      </c>
      <c r="E590" s="897" t="s">
        <v>1535</v>
      </c>
      <c r="F590" s="1409" t="s">
        <v>1400</v>
      </c>
      <c r="G590" s="1409" t="str">
        <f>IF(T590&lt;&gt;"","B","")</f>
        <v/>
      </c>
      <c r="H590" s="1409" t="s">
        <v>1926</v>
      </c>
      <c r="I590" s="857" t="str">
        <f t="shared" si="70"/>
        <v/>
      </c>
      <c r="J590" s="1409"/>
      <c r="K590" s="1409" t="str">
        <f t="shared" si="71"/>
        <v/>
      </c>
      <c r="L590" s="897" t="s">
        <v>1400</v>
      </c>
      <c r="M590" s="1410">
        <v>573</v>
      </c>
      <c r="N590" s="1409"/>
      <c r="O590" s="1408" t="s">
        <v>727</v>
      </c>
      <c r="P590" s="1408"/>
      <c r="Q590" s="1408"/>
      <c r="R590" s="1409" t="s">
        <v>855</v>
      </c>
      <c r="S590" s="1408"/>
      <c r="T590" s="1409" t="str">
        <f t="shared" si="74"/>
        <v/>
      </c>
      <c r="U590" s="1408"/>
      <c r="V590" s="1408"/>
      <c r="W590" s="1408"/>
      <c r="X590" s="1408"/>
      <c r="Y590" s="1408"/>
      <c r="Z590" s="1408"/>
      <c r="AA590" s="1408"/>
    </row>
    <row r="591" spans="1:27" x14ac:dyDescent="0.25">
      <c r="A591" s="928" t="s">
        <v>1397</v>
      </c>
      <c r="B591" s="897" t="str">
        <f ca="1">_xlfn.CONCAT(IFERROR(SUBSTITUTE(ADDRESS(1,MATCH(A591,INDIRECT("'"&amp;E591&amp;"'"&amp;"!A" &amp; $O$589+2 &amp; ":Z" &amp; $O$589+2),0),4),1,""),""),$O$589+2)</f>
        <v>H47</v>
      </c>
      <c r="C591" s="897" t="str">
        <f ca="1">_xlfn.CONCAT(IFERROR(SUBSTITUTE(ADDRESS(1,MATCH(A591,INDIRECT("'"&amp;E591&amp;"'"&amp;"!A" &amp; $O$589+2 &amp; ":Z" &amp; $O$589+2),0),4),1,""),""),$O$589+3)</f>
        <v>H48</v>
      </c>
      <c r="D591" s="897" t="s">
        <v>1367</v>
      </c>
      <c r="E591" s="897" t="s">
        <v>1535</v>
      </c>
      <c r="F591" s="1409" t="s">
        <v>1927</v>
      </c>
      <c r="G591" s="1409" t="str">
        <f>IF(T591&lt;&gt;"","E","")</f>
        <v/>
      </c>
      <c r="H591" s="1409" t="s">
        <v>1926</v>
      </c>
      <c r="I591" s="857" t="str">
        <f t="shared" si="70"/>
        <v/>
      </c>
      <c r="J591" s="1409" t="str">
        <f t="shared" si="75"/>
        <v/>
      </c>
      <c r="K591" s="1409" t="str">
        <f t="shared" si="71"/>
        <v/>
      </c>
      <c r="L591" s="897" t="s">
        <v>1397</v>
      </c>
      <c r="M591" s="1410">
        <v>574</v>
      </c>
      <c r="N591" s="1409"/>
      <c r="O591" s="1408">
        <f>'Configurable Tab'!I6</f>
        <v>58</v>
      </c>
      <c r="P591" s="1408"/>
      <c r="Q591" s="1408"/>
      <c r="R591" s="1409" t="s">
        <v>855</v>
      </c>
      <c r="S591" s="1408"/>
      <c r="T591" s="1409" t="str">
        <f t="shared" si="74"/>
        <v/>
      </c>
      <c r="U591" s="1408"/>
      <c r="V591" s="1408"/>
      <c r="W591" s="1408"/>
      <c r="X591" s="1408"/>
      <c r="Y591" s="1408"/>
      <c r="Z591" s="1408"/>
      <c r="AA591" s="1408"/>
    </row>
    <row r="592" spans="1:27" x14ac:dyDescent="0.25">
      <c r="A592" s="928" t="s">
        <v>1398</v>
      </c>
      <c r="B592" s="897" t="str">
        <f t="shared" ref="B592:B597" ca="1" si="76">_xlfn.CONCAT(IFERROR(SUBSTITUTE(ADDRESS(1,MATCH(A592,INDIRECT("'"&amp;E592&amp;"'"&amp;"!A" &amp; $O$589+2 &amp; ":Z" &amp; $O$589+2),0),4),1,""),""),$O$589+2)</f>
        <v>J47</v>
      </c>
      <c r="C592" s="897" t="str">
        <f t="shared" ref="C592:C597" ca="1" si="77">_xlfn.CONCAT(IFERROR(SUBSTITUTE(ADDRESS(1,MATCH(A592,INDIRECT("'"&amp;E592&amp;"'"&amp;"!A" &amp; $O$589+2 &amp; ":Z" &amp; $O$589+2),0),4),1,""),""),$O$589+3)</f>
        <v>J48</v>
      </c>
      <c r="D592" s="897" t="s">
        <v>1367</v>
      </c>
      <c r="E592" s="897" t="s">
        <v>1535</v>
      </c>
      <c r="F592" s="1409" t="s">
        <v>1928</v>
      </c>
      <c r="G592" s="1409" t="str">
        <f>IF(T592&lt;&gt;"","I","")</f>
        <v/>
      </c>
      <c r="H592" s="1409" t="s">
        <v>1926</v>
      </c>
      <c r="I592" s="857" t="str">
        <f t="shared" si="70"/>
        <v/>
      </c>
      <c r="J592" s="1409" t="str">
        <f t="shared" si="75"/>
        <v/>
      </c>
      <c r="K592" s="1409" t="str">
        <f t="shared" si="71"/>
        <v/>
      </c>
      <c r="L592" s="897" t="s">
        <v>1398</v>
      </c>
      <c r="M592" s="1410">
        <v>575</v>
      </c>
      <c r="N592" s="1409"/>
      <c r="O592" s="1423" t="s">
        <v>1654</v>
      </c>
      <c r="P592" s="1408"/>
      <c r="Q592" s="1408"/>
      <c r="R592" s="1409" t="s">
        <v>855</v>
      </c>
      <c r="S592" s="1408"/>
      <c r="T592" s="1409" t="str">
        <f t="shared" si="74"/>
        <v/>
      </c>
      <c r="U592" s="1408"/>
      <c r="V592" s="1408"/>
      <c r="W592" s="1408"/>
      <c r="X592" s="1408"/>
      <c r="Y592" s="1408"/>
      <c r="Z592" s="1408"/>
      <c r="AA592" s="1408"/>
    </row>
    <row r="593" spans="1:27" x14ac:dyDescent="0.25">
      <c r="A593" s="928" t="s">
        <v>1414</v>
      </c>
      <c r="B593" s="897" t="str">
        <f t="shared" ca="1" si="76"/>
        <v>L47</v>
      </c>
      <c r="C593" s="897" t="str">
        <f t="shared" ca="1" si="77"/>
        <v>L48</v>
      </c>
      <c r="D593" s="897" t="s">
        <v>1367</v>
      </c>
      <c r="E593" s="897" t="s">
        <v>1535</v>
      </c>
      <c r="F593" s="1409" t="s">
        <v>1929</v>
      </c>
      <c r="G593" s="1409" t="str">
        <f>IF(T593&lt;&gt;"","H","")</f>
        <v/>
      </c>
      <c r="H593" s="1409" t="s">
        <v>1926</v>
      </c>
      <c r="I593" s="857" t="str">
        <f t="shared" si="70"/>
        <v/>
      </c>
      <c r="J593" s="1409" t="str">
        <f t="shared" si="75"/>
        <v/>
      </c>
      <c r="K593" s="1409" t="str">
        <f t="shared" si="71"/>
        <v/>
      </c>
      <c r="L593" s="897" t="s">
        <v>1414</v>
      </c>
      <c r="M593" s="1410">
        <v>576</v>
      </c>
      <c r="N593" s="1409"/>
      <c r="O593" s="1408"/>
      <c r="P593" s="1408"/>
      <c r="Q593" s="1408"/>
      <c r="R593" s="1409" t="s">
        <v>855</v>
      </c>
      <c r="S593" s="1408"/>
      <c r="T593" s="1409" t="str">
        <f t="shared" si="74"/>
        <v/>
      </c>
      <c r="U593" s="1408"/>
      <c r="V593" s="1408"/>
      <c r="W593" s="1408"/>
      <c r="X593" s="1408"/>
      <c r="Y593" s="1408"/>
      <c r="Z593" s="1408"/>
      <c r="AA593" s="1408"/>
    </row>
    <row r="594" spans="1:27" x14ac:dyDescent="0.25">
      <c r="A594" s="928" t="s">
        <v>1399</v>
      </c>
      <c r="B594" s="897" t="str">
        <f t="shared" ca="1" si="76"/>
        <v>N47</v>
      </c>
      <c r="C594" s="897" t="str">
        <f t="shared" ca="1" si="77"/>
        <v>N48</v>
      </c>
      <c r="D594" s="897" t="s">
        <v>1367</v>
      </c>
      <c r="E594" s="897" t="s">
        <v>1535</v>
      </c>
      <c r="F594" s="1409" t="s">
        <v>1399</v>
      </c>
      <c r="G594" s="1409" t="str">
        <f>IF(T594&lt;&gt;"",IF(Q592="Credit Memo","J",IF(Q592="Check","K","")),"")</f>
        <v/>
      </c>
      <c r="H594" s="1409" t="s">
        <v>1926</v>
      </c>
      <c r="I594" s="857" t="str">
        <f t="shared" si="70"/>
        <v/>
      </c>
      <c r="J594" s="1409" t="str">
        <f t="shared" si="75"/>
        <v/>
      </c>
      <c r="K594" s="1409" t="str">
        <f t="shared" si="71"/>
        <v/>
      </c>
      <c r="L594" s="897" t="s">
        <v>1399</v>
      </c>
      <c r="M594" s="1410">
        <v>577</v>
      </c>
      <c r="N594" s="1409"/>
      <c r="O594" s="1408"/>
      <c r="P594" s="1408"/>
      <c r="Q594" s="1408"/>
      <c r="R594" s="1409" t="s">
        <v>855</v>
      </c>
      <c r="S594" s="1408"/>
      <c r="T594" s="1409" t="str">
        <f t="shared" si="74"/>
        <v/>
      </c>
      <c r="U594" s="1408"/>
      <c r="V594" s="1408"/>
      <c r="W594" s="1408"/>
      <c r="X594" s="1408"/>
      <c r="Y594" s="1408"/>
      <c r="Z594" s="1408"/>
      <c r="AA594" s="1408"/>
    </row>
    <row r="595" spans="1:27" x14ac:dyDescent="0.25">
      <c r="A595" s="928" t="s">
        <v>1505</v>
      </c>
      <c r="B595" s="897" t="str">
        <f t="shared" ca="1" si="76"/>
        <v>P47</v>
      </c>
      <c r="C595" s="897" t="str">
        <f t="shared" ca="1" si="77"/>
        <v>P48</v>
      </c>
      <c r="D595" s="897" t="s">
        <v>1367</v>
      </c>
      <c r="E595" s="897" t="s">
        <v>1535</v>
      </c>
      <c r="F595" s="1409" t="s">
        <v>1930</v>
      </c>
      <c r="G595" s="1409" t="str">
        <f>IF(T595&lt;&gt;"","F","")</f>
        <v/>
      </c>
      <c r="H595" s="1409" t="s">
        <v>1926</v>
      </c>
      <c r="I595" s="857" t="str">
        <f t="shared" si="70"/>
        <v/>
      </c>
      <c r="J595" s="1409" t="str">
        <f t="shared" si="75"/>
        <v/>
      </c>
      <c r="K595" s="1409" t="str">
        <f t="shared" si="71"/>
        <v/>
      </c>
      <c r="L595" s="897" t="s">
        <v>1505</v>
      </c>
      <c r="M595" s="1410">
        <v>578</v>
      </c>
      <c r="N595" s="1409"/>
      <c r="O595" s="1408"/>
      <c r="P595" s="1408"/>
      <c r="Q595" s="1408"/>
      <c r="R595" s="1409" t="s">
        <v>855</v>
      </c>
      <c r="S595" s="1408"/>
      <c r="T595" s="1409" t="str">
        <f t="shared" si="74"/>
        <v/>
      </c>
      <c r="U595" s="1408"/>
      <c r="V595" s="1408"/>
      <c r="W595" s="1408"/>
      <c r="X595" s="1408"/>
      <c r="Y595" s="1408"/>
      <c r="Z595" s="1408"/>
      <c r="AA595" s="1408"/>
    </row>
    <row r="596" spans="1:27" x14ac:dyDescent="0.25">
      <c r="A596" s="928" t="s">
        <v>1506</v>
      </c>
      <c r="B596" s="897" t="str">
        <f t="shared" ca="1" si="76"/>
        <v>R47</v>
      </c>
      <c r="C596" s="897" t="str">
        <f t="shared" ca="1" si="77"/>
        <v>R48</v>
      </c>
      <c r="D596" s="897" t="s">
        <v>1367</v>
      </c>
      <c r="E596" s="897" t="s">
        <v>1535</v>
      </c>
      <c r="F596" s="1409" t="s">
        <v>1931</v>
      </c>
      <c r="G596" s="1409" t="str">
        <f>IF(T596&lt;&gt;"","G","")</f>
        <v/>
      </c>
      <c r="H596" s="1409" t="s">
        <v>1926</v>
      </c>
      <c r="I596" s="857" t="str">
        <f t="shared" si="70"/>
        <v/>
      </c>
      <c r="J596" s="1409" t="str">
        <f t="shared" si="75"/>
        <v/>
      </c>
      <c r="K596" s="1409" t="str">
        <f t="shared" si="71"/>
        <v/>
      </c>
      <c r="L596" s="897" t="s">
        <v>1506</v>
      </c>
      <c r="M596" s="1410">
        <v>579</v>
      </c>
      <c r="N596" s="1409"/>
      <c r="O596" s="1408"/>
      <c r="P596" s="1408"/>
      <c r="Q596" s="1408"/>
      <c r="R596" s="1409" t="s">
        <v>855</v>
      </c>
      <c r="S596" s="1408"/>
      <c r="T596" s="1409" t="str">
        <f t="shared" si="74"/>
        <v/>
      </c>
      <c r="U596" s="1408"/>
      <c r="V596" s="1408"/>
      <c r="W596" s="1408"/>
      <c r="X596" s="1408"/>
      <c r="Y596" s="1408"/>
      <c r="Z596" s="1408"/>
      <c r="AA596" s="1408"/>
    </row>
    <row r="597" spans="1:27" x14ac:dyDescent="0.25">
      <c r="A597" s="928" t="s">
        <v>1507</v>
      </c>
      <c r="B597" s="897" t="str">
        <f t="shared" ca="1" si="76"/>
        <v>T47</v>
      </c>
      <c r="C597" s="897" t="str">
        <f t="shared" ca="1" si="77"/>
        <v>T48</v>
      </c>
      <c r="D597" s="897" t="s">
        <v>1367</v>
      </c>
      <c r="E597" s="897" t="s">
        <v>1535</v>
      </c>
      <c r="F597" s="919" t="s">
        <v>1507</v>
      </c>
      <c r="G597" s="1409" t="str">
        <f>IF(T597&lt;&gt;"","AW","")</f>
        <v/>
      </c>
      <c r="H597" s="1409" t="s">
        <v>1926</v>
      </c>
      <c r="I597" s="857" t="str">
        <f t="shared" si="70"/>
        <v/>
      </c>
      <c r="J597" s="1409" t="str">
        <f t="shared" si="75"/>
        <v/>
      </c>
      <c r="K597" s="1409" t="str">
        <f t="shared" si="71"/>
        <v/>
      </c>
      <c r="L597" s="897" t="s">
        <v>1507</v>
      </c>
      <c r="M597" s="1410">
        <v>580</v>
      </c>
      <c r="N597" s="1409"/>
      <c r="O597" s="1408"/>
      <c r="P597" s="1408"/>
      <c r="Q597" s="1408"/>
      <c r="R597" s="1409" t="s">
        <v>855</v>
      </c>
      <c r="S597" s="1408"/>
      <c r="T597" s="1409" t="str">
        <f t="shared" si="74"/>
        <v/>
      </c>
      <c r="U597" s="1408"/>
      <c r="V597" s="1408"/>
      <c r="W597" s="1408"/>
      <c r="X597" s="1408"/>
      <c r="Y597" s="1408"/>
      <c r="Z597" s="1408"/>
      <c r="AA597" s="1408"/>
    </row>
    <row r="598" spans="1:27" x14ac:dyDescent="0.25">
      <c r="A598" s="928" t="s">
        <v>1402</v>
      </c>
      <c r="B598" s="897" t="str">
        <f ca="1">IFERROR(_xlfn.CONCAT("C",MATCH(A598,INDIRECT("'"&amp;E598&amp;"'!C"&amp;$O$589&amp;":C"&amp;$O$591),0)+$O$589-1),"")</f>
        <v>C51</v>
      </c>
      <c r="C598" s="897" t="str">
        <f ca="1">IFERROR(_xlfn.CONCAT("D",MATCH(A598,INDIRECT("'"&amp;E598&amp;"'!C"&amp;$O$589&amp;":C"&amp;$O$591),0)+$O$589-1),"")</f>
        <v>D51</v>
      </c>
      <c r="D598" s="897" t="s">
        <v>1367</v>
      </c>
      <c r="E598" s="897" t="s">
        <v>1535</v>
      </c>
      <c r="F598" s="1409" t="s">
        <v>1402</v>
      </c>
      <c r="G598" s="1409" t="str">
        <f>IF(T598&lt;&gt;"","C","")</f>
        <v/>
      </c>
      <c r="H598" s="1409" t="s">
        <v>1926</v>
      </c>
      <c r="I598" s="857" t="str">
        <f t="shared" si="70"/>
        <v/>
      </c>
      <c r="J598" s="1409"/>
      <c r="K598" s="1409" t="str">
        <f t="shared" si="71"/>
        <v/>
      </c>
      <c r="L598" s="897" t="s">
        <v>1402</v>
      </c>
      <c r="M598" s="1410">
        <v>581</v>
      </c>
      <c r="N598" s="1409"/>
      <c r="O598" s="1408"/>
      <c r="P598" s="1408"/>
      <c r="Q598" s="1408"/>
      <c r="R598" s="1409" t="s">
        <v>855</v>
      </c>
      <c r="S598" s="1408"/>
      <c r="T598" s="1409" t="str">
        <f t="shared" si="74"/>
        <v/>
      </c>
      <c r="U598" s="1408"/>
      <c r="V598" s="1408"/>
      <c r="W598" s="1408"/>
      <c r="X598" s="1408"/>
      <c r="Y598" s="1408"/>
      <c r="Z598" s="1408"/>
      <c r="AA598" s="1408"/>
    </row>
    <row r="599" spans="1:27" x14ac:dyDescent="0.25">
      <c r="A599" s="928" t="s">
        <v>1403</v>
      </c>
      <c r="B599" s="897" t="str">
        <f ca="1">IFERROR(_xlfn.CONCAT("C",MATCH(A599,INDIRECT("'"&amp;E599&amp;"'!C"&amp;$O$589&amp;":C"&amp;$O$591),0)+$O$589-1),"")</f>
        <v>C53</v>
      </c>
      <c r="C599" s="897" t="str">
        <f ca="1">IFERROR(_xlfn.CONCAT("D",MATCH(A599,INDIRECT("'"&amp;E599&amp;"'!C"&amp;$O$589&amp;":C"&amp;$O$591),0)+$O$589-1),"")</f>
        <v>D53</v>
      </c>
      <c r="D599" s="897" t="s">
        <v>1367</v>
      </c>
      <c r="E599" s="897" t="s">
        <v>1535</v>
      </c>
      <c r="F599" s="1409" t="s">
        <v>1403</v>
      </c>
      <c r="G599" s="1409" t="str">
        <f>IF(T599&lt;&gt;"","D","")</f>
        <v/>
      </c>
      <c r="H599" s="1409" t="s">
        <v>1926</v>
      </c>
      <c r="I599" s="857" t="str">
        <f t="shared" si="70"/>
        <v/>
      </c>
      <c r="J599" s="1409"/>
      <c r="K599" s="1409" t="str">
        <f t="shared" si="71"/>
        <v/>
      </c>
      <c r="L599" s="897" t="s">
        <v>1403</v>
      </c>
      <c r="M599" s="1410">
        <v>582</v>
      </c>
      <c r="N599" s="1409"/>
      <c r="O599" s="1408"/>
      <c r="P599" s="1408"/>
      <c r="Q599" s="1408"/>
      <c r="R599" s="1409" t="s">
        <v>855</v>
      </c>
      <c r="S599" s="1408"/>
      <c r="T599" s="1409" t="str">
        <f t="shared" si="74"/>
        <v/>
      </c>
      <c r="U599" s="1408"/>
      <c r="V599" s="1408"/>
      <c r="W599" s="1408"/>
      <c r="X599" s="1408"/>
      <c r="Y599" s="1408"/>
      <c r="Z599" s="1408"/>
      <c r="AA599" s="1408"/>
    </row>
    <row r="600" spans="1:27" x14ac:dyDescent="0.25">
      <c r="A600" s="928" t="s">
        <v>1514</v>
      </c>
      <c r="B600" s="897" t="str">
        <f ca="1">IFERROR(_xlfn.CONCAT("C",MATCH(A600,INDIRECT("'"&amp;E600&amp;"'!C"&amp;$O$589&amp;":C"&amp;$O$591),0)+$O$589-1),"")</f>
        <v>C55</v>
      </c>
      <c r="C600" s="897" t="str">
        <f ca="1">IFERROR(_xlfn.CONCAT("D",MATCH(A600,INDIRECT("'"&amp;E600&amp;"'!C"&amp;$O$589&amp;":C"&amp;$O$591),0)+$O$589-1),"")</f>
        <v>D55</v>
      </c>
      <c r="D600" s="897" t="s">
        <v>1367</v>
      </c>
      <c r="E600" s="897" t="s">
        <v>1535</v>
      </c>
      <c r="F600" s="1409" t="s">
        <v>1514</v>
      </c>
      <c r="G600" s="1409" t="str">
        <f>IF(T600&lt;&gt;"","AN","")</f>
        <v/>
      </c>
      <c r="H600" s="1409" t="s">
        <v>1926</v>
      </c>
      <c r="I600" s="857" t="str">
        <f t="shared" si="70"/>
        <v/>
      </c>
      <c r="J600" s="1409" t="str">
        <f t="shared" si="75"/>
        <v/>
      </c>
      <c r="K600" s="1409" t="str">
        <f t="shared" si="71"/>
        <v/>
      </c>
      <c r="L600" s="897" t="s">
        <v>1514</v>
      </c>
      <c r="M600" s="1410">
        <v>583</v>
      </c>
      <c r="N600" s="1409"/>
      <c r="O600" s="1408"/>
      <c r="P600" s="1409" t="str" cm="1">
        <f t="array" aca="1" ref="P600" ca="1">_xlfn.CONCAT("F",RIGHT(B600, LEN(B600) - MAX(IF(ISNUMBER(MID(B600, ROW(INDIRECT("1:"&amp;LEN(B600))), 1) *1)=FALSE, ROW(INDIRECT("1:"&amp;LEN(B600))), 0))))</f>
        <v>F55</v>
      </c>
      <c r="Q600" s="1409" t="str" cm="1">
        <f t="array" aca="1" ref="Q600" ca="1">_xlfn.CONCAT("E",RIGHT(C600, LEN(C600) - MAX(IF(ISNUMBER(MID(C600, ROW(INDIRECT("1:"&amp;LEN(C600))), 1) *1)=FALSE, ROW(INDIRECT("1:"&amp;LEN(C600))), 0))))</f>
        <v>E55</v>
      </c>
      <c r="R600" s="1409" t="s">
        <v>855</v>
      </c>
      <c r="S600" s="1408"/>
      <c r="T600" s="1409" t="str">
        <f t="shared" si="74"/>
        <v/>
      </c>
      <c r="U600" s="1408"/>
      <c r="V600" s="1408"/>
      <c r="W600" s="1408"/>
      <c r="X600" s="1408"/>
      <c r="Y600" s="1408"/>
      <c r="Z600" s="1408"/>
      <c r="AA600" s="1408"/>
    </row>
    <row r="601" spans="1:27" x14ac:dyDescent="0.25">
      <c r="A601" s="928" t="s">
        <v>1511</v>
      </c>
      <c r="B601" s="897" t="str">
        <f ca="1">_xlfn.CONCAT(IFERROR(SUBSTITUTE(ADDRESS(1,MATCH(A601,INDIRECT("'"&amp;E601&amp;"'"&amp;"!A" &amp; $O$589+8 &amp; ":Z" &amp; $O$589+8),0),4),1,""),""),$O$589+8)</f>
        <v>H53</v>
      </c>
      <c r="C601" s="897" t="str">
        <f ca="1">_xlfn.CONCAT(IFERROR(SUBSTITUTE(ADDRESS(1,MATCH(A601,INDIRECT("'"&amp;E601&amp;"'"&amp;"!A" &amp; $O$589+8 &amp; ":Z" &amp; $O$589+8),0),4),1,""),""),$O$589+9)</f>
        <v>H54</v>
      </c>
      <c r="D601" s="897" t="s">
        <v>1367</v>
      </c>
      <c r="E601" s="897" t="s">
        <v>1535</v>
      </c>
      <c r="F601" s="1409" t="s">
        <v>1511</v>
      </c>
      <c r="G601" s="1409" t="str">
        <f>IF(T601&lt;&gt;"","AL","")</f>
        <v/>
      </c>
      <c r="H601" s="1409" t="s">
        <v>1926</v>
      </c>
      <c r="I601" s="857" t="str">
        <f t="shared" si="70"/>
        <v/>
      </c>
      <c r="J601" s="1409" t="str">
        <f t="shared" si="75"/>
        <v/>
      </c>
      <c r="K601" s="1409" t="str">
        <f t="shared" si="71"/>
        <v/>
      </c>
      <c r="L601" s="897" t="s">
        <v>1511</v>
      </c>
      <c r="M601" s="1410">
        <v>584</v>
      </c>
      <c r="N601" s="1409"/>
      <c r="O601" s="1408"/>
      <c r="P601" s="1408"/>
      <c r="Q601" s="1408"/>
      <c r="R601" s="1409" t="s">
        <v>855</v>
      </c>
      <c r="S601" s="1408"/>
      <c r="T601" s="1409" t="str">
        <f t="shared" si="74"/>
        <v/>
      </c>
      <c r="U601" s="1408"/>
      <c r="V601" s="1408"/>
      <c r="W601" s="1408"/>
      <c r="X601" s="1408"/>
      <c r="Y601" s="1408"/>
      <c r="Z601" s="1408"/>
      <c r="AA601" s="1408"/>
    </row>
    <row r="602" spans="1:27" x14ac:dyDescent="0.25">
      <c r="A602" s="928" t="s">
        <v>1525</v>
      </c>
      <c r="B602" s="897" t="str">
        <f t="shared" ref="B602" ca="1" si="78">_xlfn.CONCAT(IFERROR(SUBSTITUTE(ADDRESS(1,MATCH(A602,INDIRECT("'"&amp;E602&amp;"'"&amp;"!A" &amp; $O$589+8 &amp; ":Z" &amp; $O$589+8),0),4),1,""),""),$O$589+8)</f>
        <v>J53</v>
      </c>
      <c r="C602" s="897" t="str">
        <f t="shared" ref="C602" ca="1" si="79">_xlfn.CONCAT(IFERROR(SUBSTITUTE(ADDRESS(1,MATCH(A602,INDIRECT("'"&amp;E602&amp;"'"&amp;"!A" &amp; $O$589+8 &amp; ":Z" &amp; $O$589+8),0),4),1,""),""),$O$589+9)</f>
        <v>J54</v>
      </c>
      <c r="D602" s="897" t="s">
        <v>1367</v>
      </c>
      <c r="E602" s="897" t="s">
        <v>1535</v>
      </c>
      <c r="F602" s="1409" t="s">
        <v>1932</v>
      </c>
      <c r="G602" s="1409" t="str">
        <f>IF(T602&lt;&gt;"","L","")</f>
        <v/>
      </c>
      <c r="H602" s="1409" t="s">
        <v>1926</v>
      </c>
      <c r="I602" s="857" t="str">
        <f t="shared" si="70"/>
        <v/>
      </c>
      <c r="J602" s="1409" t="str">
        <f t="shared" si="75"/>
        <v/>
      </c>
      <c r="K602" s="1409" t="str">
        <f t="shared" si="71"/>
        <v/>
      </c>
      <c r="L602" s="897" t="s">
        <v>1525</v>
      </c>
      <c r="M602" s="1410">
        <v>585</v>
      </c>
      <c r="N602" s="1409"/>
      <c r="O602" s="1408"/>
      <c r="P602" s="1408"/>
      <c r="Q602" s="1408"/>
      <c r="R602" s="1409" t="s">
        <v>855</v>
      </c>
      <c r="S602" s="1408"/>
      <c r="T602" s="1409" t="str">
        <f t="shared" si="74"/>
        <v/>
      </c>
      <c r="U602" s="1408"/>
      <c r="V602" s="1408"/>
      <c r="W602" s="1408"/>
      <c r="X602" s="1408"/>
      <c r="Y602" s="1408"/>
      <c r="Z602" s="1408"/>
      <c r="AA602" s="1408"/>
    </row>
    <row r="603" spans="1:27" x14ac:dyDescent="0.25">
      <c r="A603" s="928" t="s">
        <v>1404</v>
      </c>
      <c r="B603" s="897" t="str">
        <f ca="1">_xlfn.CONCAT(IFERROR(SUBSTITUTE(ADDRESS(1,MATCH(A603,INDIRECT("'"&amp;E603&amp;"'"&amp;"!A" &amp; $O$589+5 &amp; ":Z" &amp; $O$589+5),0),4),1,""),""),$O$589+5)</f>
        <v>H50</v>
      </c>
      <c r="C603" s="897" t="str">
        <f ca="1">_xlfn.CONCAT(IFERROR(SUBSTITUTE(ADDRESS(1,MATCH(A603,INDIRECT("'"&amp;E603&amp;"'"&amp;"!A" &amp; $O$589+5 &amp; ":Z" &amp; $O$589+5),0),4),1,""),""),$O$589+6)</f>
        <v>H51</v>
      </c>
      <c r="D603" s="897" t="s">
        <v>1367</v>
      </c>
      <c r="E603" s="897" t="s">
        <v>1535</v>
      </c>
      <c r="F603" s="919" t="s">
        <v>1404</v>
      </c>
      <c r="G603" s="1409" t="str">
        <f>IF(T603&lt;&gt;"","AH","")</f>
        <v/>
      </c>
      <c r="H603" s="1409" t="s">
        <v>1926</v>
      </c>
      <c r="I603" s="857" t="str">
        <f t="shared" si="70"/>
        <v/>
      </c>
      <c r="J603" s="1409" t="str">
        <f t="shared" si="75"/>
        <v/>
      </c>
      <c r="K603" s="1409" t="str">
        <f t="shared" si="71"/>
        <v/>
      </c>
      <c r="L603" s="897" t="s">
        <v>1404</v>
      </c>
      <c r="M603" s="1410">
        <v>586</v>
      </c>
      <c r="N603" s="1409"/>
      <c r="O603" s="1408"/>
      <c r="P603" s="1408"/>
      <c r="Q603" s="1408"/>
      <c r="R603" s="1409" t="s">
        <v>855</v>
      </c>
      <c r="S603" s="1408"/>
      <c r="T603" s="1409" t="str">
        <f t="shared" si="74"/>
        <v/>
      </c>
      <c r="U603" s="1408"/>
      <c r="V603" s="1408"/>
      <c r="W603" s="1408"/>
      <c r="X603" s="1408"/>
      <c r="Y603" s="1408"/>
      <c r="Z603" s="1408"/>
      <c r="AA603" s="1408"/>
    </row>
    <row r="604" spans="1:27" x14ac:dyDescent="0.25">
      <c r="A604" s="928" t="s">
        <v>1405</v>
      </c>
      <c r="B604" s="897" t="str">
        <f t="shared" ref="B604:B605" ca="1" si="80">_xlfn.CONCAT(IFERROR(SUBSTITUTE(ADDRESS(1,MATCH(A604,INDIRECT("'"&amp;E604&amp;"'"&amp;"!A" &amp; $O$589+5 &amp; ":Z" &amp; $O$589+5),0),4),1,""),""),$O$589+5)</f>
        <v>J50</v>
      </c>
      <c r="C604" s="897" t="str">
        <f t="shared" ref="C604:C605" ca="1" si="81">_xlfn.CONCAT(IFERROR(SUBSTITUTE(ADDRESS(1,MATCH(A604,INDIRECT("'"&amp;E604&amp;"'"&amp;"!A" &amp; $O$589+5 &amp; ":Z" &amp; $O$589+5),0),4),1,""),""),$O$589+6)</f>
        <v>J51</v>
      </c>
      <c r="D604" s="897" t="s">
        <v>1367</v>
      </c>
      <c r="E604" s="897" t="s">
        <v>1535</v>
      </c>
      <c r="F604" s="919"/>
      <c r="G604" s="1409"/>
      <c r="H604" s="1409"/>
      <c r="I604" s="857" t="str">
        <f t="shared" si="70"/>
        <v/>
      </c>
      <c r="J604" s="1409"/>
      <c r="K604" s="1409" t="str">
        <f t="shared" si="71"/>
        <v/>
      </c>
      <c r="L604" s="897" t="s">
        <v>1405</v>
      </c>
      <c r="M604" s="1410">
        <v>587</v>
      </c>
      <c r="N604" s="1409"/>
      <c r="O604" s="1408"/>
      <c r="P604" s="1408"/>
      <c r="Q604" s="1408"/>
      <c r="R604" s="1409" t="s">
        <v>855</v>
      </c>
      <c r="S604" s="1408"/>
      <c r="T604" s="1409" t="str">
        <f t="shared" si="74"/>
        <v/>
      </c>
      <c r="U604" s="1408"/>
      <c r="V604" s="1408"/>
      <c r="W604" s="1408"/>
      <c r="X604" s="1408"/>
      <c r="Y604" s="1408"/>
      <c r="Z604" s="1408"/>
      <c r="AA604" s="1408"/>
    </row>
    <row r="605" spans="1:27" x14ac:dyDescent="0.25">
      <c r="A605" s="929" t="s">
        <v>1406</v>
      </c>
      <c r="B605" s="897" t="str">
        <f t="shared" ca="1" si="80"/>
        <v>L50</v>
      </c>
      <c r="C605" s="897" t="str">
        <f t="shared" ca="1" si="81"/>
        <v>L51</v>
      </c>
      <c r="D605" s="897" t="s">
        <v>1367</v>
      </c>
      <c r="E605" s="897" t="s">
        <v>1535</v>
      </c>
      <c r="F605" s="1409" t="s">
        <v>1896</v>
      </c>
      <c r="G605" s="1409"/>
      <c r="H605" s="1409" t="s">
        <v>1926</v>
      </c>
      <c r="I605" s="857" t="str">
        <f t="shared" si="70"/>
        <v/>
      </c>
      <c r="J605" s="1409"/>
      <c r="K605" s="1409" t="str">
        <f t="shared" si="71"/>
        <v/>
      </c>
      <c r="L605" s="897" t="s">
        <v>1406</v>
      </c>
      <c r="M605" s="1410">
        <v>588</v>
      </c>
      <c r="N605" s="1409"/>
      <c r="O605" s="1408"/>
      <c r="P605" s="1408"/>
      <c r="Q605" s="1408"/>
      <c r="R605" s="1409" t="s">
        <v>855</v>
      </c>
      <c r="S605" s="1408"/>
      <c r="T605" s="1409" t="str">
        <f t="shared" si="74"/>
        <v/>
      </c>
      <c r="U605" s="1408"/>
      <c r="V605" s="1408"/>
      <c r="W605" s="1408"/>
      <c r="X605" s="1408"/>
      <c r="Y605" s="1408"/>
      <c r="Z605" s="1408"/>
      <c r="AA605" s="1408"/>
    </row>
    <row r="606" spans="1:27" x14ac:dyDescent="0.25">
      <c r="A606" s="928" t="s">
        <v>1527</v>
      </c>
      <c r="B606" s="897" t="str">
        <f t="shared" ref="B606" ca="1" si="82">_xlfn.CONCAT(IFERROR(SUBSTITUTE(ADDRESS(1,MATCH(A606,INDIRECT("'"&amp;E606&amp;"'"&amp;"!A" &amp; $O$589+8 &amp; ":Z" &amp; $O$589+8),0),4),1,""),""),$O$589+8)</f>
        <v>P53</v>
      </c>
      <c r="C606" s="897" t="str">
        <f t="shared" ref="C606" ca="1" si="83">_xlfn.CONCAT(IFERROR(SUBSTITUTE(ADDRESS(1,MATCH(A606,INDIRECT("'"&amp;E606&amp;"'"&amp;"!A" &amp; $O$589+8 &amp; ":Z" &amp; $O$589+8),0),4),1,""),""),$O$589+9)</f>
        <v>P54</v>
      </c>
      <c r="D606" s="897" t="s">
        <v>1367</v>
      </c>
      <c r="E606" s="897" t="s">
        <v>1535</v>
      </c>
      <c r="F606" s="1409" t="s">
        <v>1527</v>
      </c>
      <c r="G606" s="1409" t="str">
        <f>IF(T606&lt;&gt;"","P","")</f>
        <v/>
      </c>
      <c r="H606" s="1409" t="s">
        <v>1926</v>
      </c>
      <c r="I606" s="857" t="str">
        <f t="shared" si="70"/>
        <v/>
      </c>
      <c r="J606" s="1409" t="str">
        <f t="shared" si="75"/>
        <v/>
      </c>
      <c r="K606" s="1409" t="str">
        <f t="shared" si="71"/>
        <v/>
      </c>
      <c r="L606" s="897" t="s">
        <v>1527</v>
      </c>
      <c r="M606" s="1410">
        <v>589</v>
      </c>
      <c r="N606" s="1409"/>
      <c r="O606" s="1408"/>
      <c r="P606" s="1408"/>
      <c r="Q606" s="1408"/>
      <c r="R606" s="1409" t="s">
        <v>855</v>
      </c>
      <c r="S606" s="1408"/>
      <c r="T606" s="1409" t="str">
        <f>IF(Q$589="Yes",4,"")</f>
        <v/>
      </c>
      <c r="U606" s="1408"/>
      <c r="V606" s="1408"/>
      <c r="W606" s="1408"/>
      <c r="X606" s="1408"/>
      <c r="Y606" s="1408"/>
      <c r="Z606" s="1408"/>
      <c r="AA606" s="1408"/>
    </row>
    <row r="607" spans="1:27" x14ac:dyDescent="0.25">
      <c r="A607" s="926" t="s">
        <v>1510</v>
      </c>
      <c r="B607" s="897" t="str">
        <f ca="1">IFERROR(_xlfn.CONCAT("C",MATCH(A607,INDIRECT("'"&amp;E607&amp;"'!C"&amp;$O$608&amp;":C"&amp;$O$610),0)+$O$608-1),"")</f>
        <v>C63</v>
      </c>
      <c r="C607" s="897" t="str">
        <f ca="1">IFERROR(_xlfn.CONCAT("D",MATCH(A607,INDIRECT("'"&amp;E607&amp;"'!C"&amp;$O$608&amp;":C"&amp;$O$610),0)+$O$608-1),"")</f>
        <v>D63</v>
      </c>
      <c r="D607" s="897" t="s">
        <v>1367</v>
      </c>
      <c r="E607" s="897" t="s">
        <v>1535</v>
      </c>
      <c r="F607" s="1409" t="s">
        <v>1510</v>
      </c>
      <c r="G607" s="1409" t="str">
        <f>IF(T607&lt;&gt;"","A","")</f>
        <v/>
      </c>
      <c r="H607" s="1409" t="s">
        <v>1926</v>
      </c>
      <c r="I607" s="857" t="str">
        <f t="shared" si="70"/>
        <v/>
      </c>
      <c r="J607" s="1409"/>
      <c r="K607" s="1409" t="str">
        <f t="shared" si="71"/>
        <v/>
      </c>
      <c r="L607" s="897" t="s">
        <v>1510</v>
      </c>
      <c r="M607" s="1410">
        <v>590</v>
      </c>
      <c r="N607" s="1409"/>
      <c r="O607" s="1408" t="s">
        <v>726</v>
      </c>
      <c r="P607" s="1408"/>
      <c r="Q607" s="1408"/>
      <c r="R607" s="1409" t="s">
        <v>855</v>
      </c>
      <c r="S607" s="1408"/>
      <c r="T607" s="1409" t="str">
        <f t="shared" ref="T607:T620" si="84">IF(Q$608="Yes",5,"")</f>
        <v/>
      </c>
      <c r="U607" s="1408"/>
      <c r="V607" s="1408"/>
      <c r="W607" s="1408"/>
      <c r="X607" s="1408"/>
      <c r="Y607" s="1408"/>
      <c r="Z607" s="1408"/>
      <c r="AA607" s="1408"/>
    </row>
    <row r="608" spans="1:27" x14ac:dyDescent="0.25">
      <c r="A608" s="926" t="s">
        <v>1724</v>
      </c>
      <c r="B608" s="897" t="str">
        <f ca="1">_xlfn.CONCAT(IFERROR(SUBSTITUTE(ADDRESS(1,MATCH(A608,INDIRECT("'"&amp;E608&amp;"'"&amp;"!A" &amp; $O$608 + 12 &amp; ":Z" &amp; $O$608+12),0),4),1,""),""),$O$608+12)</f>
        <v>T71</v>
      </c>
      <c r="C608" s="897" t="str">
        <f ca="1">_xlfn.CONCAT(IFERROR(SUBSTITUTE(ADDRESS(1,MATCH(A608,INDIRECT("'"&amp;E608&amp;"'"&amp;"!A" &amp; $O$608 + 12 &amp; ":Z" &amp; $O$608+12),0),4),1,""),""),$O$608+13)</f>
        <v>T72</v>
      </c>
      <c r="D608" s="897" t="s">
        <v>1367</v>
      </c>
      <c r="E608" s="897" t="s">
        <v>1535</v>
      </c>
      <c r="F608" s="1409"/>
      <c r="G608" s="1409"/>
      <c r="H608" s="1409"/>
      <c r="I608" s="857" t="str">
        <f t="shared" si="70"/>
        <v/>
      </c>
      <c r="J608" s="1409" t="str">
        <f t="shared" ref="J608:J637" si="85">IF(M608&lt;&gt;"",IF($Q$608="Yes",Q$1&amp;M608,""))</f>
        <v/>
      </c>
      <c r="K608" s="1409" t="str">
        <f t="shared" si="71"/>
        <v/>
      </c>
      <c r="L608" s="897" t="s">
        <v>1724</v>
      </c>
      <c r="M608" s="1410">
        <v>591</v>
      </c>
      <c r="N608" s="1409"/>
      <c r="O608" s="1408">
        <f>'Configurable Tab'!H7</f>
        <v>59</v>
      </c>
      <c r="P608" s="1408">
        <f>'Configurable Tab'!J7</f>
        <v>0</v>
      </c>
      <c r="Q608" s="1408" t="s">
        <v>649</v>
      </c>
      <c r="R608" s="1409" t="s">
        <v>855</v>
      </c>
      <c r="S608" s="1408"/>
      <c r="T608" s="1409" t="str">
        <f t="shared" si="84"/>
        <v/>
      </c>
      <c r="U608" s="1408"/>
      <c r="V608" s="1408"/>
      <c r="W608" s="1408"/>
      <c r="X608" s="1408"/>
      <c r="Y608" s="1408"/>
      <c r="Z608" s="1408"/>
      <c r="AA608" s="1408"/>
    </row>
    <row r="609" spans="1:27" x14ac:dyDescent="0.25">
      <c r="A609" s="926" t="s">
        <v>1400</v>
      </c>
      <c r="B609" s="897" t="str">
        <f ca="1">IFERROR(_xlfn.CONCAT("C",MATCH(A609,INDIRECT("'"&amp;E609&amp;"'!C"&amp;$O$589&amp;":C"&amp;$O$591),0)+$O$589-1),"")</f>
        <v>C47</v>
      </c>
      <c r="C609" s="897" t="str">
        <f ca="1">IFERROR(_xlfn.CONCAT("D",MATCH(A609,INDIRECT("'"&amp;E609&amp;"'!C"&amp;$O$608&amp;":C"&amp;$O$610),0)+$O$608-1),"")</f>
        <v>D61</v>
      </c>
      <c r="D609" s="897" t="s">
        <v>1367</v>
      </c>
      <c r="E609" s="897" t="s">
        <v>1535</v>
      </c>
      <c r="F609" s="1409" t="s">
        <v>1400</v>
      </c>
      <c r="G609" s="1409" t="str">
        <f>IF(T609&lt;&gt;"","B","")</f>
        <v/>
      </c>
      <c r="H609" s="1409" t="s">
        <v>1926</v>
      </c>
      <c r="I609" s="857" t="str">
        <f t="shared" si="70"/>
        <v/>
      </c>
      <c r="J609" s="1409"/>
      <c r="K609" s="1409" t="str">
        <f t="shared" si="71"/>
        <v/>
      </c>
      <c r="L609" s="897" t="s">
        <v>1400</v>
      </c>
      <c r="M609" s="1410">
        <v>592</v>
      </c>
      <c r="N609" s="1409"/>
      <c r="O609" s="1408" t="s">
        <v>727</v>
      </c>
      <c r="P609" s="1408"/>
      <c r="Q609" s="1408"/>
      <c r="R609" s="1409" t="s">
        <v>855</v>
      </c>
      <c r="S609" s="1408"/>
      <c r="T609" s="1409" t="str">
        <f t="shared" si="84"/>
        <v/>
      </c>
      <c r="U609" s="1408"/>
      <c r="V609" s="1408"/>
      <c r="W609" s="1408"/>
      <c r="X609" s="1408"/>
      <c r="Y609" s="1408"/>
      <c r="Z609" s="1408"/>
      <c r="AA609" s="1408"/>
    </row>
    <row r="610" spans="1:27" x14ac:dyDescent="0.25">
      <c r="A610" s="926" t="s">
        <v>1397</v>
      </c>
      <c r="B610" s="897" t="str">
        <f t="shared" ref="B610:B616" ca="1" si="86">_xlfn.CONCAT(IFERROR(SUBSTITUTE(ADDRESS(1,MATCH(A610,INDIRECT("'"&amp;E610&amp;"'"&amp;"!A" &amp; $O$608+2&amp;":Z" &amp; $O$608+2),0),4),1,""),""),$O$608+2)</f>
        <v>H61</v>
      </c>
      <c r="C610" s="897" t="str">
        <f t="shared" ref="C610:C616" ca="1" si="87">_xlfn.CONCAT(IFERROR(SUBSTITUTE(ADDRESS(1,MATCH(A610,INDIRECT("'"&amp;E610&amp;"'"&amp;"!A" &amp; $O$608+2&amp;":Z" &amp; $O$608+2),0),4),1,""),""),$O$608+3)</f>
        <v>H62</v>
      </c>
      <c r="D610" s="897" t="s">
        <v>1367</v>
      </c>
      <c r="E610" s="897" t="s">
        <v>1535</v>
      </c>
      <c r="F610" s="1409" t="s">
        <v>1927</v>
      </c>
      <c r="G610" s="1409" t="str">
        <f>IF(T610&lt;&gt;"","E","")</f>
        <v/>
      </c>
      <c r="H610" s="1409" t="s">
        <v>1926</v>
      </c>
      <c r="I610" s="857" t="str">
        <f t="shared" si="70"/>
        <v/>
      </c>
      <c r="J610" s="1409" t="str">
        <f t="shared" si="85"/>
        <v/>
      </c>
      <c r="K610" s="1409" t="str">
        <f t="shared" si="71"/>
        <v/>
      </c>
      <c r="L610" s="897" t="s">
        <v>1397</v>
      </c>
      <c r="M610" s="1410">
        <v>593</v>
      </c>
      <c r="N610" s="1409"/>
      <c r="O610" s="1408">
        <f>'Configurable Tab'!I7</f>
        <v>74</v>
      </c>
      <c r="P610" s="1408"/>
      <c r="Q610" s="1408"/>
      <c r="R610" s="1409" t="s">
        <v>855</v>
      </c>
      <c r="S610" s="1408"/>
      <c r="T610" s="1409" t="str">
        <f t="shared" si="84"/>
        <v/>
      </c>
      <c r="U610" s="1408"/>
      <c r="V610" s="1408"/>
      <c r="W610" s="1408"/>
      <c r="X610" s="1408"/>
      <c r="Y610" s="1408"/>
      <c r="Z610" s="1408"/>
      <c r="AA610" s="1408"/>
    </row>
    <row r="611" spans="1:27" x14ac:dyDescent="0.25">
      <c r="A611" s="926" t="s">
        <v>1398</v>
      </c>
      <c r="B611" s="897" t="str">
        <f t="shared" ca="1" si="86"/>
        <v>J61</v>
      </c>
      <c r="C611" s="897" t="str">
        <f t="shared" ca="1" si="87"/>
        <v>J62</v>
      </c>
      <c r="D611" s="897" t="s">
        <v>1367</v>
      </c>
      <c r="E611" s="897" t="s">
        <v>1535</v>
      </c>
      <c r="F611" s="1409" t="s">
        <v>1928</v>
      </c>
      <c r="G611" s="1409" t="str">
        <f>IF(T611&lt;&gt;"","I","")</f>
        <v/>
      </c>
      <c r="H611" s="1409" t="s">
        <v>1926</v>
      </c>
      <c r="I611" s="857" t="str">
        <f t="shared" si="70"/>
        <v/>
      </c>
      <c r="J611" s="1409" t="str">
        <f t="shared" si="85"/>
        <v/>
      </c>
      <c r="K611" s="1409" t="str">
        <f t="shared" si="71"/>
        <v/>
      </c>
      <c r="L611" s="897" t="s">
        <v>1398</v>
      </c>
      <c r="M611" s="1410">
        <v>594</v>
      </c>
      <c r="N611" s="1409"/>
      <c r="O611" s="1408" t="s">
        <v>1655</v>
      </c>
      <c r="P611" s="1408"/>
      <c r="Q611" s="1408"/>
      <c r="R611" s="1409" t="s">
        <v>855</v>
      </c>
      <c r="S611" s="1408"/>
      <c r="T611" s="1409" t="str">
        <f t="shared" si="84"/>
        <v/>
      </c>
      <c r="U611" s="1408"/>
      <c r="V611" s="1408"/>
      <c r="W611" s="1408"/>
      <c r="X611" s="1408"/>
      <c r="Y611" s="1408"/>
      <c r="Z611" s="1408"/>
      <c r="AA611" s="1408"/>
    </row>
    <row r="612" spans="1:27" x14ac:dyDescent="0.25">
      <c r="A612" s="926" t="s">
        <v>1414</v>
      </c>
      <c r="B612" s="897" t="str">
        <f t="shared" ca="1" si="86"/>
        <v>L61</v>
      </c>
      <c r="C612" s="897" t="str">
        <f t="shared" ca="1" si="87"/>
        <v>L62</v>
      </c>
      <c r="D612" s="897" t="s">
        <v>1367</v>
      </c>
      <c r="E612" s="897" t="s">
        <v>1535</v>
      </c>
      <c r="F612" s="1409" t="s">
        <v>1929</v>
      </c>
      <c r="G612" s="1409" t="str">
        <f>IF(T612&lt;&gt;"","H","")</f>
        <v/>
      </c>
      <c r="H612" s="1409" t="s">
        <v>1926</v>
      </c>
      <c r="I612" s="857" t="str">
        <f t="shared" si="70"/>
        <v/>
      </c>
      <c r="J612" s="1409" t="str">
        <f t="shared" si="85"/>
        <v/>
      </c>
      <c r="K612" s="1409" t="str">
        <f t="shared" si="71"/>
        <v/>
      </c>
      <c r="L612" s="897" t="s">
        <v>1414</v>
      </c>
      <c r="M612" s="1410">
        <v>595</v>
      </c>
      <c r="N612" s="1409"/>
      <c r="O612" s="1408"/>
      <c r="P612" s="1408"/>
      <c r="Q612" s="1408"/>
      <c r="R612" s="1409" t="s">
        <v>855</v>
      </c>
      <c r="S612" s="1408"/>
      <c r="T612" s="1409" t="str">
        <f t="shared" si="84"/>
        <v/>
      </c>
      <c r="U612" s="1408"/>
      <c r="V612" s="1408"/>
      <c r="W612" s="1408"/>
      <c r="X612" s="1408"/>
      <c r="Y612" s="1408"/>
      <c r="Z612" s="1408"/>
      <c r="AA612" s="1408"/>
    </row>
    <row r="613" spans="1:27" x14ac:dyDescent="0.25">
      <c r="A613" s="926" t="s">
        <v>1399</v>
      </c>
      <c r="B613" s="897" t="str">
        <f t="shared" ca="1" si="86"/>
        <v>N61</v>
      </c>
      <c r="C613" s="897" t="str">
        <f t="shared" ca="1" si="87"/>
        <v>N62</v>
      </c>
      <c r="D613" s="897" t="s">
        <v>1367</v>
      </c>
      <c r="E613" s="897" t="s">
        <v>1535</v>
      </c>
      <c r="F613" s="1409" t="s">
        <v>1399</v>
      </c>
      <c r="G613" s="1409" t="str">
        <f>IF(T613&lt;&gt;"",IF(Q611="Credit Memo","J",IF(Q611="Check","K","")),"")</f>
        <v/>
      </c>
      <c r="H613" s="1409" t="s">
        <v>1926</v>
      </c>
      <c r="I613" s="857" t="str">
        <f t="shared" si="70"/>
        <v/>
      </c>
      <c r="J613" s="1409" t="str">
        <f t="shared" si="85"/>
        <v/>
      </c>
      <c r="K613" s="1409" t="str">
        <f t="shared" si="71"/>
        <v/>
      </c>
      <c r="L613" s="897" t="s">
        <v>1399</v>
      </c>
      <c r="M613" s="1410">
        <v>596</v>
      </c>
      <c r="N613" s="1409"/>
      <c r="O613" s="1408"/>
      <c r="P613" s="1408"/>
      <c r="Q613" s="1408"/>
      <c r="R613" s="1409" t="s">
        <v>855</v>
      </c>
      <c r="S613" s="1408"/>
      <c r="T613" s="1409" t="str">
        <f t="shared" si="84"/>
        <v/>
      </c>
      <c r="U613" s="1408"/>
      <c r="V613" s="1408"/>
      <c r="W613" s="1408"/>
      <c r="X613" s="1408"/>
      <c r="Y613" s="1408"/>
      <c r="Z613" s="1408"/>
      <c r="AA613" s="1408"/>
    </row>
    <row r="614" spans="1:27" x14ac:dyDescent="0.25">
      <c r="A614" s="926" t="s">
        <v>1505</v>
      </c>
      <c r="B614" s="897" t="str">
        <f t="shared" ca="1" si="86"/>
        <v>P61</v>
      </c>
      <c r="C614" s="897" t="str">
        <f t="shared" ca="1" si="87"/>
        <v>P62</v>
      </c>
      <c r="D614" s="897" t="s">
        <v>1367</v>
      </c>
      <c r="E614" s="897" t="s">
        <v>1535</v>
      </c>
      <c r="F614" s="1409" t="s">
        <v>1930</v>
      </c>
      <c r="G614" s="1409" t="str">
        <f>IF(T614&lt;&gt;"","F","")</f>
        <v/>
      </c>
      <c r="H614" s="1409" t="s">
        <v>1926</v>
      </c>
      <c r="I614" s="857" t="str">
        <f t="shared" si="70"/>
        <v/>
      </c>
      <c r="J614" s="1409" t="str">
        <f t="shared" si="85"/>
        <v/>
      </c>
      <c r="K614" s="1409" t="str">
        <f t="shared" si="71"/>
        <v/>
      </c>
      <c r="L614" s="897" t="s">
        <v>1505</v>
      </c>
      <c r="M614" s="1410">
        <v>597</v>
      </c>
      <c r="N614" s="1409"/>
      <c r="O614" s="1408"/>
      <c r="P614" s="1408"/>
      <c r="Q614" s="1408"/>
      <c r="R614" s="1409" t="s">
        <v>855</v>
      </c>
      <c r="S614" s="1408"/>
      <c r="T614" s="1409" t="str">
        <f t="shared" si="84"/>
        <v/>
      </c>
      <c r="U614" s="1408"/>
      <c r="V614" s="1408"/>
      <c r="W614" s="1408"/>
      <c r="X614" s="1408"/>
      <c r="Y614" s="1408"/>
      <c r="Z614" s="1408"/>
      <c r="AA614" s="1408"/>
    </row>
    <row r="615" spans="1:27" x14ac:dyDescent="0.25">
      <c r="A615" s="926" t="s">
        <v>1506</v>
      </c>
      <c r="B615" s="897" t="str">
        <f t="shared" ca="1" si="86"/>
        <v>R61</v>
      </c>
      <c r="C615" s="897" t="str">
        <f t="shared" ca="1" si="87"/>
        <v>R62</v>
      </c>
      <c r="D615" s="897" t="s">
        <v>1367</v>
      </c>
      <c r="E615" s="897" t="s">
        <v>1535</v>
      </c>
      <c r="F615" s="1409" t="s">
        <v>1931</v>
      </c>
      <c r="G615" s="1409" t="str">
        <f>IF(T615&lt;&gt;"","G","")</f>
        <v/>
      </c>
      <c r="H615" s="1409" t="s">
        <v>1926</v>
      </c>
      <c r="I615" s="857" t="str">
        <f t="shared" si="70"/>
        <v/>
      </c>
      <c r="J615" s="1409" t="str">
        <f t="shared" si="85"/>
        <v/>
      </c>
      <c r="K615" s="1409" t="str">
        <f t="shared" si="71"/>
        <v/>
      </c>
      <c r="L615" s="897" t="s">
        <v>1506</v>
      </c>
      <c r="M615" s="1410">
        <v>598</v>
      </c>
      <c r="N615" s="1409"/>
      <c r="O615" s="1408"/>
      <c r="P615" s="1408"/>
      <c r="Q615" s="1408"/>
      <c r="R615" s="1409" t="s">
        <v>855</v>
      </c>
      <c r="S615" s="1408"/>
      <c r="T615" s="1409" t="str">
        <f t="shared" si="84"/>
        <v/>
      </c>
      <c r="U615" s="1408"/>
      <c r="V615" s="1408"/>
      <c r="W615" s="1408"/>
      <c r="X615" s="1408"/>
      <c r="Y615" s="1408"/>
      <c r="Z615" s="1408"/>
      <c r="AA615" s="1408"/>
    </row>
    <row r="616" spans="1:27" x14ac:dyDescent="0.25">
      <c r="A616" s="926" t="s">
        <v>1507</v>
      </c>
      <c r="B616" s="897" t="str">
        <f t="shared" ca="1" si="86"/>
        <v>T61</v>
      </c>
      <c r="C616" s="897" t="str">
        <f t="shared" ca="1" si="87"/>
        <v>T62</v>
      </c>
      <c r="D616" s="897" t="s">
        <v>1367</v>
      </c>
      <c r="E616" s="897" t="s">
        <v>1535</v>
      </c>
      <c r="F616" s="919" t="s">
        <v>1507</v>
      </c>
      <c r="G616" s="1409" t="str">
        <f>IF(T616&lt;&gt;"","AW","")</f>
        <v/>
      </c>
      <c r="H616" s="1409" t="s">
        <v>1926</v>
      </c>
      <c r="I616" s="857" t="str">
        <f t="shared" si="70"/>
        <v/>
      </c>
      <c r="J616" s="1409" t="str">
        <f t="shared" si="85"/>
        <v/>
      </c>
      <c r="K616" s="1409" t="str">
        <f t="shared" si="71"/>
        <v/>
      </c>
      <c r="L616" s="897" t="s">
        <v>1507</v>
      </c>
      <c r="M616" s="1410">
        <v>599</v>
      </c>
      <c r="N616" s="1409"/>
      <c r="O616" s="1408"/>
      <c r="P616" s="1408"/>
      <c r="Q616" s="1408"/>
      <c r="R616" s="1409" t="s">
        <v>855</v>
      </c>
      <c r="S616" s="1408"/>
      <c r="T616" s="1409" t="str">
        <f t="shared" si="84"/>
        <v/>
      </c>
      <c r="U616" s="1408"/>
      <c r="V616" s="1408"/>
      <c r="W616" s="1408"/>
      <c r="X616" s="1408"/>
      <c r="Y616" s="1408"/>
      <c r="Z616" s="1408"/>
      <c r="AA616" s="1408"/>
    </row>
    <row r="617" spans="1:27" x14ac:dyDescent="0.25">
      <c r="A617" s="926" t="s">
        <v>1402</v>
      </c>
      <c r="B617" s="897" t="str">
        <f ca="1">IFERROR(_xlfn.CONCAT("C",MATCH(A617,INDIRECT("'"&amp;E617&amp;"'!C"&amp;$O$608&amp;":C"&amp;$O$610),0)+$O$608-1),"")</f>
        <v>C65</v>
      </c>
      <c r="C617" s="897" t="str">
        <f ca="1">IFERROR(_xlfn.CONCAT("D",MATCH(A617,INDIRECT("'"&amp;E617&amp;"'!C"&amp;$O$608&amp;":C"&amp;$O$610),0)+$O$608-1),"")</f>
        <v>D65</v>
      </c>
      <c r="D617" s="897" t="s">
        <v>1367</v>
      </c>
      <c r="E617" s="897" t="s">
        <v>1535</v>
      </c>
      <c r="F617" s="1409" t="s">
        <v>1402</v>
      </c>
      <c r="G617" s="1409" t="str">
        <f>IF(T617&lt;&gt;"","C","")</f>
        <v/>
      </c>
      <c r="H617" s="1409" t="s">
        <v>1926</v>
      </c>
      <c r="I617" s="857" t="str">
        <f t="shared" si="70"/>
        <v/>
      </c>
      <c r="J617" s="1409"/>
      <c r="K617" s="1409" t="str">
        <f t="shared" si="71"/>
        <v/>
      </c>
      <c r="L617" s="897" t="s">
        <v>1402</v>
      </c>
      <c r="M617" s="1410">
        <v>600</v>
      </c>
      <c r="N617" s="1409"/>
      <c r="O617" s="1408"/>
      <c r="P617" s="1408"/>
      <c r="Q617" s="1408"/>
      <c r="R617" s="1409" t="s">
        <v>855</v>
      </c>
      <c r="S617" s="1408"/>
      <c r="T617" s="1409" t="str">
        <f t="shared" si="84"/>
        <v/>
      </c>
      <c r="U617" s="1408"/>
      <c r="V617" s="1408"/>
      <c r="W617" s="1408"/>
      <c r="X617" s="1408"/>
      <c r="Y617" s="1408"/>
      <c r="Z617" s="1408"/>
      <c r="AA617" s="1408"/>
    </row>
    <row r="618" spans="1:27" x14ac:dyDescent="0.25">
      <c r="A618" s="926" t="s">
        <v>1403</v>
      </c>
      <c r="B618" s="897" t="str">
        <f ca="1">IFERROR(_xlfn.CONCAT("C",MATCH(A618,INDIRECT("'"&amp;E618&amp;"'!C"&amp;$O$608&amp;":C"&amp;$O$610),0)+$O$608-1),"")</f>
        <v>C67</v>
      </c>
      <c r="C618" s="897" t="str">
        <f ca="1">IFERROR(_xlfn.CONCAT("D",MATCH(A618,INDIRECT("'"&amp;E618&amp;"'!C"&amp;$O$608&amp;":C"&amp;$O$610),0)+$O$608-1),"")</f>
        <v>D67</v>
      </c>
      <c r="D618" s="897" t="s">
        <v>1367</v>
      </c>
      <c r="E618" s="897" t="s">
        <v>1535</v>
      </c>
      <c r="F618" s="1409" t="s">
        <v>1403</v>
      </c>
      <c r="G618" s="1409" t="str">
        <f>IF(T618&lt;&gt;"","D","")</f>
        <v/>
      </c>
      <c r="H618" s="1409" t="s">
        <v>1926</v>
      </c>
      <c r="I618" s="857" t="str">
        <f t="shared" si="70"/>
        <v/>
      </c>
      <c r="J618" s="1409"/>
      <c r="K618" s="1409" t="str">
        <f t="shared" si="71"/>
        <v/>
      </c>
      <c r="L618" s="897" t="s">
        <v>1403</v>
      </c>
      <c r="M618" s="1410">
        <v>601</v>
      </c>
      <c r="N618" s="1409"/>
      <c r="O618" s="1408"/>
      <c r="P618" s="1408"/>
      <c r="Q618" s="1408"/>
      <c r="R618" s="1409" t="s">
        <v>855</v>
      </c>
      <c r="S618" s="1408"/>
      <c r="T618" s="1409" t="str">
        <f t="shared" si="84"/>
        <v/>
      </c>
      <c r="U618" s="1408"/>
      <c r="V618" s="1408"/>
      <c r="W618" s="1408"/>
      <c r="X618" s="1408"/>
      <c r="Y618" s="1408"/>
      <c r="Z618" s="1408"/>
      <c r="AA618" s="1408"/>
    </row>
    <row r="619" spans="1:27" x14ac:dyDescent="0.25">
      <c r="A619" s="926" t="s">
        <v>1514</v>
      </c>
      <c r="B619" s="897" t="str">
        <f ca="1">IFERROR(_xlfn.CONCAT("C",MATCH(A619,INDIRECT("'"&amp;E619&amp;"'!C"&amp;$O$608&amp;":C"&amp;$O$610),0)+$O$608-1),"")</f>
        <v>C71</v>
      </c>
      <c r="C619" s="897" t="str">
        <f ca="1">IFERROR(_xlfn.CONCAT("D",MATCH(A619,INDIRECT("'"&amp;E619&amp;"'!C"&amp;$O$608&amp;":C"&amp;$O$610),0)+$O$608-1),"")</f>
        <v>D71</v>
      </c>
      <c r="D619" s="897" t="s">
        <v>1367</v>
      </c>
      <c r="E619" s="897" t="s">
        <v>1535</v>
      </c>
      <c r="F619" s="1409" t="s">
        <v>1514</v>
      </c>
      <c r="G619" s="1409" t="str">
        <f>IF(T619&lt;&gt;"","AN","")</f>
        <v/>
      </c>
      <c r="H619" s="1409" t="s">
        <v>1926</v>
      </c>
      <c r="I619" s="857" t="str">
        <f t="shared" si="70"/>
        <v/>
      </c>
      <c r="J619" s="1409" t="str">
        <f t="shared" si="85"/>
        <v/>
      </c>
      <c r="K619" s="1409" t="str">
        <f t="shared" si="71"/>
        <v/>
      </c>
      <c r="L619" s="897" t="s">
        <v>1514</v>
      </c>
      <c r="M619" s="1410">
        <v>602</v>
      </c>
      <c r="N619" s="1409"/>
      <c r="O619" s="1408"/>
      <c r="P619" s="1409" t="str" cm="1">
        <f t="array" aca="1" ref="P619" ca="1">_xlfn.CONCAT("F",RIGHT(B619, LEN(B619) - MAX(IF(ISNUMBER(MID(B619, ROW(INDIRECT("1:"&amp;LEN(B619))), 1) *1)=FALSE, ROW(INDIRECT("1:"&amp;LEN(B619))), 0))))</f>
        <v>F71</v>
      </c>
      <c r="Q619" s="1409" t="str" cm="1">
        <f t="array" aca="1" ref="Q619" ca="1">_xlfn.CONCAT("E",RIGHT(C619, LEN(C619) - MAX(IF(ISNUMBER(MID(C619, ROW(INDIRECT("1:"&amp;LEN(C619))), 1) *1)=FALSE, ROW(INDIRECT("1:"&amp;LEN(C619))), 0))))</f>
        <v>E71</v>
      </c>
      <c r="R619" s="1409" t="s">
        <v>855</v>
      </c>
      <c r="S619" s="1408"/>
      <c r="T619" s="1409" t="str">
        <f t="shared" si="84"/>
        <v/>
      </c>
      <c r="U619" s="1408"/>
      <c r="V619" s="1408"/>
      <c r="W619" s="1408"/>
      <c r="X619" s="1408"/>
      <c r="Y619" s="1408"/>
      <c r="Z619" s="1408"/>
      <c r="AA619" s="1408"/>
    </row>
    <row r="620" spans="1:27" x14ac:dyDescent="0.25">
      <c r="A620" s="926" t="s">
        <v>1511</v>
      </c>
      <c r="B620" s="897" t="str">
        <f t="shared" ref="B620:B621" ca="1" si="88">_xlfn.CONCAT(IFERROR(SUBSTITUTE(ADDRESS(1,MATCH(A620,INDIRECT("'"&amp;E620&amp;"'"&amp;"!A" &amp; $O$608 + 12 &amp; ":Z" &amp; $O$608+12),0),4),1,""),""),$O$608+12)</f>
        <v>H71</v>
      </c>
      <c r="C620" s="897" t="str">
        <f t="shared" ref="C620:C621" ca="1" si="89">_xlfn.CONCAT(IFERROR(SUBSTITUTE(ADDRESS(1,MATCH(A620,INDIRECT("'"&amp;E620&amp;"'"&amp;"!A" &amp; $O$608 + 12 &amp; ":Z" &amp; $O$608+12),0),4),1,""),""),$O$608+13)</f>
        <v>H72</v>
      </c>
      <c r="D620" s="897" t="s">
        <v>1367</v>
      </c>
      <c r="E620" s="897" t="s">
        <v>1535</v>
      </c>
      <c r="F620" s="1409" t="s">
        <v>1511</v>
      </c>
      <c r="G620" s="1409" t="str">
        <f>IF(T620&lt;&gt;"","AL","")</f>
        <v/>
      </c>
      <c r="H620" s="1409" t="s">
        <v>1926</v>
      </c>
      <c r="I620" s="857" t="str">
        <f t="shared" si="70"/>
        <v/>
      </c>
      <c r="J620" s="1409" t="str">
        <f t="shared" si="85"/>
        <v/>
      </c>
      <c r="K620" s="1409" t="str">
        <f t="shared" si="71"/>
        <v/>
      </c>
      <c r="L620" s="897" t="s">
        <v>1511</v>
      </c>
      <c r="M620" s="1410">
        <v>603</v>
      </c>
      <c r="N620" s="1409"/>
      <c r="O620" s="1408"/>
      <c r="P620" s="1408"/>
      <c r="Q620" s="1408"/>
      <c r="R620" s="1409" t="s">
        <v>855</v>
      </c>
      <c r="S620" s="1408"/>
      <c r="T620" s="1409" t="str">
        <f t="shared" si="84"/>
        <v/>
      </c>
      <c r="U620" s="1408"/>
      <c r="V620" s="1408"/>
      <c r="W620" s="1408"/>
      <c r="X620" s="1408"/>
      <c r="Y620" s="1408"/>
      <c r="Z620" s="1408"/>
      <c r="AA620" s="1408"/>
    </row>
    <row r="621" spans="1:27" x14ac:dyDescent="0.25">
      <c r="A621" s="926" t="s">
        <v>1525</v>
      </c>
      <c r="B621" s="897" t="str">
        <f t="shared" ca="1" si="88"/>
        <v>J71</v>
      </c>
      <c r="C621" s="897" t="str">
        <f t="shared" ca="1" si="89"/>
        <v>J72</v>
      </c>
      <c r="D621" s="897" t="s">
        <v>1367</v>
      </c>
      <c r="E621" s="897" t="s">
        <v>1535</v>
      </c>
      <c r="F621" s="1409" t="s">
        <v>1932</v>
      </c>
      <c r="G621" s="1409" t="str">
        <f>IF(T621&lt;&gt;"","L","")</f>
        <v/>
      </c>
      <c r="H621" s="1409" t="s">
        <v>1926</v>
      </c>
      <c r="I621" s="857" t="str">
        <f t="shared" si="70"/>
        <v/>
      </c>
      <c r="J621" s="1409" t="str">
        <f t="shared" si="85"/>
        <v/>
      </c>
      <c r="K621" s="1409" t="str">
        <f t="shared" si="71"/>
        <v/>
      </c>
      <c r="L621" s="897" t="s">
        <v>1525</v>
      </c>
      <c r="M621" s="1410">
        <v>604</v>
      </c>
      <c r="N621" s="1409"/>
      <c r="O621" s="1408"/>
      <c r="P621" s="1408"/>
      <c r="Q621" s="1408"/>
      <c r="R621" s="1409" t="s">
        <v>855</v>
      </c>
      <c r="S621" s="1408"/>
      <c r="T621" s="1409" t="str">
        <f>IF(Q$608="Yes",5,"")</f>
        <v/>
      </c>
      <c r="U621" s="1408"/>
      <c r="V621" s="1408"/>
      <c r="W621" s="1408"/>
      <c r="X621" s="1408"/>
      <c r="Y621" s="1408"/>
      <c r="Z621" s="1408"/>
      <c r="AA621" s="1408"/>
    </row>
    <row r="622" spans="1:27" x14ac:dyDescent="0.25">
      <c r="A622" s="926" t="s">
        <v>1404</v>
      </c>
      <c r="B622" s="897" t="str">
        <f ca="1">_xlfn.IFNA(_xlfn.CONCAT(SUBSTITUTE(ADDRESS(1,MATCH(A622,INDIRECT("'"&amp;E622&amp;"'"&amp;"!A" &amp; $O$608+5 &amp; ":Z" &amp; $O$608+5),0),4),1,""),$O$608+6),"")</f>
        <v>H65</v>
      </c>
      <c r="C622" s="897" t="str">
        <f ca="1">_xlfn.IFNA(SUBSTITUTE(ADDRESS(1,MATCH(A622,INDIRECT("'"&amp;E622&amp;"'"&amp;"!A" &amp; O$608+5 &amp; ":Z" &amp; O$608+5),0),4),1,""),"")</f>
        <v>H</v>
      </c>
      <c r="D622" s="897" t="s">
        <v>1374</v>
      </c>
      <c r="E622" s="897" t="s">
        <v>1535</v>
      </c>
      <c r="F622" s="919"/>
      <c r="G622" s="1409"/>
      <c r="H622" s="1409"/>
      <c r="I622" s="857" t="str">
        <f t="shared" si="70"/>
        <v/>
      </c>
      <c r="J622" s="1409" t="str">
        <f t="shared" si="85"/>
        <v/>
      </c>
      <c r="K622" s="1409" t="str">
        <f t="shared" si="71"/>
        <v/>
      </c>
      <c r="L622" s="897" t="s">
        <v>1404</v>
      </c>
      <c r="M622" s="1410">
        <v>605</v>
      </c>
      <c r="N622" s="1409"/>
      <c r="O622" s="1408"/>
      <c r="P622" s="1408"/>
      <c r="Q622" s="1408"/>
      <c r="R622" s="1409" t="s">
        <v>855</v>
      </c>
      <c r="S622" s="1408"/>
      <c r="T622" s="1409" t="str">
        <f t="shared" ref="T622:T637" si="90">IF(Q$608="Yes",5,"")</f>
        <v/>
      </c>
      <c r="U622" s="1408"/>
      <c r="V622" s="1408"/>
      <c r="W622" s="1408"/>
      <c r="X622" s="1408"/>
      <c r="Y622" s="1408"/>
      <c r="Z622" s="1408"/>
      <c r="AA622" s="1408"/>
    </row>
    <row r="623" spans="1:27" x14ac:dyDescent="0.25">
      <c r="A623" s="926" t="s">
        <v>1405</v>
      </c>
      <c r="B623" s="897" t="str">
        <f ca="1">_xlfn.IFNA(_xlfn.CONCAT(SUBSTITUTE(ADDRESS(1,MATCH(A623,INDIRECT("'"&amp;E623&amp;"'"&amp;"!A" &amp; $O$608+5 &amp; ":Z" &amp; $O$608+5),0),4),1,""),$O$608+6),"")</f>
        <v>J65</v>
      </c>
      <c r="C623" s="897" t="str">
        <f t="shared" ref="C623:C636" ca="1" si="91">_xlfn.IFNA(SUBSTITUTE(ADDRESS(1,MATCH(A623,INDIRECT("'"&amp;E623&amp;"'"&amp;"!A" &amp; O$608+5 &amp; ":Z" &amp; O$608+5),0),4),1,""),"")</f>
        <v>J</v>
      </c>
      <c r="D623" s="897" t="s">
        <v>1374</v>
      </c>
      <c r="E623" s="897" t="s">
        <v>1535</v>
      </c>
      <c r="F623" s="919"/>
      <c r="G623" s="1409"/>
      <c r="H623" s="1409"/>
      <c r="I623" s="857" t="str">
        <f t="shared" si="70"/>
        <v/>
      </c>
      <c r="J623" s="1409"/>
      <c r="K623" s="1409" t="str">
        <f t="shared" si="71"/>
        <v/>
      </c>
      <c r="L623" s="897" t="s">
        <v>1405</v>
      </c>
      <c r="M623" s="1410">
        <v>606</v>
      </c>
      <c r="N623" s="1409"/>
      <c r="O623" s="1408"/>
      <c r="P623" s="1408"/>
      <c r="Q623" s="1408"/>
      <c r="R623" s="1409" t="s">
        <v>855</v>
      </c>
      <c r="S623" s="1408"/>
      <c r="T623" s="1409" t="str">
        <f t="shared" si="90"/>
        <v/>
      </c>
      <c r="U623" s="1408"/>
      <c r="V623" s="1408"/>
      <c r="W623" s="1408"/>
      <c r="X623" s="1408"/>
      <c r="Y623" s="1408"/>
      <c r="Z623" s="1408"/>
      <c r="AA623" s="1408"/>
    </row>
    <row r="624" spans="1:27" x14ac:dyDescent="0.25">
      <c r="A624" s="926" t="s">
        <v>1406</v>
      </c>
      <c r="B624" s="897" t="str">
        <f ca="1">_xlfn.IFNA(_xlfn.CONCAT(SUBSTITUTE(ADDRESS(1,MATCH(A624,INDIRECT("'"&amp;E624&amp;"'"&amp;"!A" &amp; $O$608+5 &amp; ":Z" &amp; $O$608+5),0),4),1,""),$O$608+6),"")</f>
        <v>L65</v>
      </c>
      <c r="C624" s="897" t="str">
        <f t="shared" ca="1" si="91"/>
        <v>L</v>
      </c>
      <c r="D624" s="897" t="s">
        <v>1374</v>
      </c>
      <c r="E624" s="897" t="s">
        <v>1535</v>
      </c>
      <c r="F624" s="1424"/>
      <c r="G624" s="1409"/>
      <c r="H624" s="1409"/>
      <c r="I624" s="857" t="str">
        <f t="shared" si="70"/>
        <v/>
      </c>
      <c r="J624" s="1409"/>
      <c r="K624" s="1409" t="str">
        <f t="shared" si="71"/>
        <v/>
      </c>
      <c r="L624" s="897" t="s">
        <v>1406</v>
      </c>
      <c r="M624" s="1410">
        <v>607</v>
      </c>
      <c r="N624" s="1409"/>
      <c r="O624" s="1408"/>
      <c r="P624" s="1408"/>
      <c r="Q624" s="1408"/>
      <c r="R624" s="1409" t="s">
        <v>855</v>
      </c>
      <c r="S624" s="1408"/>
      <c r="T624" s="1409" t="str">
        <f t="shared" si="90"/>
        <v/>
      </c>
      <c r="U624" s="1408"/>
      <c r="V624" s="1408"/>
      <c r="W624" s="1408"/>
      <c r="X624" s="1408"/>
      <c r="Y624" s="1408"/>
      <c r="Z624" s="1408"/>
      <c r="AA624" s="1408"/>
    </row>
    <row r="625" spans="1:27" x14ac:dyDescent="0.25">
      <c r="A625" s="926" t="s">
        <v>1404</v>
      </c>
      <c r="B625" s="897" t="str">
        <f ca="1">_xlfn.IFNA(_xlfn.CONCAT(SUBSTITUTE(ADDRESS(1,MATCH(A625,INDIRECT("'"&amp;E625&amp;"'"&amp;"!A" &amp; $O$608+5 &amp; ":Z" &amp; $O$608+5),0),4),1,""),$O$608+7),"")</f>
        <v>H66</v>
      </c>
      <c r="C625" s="897" t="str">
        <f t="shared" ca="1" si="91"/>
        <v>H</v>
      </c>
      <c r="D625" s="897" t="s">
        <v>1374</v>
      </c>
      <c r="E625" s="897" t="s">
        <v>1535</v>
      </c>
      <c r="F625" s="1409"/>
      <c r="G625" s="1409"/>
      <c r="H625" s="1409"/>
      <c r="I625" s="857" t="str">
        <f t="shared" si="70"/>
        <v/>
      </c>
      <c r="J625" s="1409" t="str">
        <f t="shared" si="85"/>
        <v/>
      </c>
      <c r="K625" s="1409" t="str">
        <f t="shared" si="71"/>
        <v/>
      </c>
      <c r="L625" s="897" t="s">
        <v>1404</v>
      </c>
      <c r="M625" s="1410">
        <v>608</v>
      </c>
      <c r="N625" s="1409"/>
      <c r="O625" s="1408"/>
      <c r="P625" s="1408"/>
      <c r="Q625" s="1408"/>
      <c r="R625" s="1409" t="s">
        <v>855</v>
      </c>
      <c r="S625" s="1408"/>
      <c r="T625" s="1409" t="str">
        <f t="shared" si="90"/>
        <v/>
      </c>
      <c r="U625" s="1408"/>
      <c r="V625" s="1408"/>
      <c r="W625" s="1408"/>
      <c r="X625" s="1408"/>
      <c r="Y625" s="1408"/>
      <c r="Z625" s="1408"/>
      <c r="AA625" s="1408"/>
    </row>
    <row r="626" spans="1:27" x14ac:dyDescent="0.25">
      <c r="A626" s="926" t="s">
        <v>1405</v>
      </c>
      <c r="B626" s="897" t="str">
        <f t="shared" ref="B626:B627" ca="1" si="92">_xlfn.IFNA(_xlfn.CONCAT(SUBSTITUTE(ADDRESS(1,MATCH(A626,INDIRECT("'"&amp;E626&amp;"'"&amp;"!A" &amp; $O$608+5 &amp; ":Z" &amp; $O$608+5),0),4),1,""),$O$608+7),"")</f>
        <v>J66</v>
      </c>
      <c r="C626" s="897" t="str">
        <f t="shared" ca="1" si="91"/>
        <v>J</v>
      </c>
      <c r="D626" s="897" t="s">
        <v>1374</v>
      </c>
      <c r="E626" s="897" t="s">
        <v>1535</v>
      </c>
      <c r="F626" s="1409"/>
      <c r="G626" s="1409"/>
      <c r="H626" s="1409"/>
      <c r="I626" s="857" t="str">
        <f t="shared" si="70"/>
        <v/>
      </c>
      <c r="J626" s="1409"/>
      <c r="K626" s="1409" t="str">
        <f t="shared" si="71"/>
        <v/>
      </c>
      <c r="L626" s="897" t="s">
        <v>1405</v>
      </c>
      <c r="M626" s="1410">
        <v>609</v>
      </c>
      <c r="N626" s="1409"/>
      <c r="O626" s="1408"/>
      <c r="P626" s="1408"/>
      <c r="Q626" s="1408"/>
      <c r="R626" s="1409" t="s">
        <v>855</v>
      </c>
      <c r="S626" s="1408"/>
      <c r="T626" s="1409" t="str">
        <f t="shared" si="90"/>
        <v/>
      </c>
      <c r="U626" s="1408"/>
      <c r="V626" s="1408"/>
      <c r="W626" s="1408"/>
      <c r="X626" s="1408"/>
      <c r="Y626" s="1408"/>
      <c r="Z626" s="1408"/>
      <c r="AA626" s="1408"/>
    </row>
    <row r="627" spans="1:27" x14ac:dyDescent="0.25">
      <c r="A627" s="926" t="s">
        <v>1406</v>
      </c>
      <c r="B627" s="897" t="str">
        <f t="shared" ca="1" si="92"/>
        <v>L66</v>
      </c>
      <c r="C627" s="897" t="str">
        <f t="shared" ca="1" si="91"/>
        <v>L</v>
      </c>
      <c r="D627" s="897" t="s">
        <v>1374</v>
      </c>
      <c r="E627" s="897" t="s">
        <v>1535</v>
      </c>
      <c r="F627" s="1409"/>
      <c r="G627" s="1409"/>
      <c r="H627" s="1409"/>
      <c r="I627" s="857" t="str">
        <f t="shared" si="70"/>
        <v/>
      </c>
      <c r="J627" s="1409"/>
      <c r="K627" s="1409" t="str">
        <f t="shared" si="71"/>
        <v/>
      </c>
      <c r="L627" s="897" t="s">
        <v>1406</v>
      </c>
      <c r="M627" s="1410">
        <v>610</v>
      </c>
      <c r="N627" s="1409"/>
      <c r="O627" s="1408"/>
      <c r="P627" s="1408"/>
      <c r="Q627" s="1408"/>
      <c r="R627" s="1409" t="s">
        <v>855</v>
      </c>
      <c r="S627" s="1408"/>
      <c r="T627" s="1409" t="str">
        <f t="shared" si="90"/>
        <v/>
      </c>
      <c r="U627" s="1408"/>
      <c r="V627" s="1408"/>
      <c r="W627" s="1408"/>
      <c r="X627" s="1408"/>
      <c r="Y627" s="1408"/>
      <c r="Z627" s="1408"/>
      <c r="AA627" s="1408"/>
    </row>
    <row r="628" spans="1:27" x14ac:dyDescent="0.25">
      <c r="A628" s="926" t="s">
        <v>1404</v>
      </c>
      <c r="B628" s="897" t="str">
        <f ca="1">_xlfn.IFNA(_xlfn.CONCAT(SUBSTITUTE(ADDRESS(1,MATCH(A628,INDIRECT("'"&amp;E628&amp;"'"&amp;"!A" &amp; $O$608+5 &amp; ":Z" &amp; $O$608+5),0),4),1,""),$O$608+8),"")</f>
        <v>H67</v>
      </c>
      <c r="C628" s="897" t="str">
        <f t="shared" ca="1" si="91"/>
        <v>H</v>
      </c>
      <c r="D628" s="897" t="s">
        <v>1374</v>
      </c>
      <c r="E628" s="897" t="s">
        <v>1535</v>
      </c>
      <c r="F628" s="1409"/>
      <c r="G628" s="1409"/>
      <c r="H628" s="1409"/>
      <c r="I628" s="857" t="str">
        <f t="shared" si="70"/>
        <v/>
      </c>
      <c r="J628" s="1409" t="str">
        <f t="shared" si="85"/>
        <v/>
      </c>
      <c r="K628" s="1409" t="str">
        <f t="shared" si="71"/>
        <v/>
      </c>
      <c r="L628" s="897" t="s">
        <v>1404</v>
      </c>
      <c r="M628" s="1410">
        <v>611</v>
      </c>
      <c r="N628" s="1409"/>
      <c r="O628" s="1408"/>
      <c r="P628" s="1408"/>
      <c r="Q628" s="1408"/>
      <c r="R628" s="1409" t="s">
        <v>855</v>
      </c>
      <c r="S628" s="1408"/>
      <c r="T628" s="1409" t="str">
        <f t="shared" si="90"/>
        <v/>
      </c>
      <c r="U628" s="1408"/>
      <c r="V628" s="1408"/>
      <c r="W628" s="1408"/>
      <c r="X628" s="1408"/>
      <c r="Y628" s="1408"/>
      <c r="Z628" s="1408"/>
      <c r="AA628" s="1408"/>
    </row>
    <row r="629" spans="1:27" x14ac:dyDescent="0.25">
      <c r="A629" s="926" t="s">
        <v>1405</v>
      </c>
      <c r="B629" s="897" t="str">
        <f t="shared" ref="B629:B630" ca="1" si="93">_xlfn.IFNA(_xlfn.CONCAT(SUBSTITUTE(ADDRESS(1,MATCH(A629,INDIRECT("'"&amp;E629&amp;"'"&amp;"!A" &amp; $O$608+5 &amp; ":Z" &amp; $O$608+5),0),4),1,""),$O$608+8),"")</f>
        <v>J67</v>
      </c>
      <c r="C629" s="897" t="str">
        <f t="shared" ca="1" si="91"/>
        <v>J</v>
      </c>
      <c r="D629" s="897" t="s">
        <v>1374</v>
      </c>
      <c r="E629" s="897" t="s">
        <v>1535</v>
      </c>
      <c r="F629" s="1409"/>
      <c r="G629" s="1409"/>
      <c r="H629" s="1409"/>
      <c r="I629" s="857" t="str">
        <f t="shared" si="70"/>
        <v/>
      </c>
      <c r="J629" s="1409"/>
      <c r="K629" s="1409" t="str">
        <f t="shared" si="71"/>
        <v/>
      </c>
      <c r="L629" s="897" t="s">
        <v>1405</v>
      </c>
      <c r="M629" s="1410">
        <v>612</v>
      </c>
      <c r="N629" s="1409"/>
      <c r="O629" s="1408"/>
      <c r="P629" s="1408"/>
      <c r="Q629" s="1408"/>
      <c r="R629" s="1409" t="s">
        <v>855</v>
      </c>
      <c r="S629" s="1408"/>
      <c r="T629" s="1409" t="str">
        <f t="shared" si="90"/>
        <v/>
      </c>
      <c r="U629" s="1408"/>
      <c r="V629" s="1408"/>
      <c r="W629" s="1408"/>
      <c r="X629" s="1408"/>
      <c r="Y629" s="1408"/>
      <c r="Z629" s="1408"/>
      <c r="AA629" s="1408"/>
    </row>
    <row r="630" spans="1:27" x14ac:dyDescent="0.25">
      <c r="A630" s="926" t="s">
        <v>1406</v>
      </c>
      <c r="B630" s="897" t="str">
        <f t="shared" ca="1" si="93"/>
        <v>L67</v>
      </c>
      <c r="C630" s="897" t="str">
        <f t="shared" ca="1" si="91"/>
        <v>L</v>
      </c>
      <c r="D630" s="897" t="s">
        <v>1374</v>
      </c>
      <c r="E630" s="897" t="s">
        <v>1535</v>
      </c>
      <c r="F630" s="1409"/>
      <c r="G630" s="1409"/>
      <c r="H630" s="1409"/>
      <c r="I630" s="857" t="str">
        <f t="shared" si="70"/>
        <v/>
      </c>
      <c r="J630" s="1409"/>
      <c r="K630" s="1409" t="str">
        <f t="shared" si="71"/>
        <v/>
      </c>
      <c r="L630" s="897" t="s">
        <v>1406</v>
      </c>
      <c r="M630" s="1410">
        <v>613</v>
      </c>
      <c r="N630" s="1409"/>
      <c r="O630" s="1408"/>
      <c r="P630" s="1408"/>
      <c r="Q630" s="1408"/>
      <c r="R630" s="1409" t="s">
        <v>855</v>
      </c>
      <c r="S630" s="1408"/>
      <c r="T630" s="1409" t="str">
        <f t="shared" si="90"/>
        <v/>
      </c>
      <c r="U630" s="1408"/>
      <c r="V630" s="1408"/>
      <c r="W630" s="1408"/>
      <c r="X630" s="1408"/>
      <c r="Y630" s="1408"/>
      <c r="Z630" s="1408"/>
      <c r="AA630" s="1408"/>
    </row>
    <row r="631" spans="1:27" x14ac:dyDescent="0.25">
      <c r="A631" s="926" t="s">
        <v>1404</v>
      </c>
      <c r="B631" s="897" t="str">
        <f ca="1">_xlfn.IFNA(_xlfn.CONCAT(SUBSTITUTE(ADDRESS(1,MATCH(A631,INDIRECT("'"&amp;E631&amp;"'"&amp;"!A" &amp; $O$608+5 &amp; ":Z" &amp; $O$608+5),0),4),1,""),$O$608+9),"")</f>
        <v>H68</v>
      </c>
      <c r="C631" s="897" t="str">
        <f t="shared" ca="1" si="91"/>
        <v>H</v>
      </c>
      <c r="D631" s="897" t="s">
        <v>1374</v>
      </c>
      <c r="E631" s="897" t="s">
        <v>1535</v>
      </c>
      <c r="F631" s="1409"/>
      <c r="G631" s="1409"/>
      <c r="H631" s="1409"/>
      <c r="I631" s="857" t="str">
        <f t="shared" si="70"/>
        <v/>
      </c>
      <c r="J631" s="1409" t="str">
        <f t="shared" si="85"/>
        <v/>
      </c>
      <c r="K631" s="1409" t="str">
        <f t="shared" si="71"/>
        <v/>
      </c>
      <c r="L631" s="897" t="s">
        <v>1404</v>
      </c>
      <c r="M631" s="1410">
        <v>614</v>
      </c>
      <c r="N631" s="1409"/>
      <c r="O631" s="1408"/>
      <c r="P631" s="1408"/>
      <c r="Q631" s="1408"/>
      <c r="R631" s="1409" t="s">
        <v>855</v>
      </c>
      <c r="S631" s="1408"/>
      <c r="T631" s="1409" t="str">
        <f t="shared" si="90"/>
        <v/>
      </c>
      <c r="U631" s="1408"/>
      <c r="V631" s="1408"/>
      <c r="W631" s="1408"/>
      <c r="X631" s="1408"/>
      <c r="Y631" s="1408"/>
      <c r="Z631" s="1408"/>
      <c r="AA631" s="1408"/>
    </row>
    <row r="632" spans="1:27" x14ac:dyDescent="0.25">
      <c r="A632" s="926" t="s">
        <v>1405</v>
      </c>
      <c r="B632" s="897" t="str">
        <f t="shared" ref="B632:B633" ca="1" si="94">_xlfn.IFNA(_xlfn.CONCAT(SUBSTITUTE(ADDRESS(1,MATCH(A632,INDIRECT("'"&amp;E632&amp;"'"&amp;"!A" &amp; $O$608+5 &amp; ":Z" &amp; $O$608+5),0),4),1,""),$O$608+9),"")</f>
        <v>J68</v>
      </c>
      <c r="C632" s="897" t="str">
        <f t="shared" ca="1" si="91"/>
        <v>J</v>
      </c>
      <c r="D632" s="897" t="s">
        <v>1374</v>
      </c>
      <c r="E632" s="897" t="s">
        <v>1535</v>
      </c>
      <c r="F632" s="1409"/>
      <c r="G632" s="1409"/>
      <c r="H632" s="1409"/>
      <c r="I632" s="857" t="str">
        <f t="shared" si="70"/>
        <v/>
      </c>
      <c r="J632" s="1409"/>
      <c r="K632" s="1409" t="str">
        <f t="shared" si="71"/>
        <v/>
      </c>
      <c r="L632" s="897" t="s">
        <v>1405</v>
      </c>
      <c r="M632" s="1410">
        <v>615</v>
      </c>
      <c r="N632" s="1409"/>
      <c r="O632" s="1408"/>
      <c r="P632" s="1408"/>
      <c r="Q632" s="1408"/>
      <c r="R632" s="1409" t="s">
        <v>855</v>
      </c>
      <c r="S632" s="1408"/>
      <c r="T632" s="1409" t="str">
        <f t="shared" si="90"/>
        <v/>
      </c>
      <c r="U632" s="1408"/>
      <c r="V632" s="1408"/>
      <c r="W632" s="1408"/>
      <c r="X632" s="1408"/>
      <c r="Y632" s="1408"/>
      <c r="Z632" s="1408"/>
      <c r="AA632" s="1408"/>
    </row>
    <row r="633" spans="1:27" x14ac:dyDescent="0.25">
      <c r="A633" s="926" t="s">
        <v>1406</v>
      </c>
      <c r="B633" s="897" t="str">
        <f t="shared" ca="1" si="94"/>
        <v>L68</v>
      </c>
      <c r="C633" s="897" t="str">
        <f t="shared" ca="1" si="91"/>
        <v>L</v>
      </c>
      <c r="D633" s="897" t="s">
        <v>1374</v>
      </c>
      <c r="E633" s="897" t="s">
        <v>1535</v>
      </c>
      <c r="F633" s="1409"/>
      <c r="G633" s="1409"/>
      <c r="H633" s="1409"/>
      <c r="I633" s="857" t="str">
        <f t="shared" si="70"/>
        <v/>
      </c>
      <c r="J633" s="1409"/>
      <c r="K633" s="1409" t="str">
        <f t="shared" si="71"/>
        <v/>
      </c>
      <c r="L633" s="897" t="s">
        <v>1406</v>
      </c>
      <c r="M633" s="1410">
        <v>616</v>
      </c>
      <c r="N633" s="1409"/>
      <c r="O633" s="1408"/>
      <c r="P633" s="1408"/>
      <c r="Q633" s="1408"/>
      <c r="R633" s="1409" t="s">
        <v>855</v>
      </c>
      <c r="S633" s="1408"/>
      <c r="T633" s="1409" t="str">
        <f t="shared" si="90"/>
        <v/>
      </c>
      <c r="U633" s="1408"/>
      <c r="V633" s="1408"/>
      <c r="W633" s="1408"/>
      <c r="X633" s="1408"/>
      <c r="Y633" s="1408"/>
      <c r="Z633" s="1408"/>
      <c r="AA633" s="1408"/>
    </row>
    <row r="634" spans="1:27" x14ac:dyDescent="0.25">
      <c r="A634" s="926" t="s">
        <v>1404</v>
      </c>
      <c r="B634" s="897" t="str">
        <f ca="1">_xlfn.IFNA(_xlfn.CONCAT(SUBSTITUTE(ADDRESS(1,MATCH(A634,INDIRECT("'"&amp;E634&amp;"'"&amp;"!A" &amp; $O$608+5 &amp; ":Z" &amp; $O$608+5),0),4),1,""),$O$608+10),"")</f>
        <v>H69</v>
      </c>
      <c r="C634" s="897" t="str">
        <f t="shared" ca="1" si="91"/>
        <v>H</v>
      </c>
      <c r="D634" s="897" t="s">
        <v>1374</v>
      </c>
      <c r="E634" s="897" t="s">
        <v>1535</v>
      </c>
      <c r="F634" s="1409"/>
      <c r="G634" s="1409"/>
      <c r="H634" s="1409"/>
      <c r="I634" s="857" t="str">
        <f t="shared" si="70"/>
        <v/>
      </c>
      <c r="J634" s="1409" t="str">
        <f t="shared" si="85"/>
        <v/>
      </c>
      <c r="K634" s="1409" t="str">
        <f t="shared" si="71"/>
        <v/>
      </c>
      <c r="L634" s="897" t="s">
        <v>1404</v>
      </c>
      <c r="M634" s="1410">
        <v>617</v>
      </c>
      <c r="N634" s="1409"/>
      <c r="O634" s="1408"/>
      <c r="P634" s="1408"/>
      <c r="Q634" s="1408"/>
      <c r="R634" s="1409" t="s">
        <v>855</v>
      </c>
      <c r="S634" s="1408"/>
      <c r="T634" s="1409" t="str">
        <f t="shared" si="90"/>
        <v/>
      </c>
      <c r="U634" s="1408"/>
      <c r="V634" s="1408"/>
      <c r="W634" s="1408"/>
      <c r="X634" s="1408"/>
      <c r="Y634" s="1408"/>
      <c r="Z634" s="1408"/>
      <c r="AA634" s="1408"/>
    </row>
    <row r="635" spans="1:27" x14ac:dyDescent="0.25">
      <c r="A635" s="926" t="s">
        <v>1405</v>
      </c>
      <c r="B635" s="897" t="str">
        <f t="shared" ref="B635:B636" ca="1" si="95">_xlfn.IFNA(_xlfn.CONCAT(SUBSTITUTE(ADDRESS(1,MATCH(A635,INDIRECT("'"&amp;E635&amp;"'"&amp;"!A" &amp; $O$608+5 &amp; ":Z" &amp; $O$608+5),0),4),1,""),$O$608+10),"")</f>
        <v>J69</v>
      </c>
      <c r="C635" s="897" t="str">
        <f t="shared" ca="1" si="91"/>
        <v>J</v>
      </c>
      <c r="D635" s="897" t="s">
        <v>1374</v>
      </c>
      <c r="E635" s="897" t="s">
        <v>1535</v>
      </c>
      <c r="F635" s="1409"/>
      <c r="G635" s="1409"/>
      <c r="H635" s="1409"/>
      <c r="I635" s="857" t="str">
        <f t="shared" si="70"/>
        <v/>
      </c>
      <c r="J635" s="1409"/>
      <c r="K635" s="1409" t="str">
        <f t="shared" si="71"/>
        <v/>
      </c>
      <c r="L635" s="897" t="s">
        <v>1405</v>
      </c>
      <c r="M635" s="1410">
        <v>618</v>
      </c>
      <c r="N635" s="1409"/>
      <c r="O635" s="1408"/>
      <c r="P635" s="1408"/>
      <c r="Q635" s="1408"/>
      <c r="R635" s="1409" t="s">
        <v>855</v>
      </c>
      <c r="S635" s="1408"/>
      <c r="T635" s="1409" t="str">
        <f t="shared" si="90"/>
        <v/>
      </c>
      <c r="U635" s="1408"/>
      <c r="V635" s="1408"/>
      <c r="W635" s="1408"/>
      <c r="X635" s="1408"/>
      <c r="Y635" s="1408"/>
      <c r="Z635" s="1408"/>
      <c r="AA635" s="1408"/>
    </row>
    <row r="636" spans="1:27" x14ac:dyDescent="0.25">
      <c r="A636" s="926" t="s">
        <v>1406</v>
      </c>
      <c r="B636" s="897" t="str">
        <f t="shared" ca="1" si="95"/>
        <v>L69</v>
      </c>
      <c r="C636" s="897" t="str">
        <f t="shared" ca="1" si="91"/>
        <v>L</v>
      </c>
      <c r="D636" s="897" t="s">
        <v>1374</v>
      </c>
      <c r="E636" s="897" t="s">
        <v>1535</v>
      </c>
      <c r="F636" s="1409"/>
      <c r="G636" s="1409"/>
      <c r="H636" s="1409"/>
      <c r="I636" s="857" t="str">
        <f t="shared" si="70"/>
        <v/>
      </c>
      <c r="J636" s="1409"/>
      <c r="K636" s="1409" t="str">
        <f t="shared" si="71"/>
        <v/>
      </c>
      <c r="L636" s="897" t="s">
        <v>1406</v>
      </c>
      <c r="M636" s="1410">
        <v>619</v>
      </c>
      <c r="N636" s="1409"/>
      <c r="O636" s="1408"/>
      <c r="P636" s="1408"/>
      <c r="Q636" s="1408"/>
      <c r="R636" s="1409" t="s">
        <v>855</v>
      </c>
      <c r="S636" s="1408"/>
      <c r="T636" s="1409" t="str">
        <f t="shared" si="90"/>
        <v/>
      </c>
      <c r="U636" s="1408"/>
      <c r="V636" s="1408"/>
      <c r="W636" s="1408"/>
      <c r="X636" s="1408"/>
      <c r="Y636" s="1408"/>
      <c r="Z636" s="1408"/>
      <c r="AA636" s="1408"/>
    </row>
    <row r="637" spans="1:27" x14ac:dyDescent="0.25">
      <c r="A637" s="926" t="s">
        <v>1527</v>
      </c>
      <c r="B637" s="897" t="str">
        <f t="shared" ref="B637" ca="1" si="96">_xlfn.CONCAT(IFERROR(SUBSTITUTE(ADDRESS(1,MATCH(A637,INDIRECT("'"&amp;E637&amp;"'"&amp;"!A" &amp; $O$608 + 12 &amp; ":Z" &amp; $O$608+12),0),4),1,""),""),$O$608+12)</f>
        <v>P71</v>
      </c>
      <c r="C637" s="897" t="str">
        <f t="shared" ref="C637" ca="1" si="97">_xlfn.CONCAT(IFERROR(SUBSTITUTE(ADDRESS(1,MATCH(A637,INDIRECT("'"&amp;E637&amp;"'"&amp;"!A" &amp; $O$608 + 12 &amp; ":Z" &amp; $O$608+12),0),4),1,""),""),$O$608+13)</f>
        <v>P72</v>
      </c>
      <c r="D637" s="897" t="s">
        <v>1367</v>
      </c>
      <c r="E637" s="897" t="s">
        <v>1535</v>
      </c>
      <c r="F637" s="1409" t="s">
        <v>1527</v>
      </c>
      <c r="G637" s="1409" t="str">
        <f>IF(T637&lt;&gt;"","P","")</f>
        <v/>
      </c>
      <c r="H637" s="1409" t="s">
        <v>1926</v>
      </c>
      <c r="I637" s="857" t="str">
        <f t="shared" si="70"/>
        <v/>
      </c>
      <c r="J637" s="1409" t="str">
        <f t="shared" si="85"/>
        <v/>
      </c>
      <c r="K637" s="1409" t="str">
        <f t="shared" si="71"/>
        <v/>
      </c>
      <c r="L637" s="897" t="s">
        <v>1527</v>
      </c>
      <c r="M637" s="1410">
        <v>620</v>
      </c>
      <c r="N637" s="1409"/>
      <c r="O637" s="1408"/>
      <c r="P637" s="1408"/>
      <c r="Q637" s="1408"/>
      <c r="R637" s="1425" t="s">
        <v>855</v>
      </c>
      <c r="S637" s="1408"/>
      <c r="T637" s="1409" t="str">
        <f t="shared" si="90"/>
        <v/>
      </c>
      <c r="U637" s="1408"/>
      <c r="V637" s="1408"/>
      <c r="W637" s="1408"/>
      <c r="X637" s="1408"/>
      <c r="Y637" s="1408"/>
      <c r="Z637" s="1408"/>
      <c r="AA637" s="1408"/>
    </row>
    <row r="638" spans="1:27" x14ac:dyDescent="0.25">
      <c r="A638" s="929" t="s">
        <v>1510</v>
      </c>
      <c r="B638" s="897" t="str">
        <f ca="1">IFERROR(_xlfn.CONCAT("C",MATCH(A638,INDIRECT("'"&amp;E638&amp;"'!C"&amp;$O$639&amp;":C"&amp;$O$641),0)+$O$639-1),"")</f>
        <v>C79</v>
      </c>
      <c r="C638" s="897" t="str">
        <f ca="1">IFERROR(_xlfn.CONCAT("D",MATCH(A638,INDIRECT("'"&amp;E638&amp;"'!C"&amp;$O$639&amp;":C"&amp;$O$641),0)+$O$639-1),"")</f>
        <v>D79</v>
      </c>
      <c r="D638" s="897" t="s">
        <v>1367</v>
      </c>
      <c r="E638" s="897" t="s">
        <v>1535</v>
      </c>
      <c r="F638" s="1409" t="s">
        <v>1510</v>
      </c>
      <c r="G638" s="1409" t="str">
        <f>IF(T638&lt;&gt;"","A","")</f>
        <v/>
      </c>
      <c r="H638" s="1409" t="s">
        <v>1926</v>
      </c>
      <c r="I638" s="857" t="str">
        <f t="shared" si="70"/>
        <v/>
      </c>
      <c r="J638" s="1409"/>
      <c r="K638" s="1409" t="str">
        <f t="shared" si="71"/>
        <v/>
      </c>
      <c r="L638" s="897" t="s">
        <v>1510</v>
      </c>
      <c r="M638" s="1410">
        <v>621</v>
      </c>
      <c r="N638" s="1409"/>
      <c r="O638" s="1408" t="s">
        <v>726</v>
      </c>
      <c r="P638" s="1408"/>
      <c r="Q638" s="1408"/>
      <c r="R638" s="1409" t="s">
        <v>855</v>
      </c>
      <c r="S638" s="1408"/>
      <c r="T638" s="1409" t="str">
        <f t="shared" ref="T638:T651" si="98">IF(Q$639="Yes",6,"")</f>
        <v/>
      </c>
      <c r="U638" s="1408"/>
      <c r="V638" s="1408"/>
      <c r="W638" s="1408"/>
      <c r="X638" s="1408"/>
      <c r="Y638" s="1408"/>
      <c r="Z638" s="1408"/>
      <c r="AA638" s="1408"/>
    </row>
    <row r="639" spans="1:27" x14ac:dyDescent="0.25">
      <c r="A639" s="929" t="s">
        <v>1724</v>
      </c>
      <c r="B639" s="897" t="str">
        <f ca="1">_xlfn.CONCAT(IFERROR(SUBSTITUTE(ADDRESS(1,MATCH(A639,INDIRECT("'"&amp;E639&amp;"'"&amp;"!A" &amp; $O$639 + 12 &amp; ":Z" &amp; $O$639 + 12),0),4),1,""),""),$O$639 + 12)</f>
        <v>T87</v>
      </c>
      <c r="C639" s="897" t="str">
        <f ca="1">_xlfn.CONCAT(IFERROR(SUBSTITUTE(ADDRESS(1,MATCH(A639,INDIRECT("'"&amp;E639&amp;"'"&amp;"!A" &amp; $O$639 + 12 &amp; ":Z" &amp; $O$639 + 12),0),4),1,""),""),$O$639 + 13)</f>
        <v>T88</v>
      </c>
      <c r="D639" s="897" t="s">
        <v>1367</v>
      </c>
      <c r="E639" s="897" t="s">
        <v>1535</v>
      </c>
      <c r="F639" s="1409"/>
      <c r="G639" s="1409"/>
      <c r="H639" s="1409"/>
      <c r="I639" s="857" t="str">
        <f t="shared" si="70"/>
        <v/>
      </c>
      <c r="J639" s="1409" t="str">
        <f t="shared" ref="J639:J668" si="99">IF(M639&lt;&gt;"",IF($Q$639="Yes",Q$1&amp;M639,""))</f>
        <v/>
      </c>
      <c r="K639" s="1409" t="str">
        <f t="shared" si="71"/>
        <v/>
      </c>
      <c r="L639" s="897" t="s">
        <v>1724</v>
      </c>
      <c r="M639" s="1410">
        <v>622</v>
      </c>
      <c r="N639" s="1409"/>
      <c r="O639" s="1408">
        <f>'Configurable Tab'!H8</f>
        <v>75</v>
      </c>
      <c r="P639" s="1408">
        <f>'Configurable Tab'!J8</f>
        <v>0</v>
      </c>
      <c r="Q639" s="1408" t="s">
        <v>649</v>
      </c>
      <c r="R639" s="1425" t="s">
        <v>855</v>
      </c>
      <c r="S639" s="1408"/>
      <c r="T639" s="1409" t="str">
        <f t="shared" si="98"/>
        <v/>
      </c>
      <c r="U639" s="1408"/>
      <c r="V639" s="1408"/>
      <c r="W639" s="1408"/>
      <c r="X639" s="1408"/>
      <c r="Y639" s="1408"/>
      <c r="Z639" s="1408"/>
      <c r="AA639" s="1408"/>
    </row>
    <row r="640" spans="1:27" x14ac:dyDescent="0.25">
      <c r="A640" s="929" t="s">
        <v>1400</v>
      </c>
      <c r="B640" s="897" t="str">
        <f ca="1">IFERROR(_xlfn.CONCAT("C",MATCH(A640,INDIRECT("'"&amp;E640&amp;"'!C"&amp;$O$639&amp;":C"&amp;$O$641),0)+$O$639-1),"")</f>
        <v>C77</v>
      </c>
      <c r="C640" s="897" t="str">
        <f ca="1">IFERROR(_xlfn.CONCAT("D",MATCH(A640,INDIRECT("'"&amp;E640&amp;"'!C"&amp;$O$639&amp;":C"&amp;$O$641),0)+$O$639-1),"")</f>
        <v>D77</v>
      </c>
      <c r="D640" s="897" t="s">
        <v>1367</v>
      </c>
      <c r="E640" s="897" t="s">
        <v>1535</v>
      </c>
      <c r="F640" s="1409" t="s">
        <v>1400</v>
      </c>
      <c r="G640" s="1409" t="str">
        <f>IF(T640&lt;&gt;"","B","")</f>
        <v/>
      </c>
      <c r="H640" s="1409" t="s">
        <v>1926</v>
      </c>
      <c r="I640" s="857" t="str">
        <f t="shared" si="70"/>
        <v/>
      </c>
      <c r="J640" s="1409"/>
      <c r="K640" s="1409" t="str">
        <f t="shared" si="71"/>
        <v/>
      </c>
      <c r="L640" s="897" t="s">
        <v>1400</v>
      </c>
      <c r="M640" s="1410">
        <v>623</v>
      </c>
      <c r="N640" s="1409"/>
      <c r="O640" s="1408" t="s">
        <v>727</v>
      </c>
      <c r="P640" s="1408"/>
      <c r="Q640" s="1408"/>
      <c r="R640" s="1409" t="s">
        <v>855</v>
      </c>
      <c r="S640" s="1408"/>
      <c r="T640" s="1409" t="str">
        <f t="shared" si="98"/>
        <v/>
      </c>
      <c r="U640" s="1408"/>
      <c r="V640" s="1408"/>
      <c r="W640" s="1408"/>
      <c r="X640" s="1408"/>
      <c r="Y640" s="1408"/>
      <c r="Z640" s="1408"/>
      <c r="AA640" s="1408"/>
    </row>
    <row r="641" spans="1:27" x14ac:dyDescent="0.25">
      <c r="A641" s="929" t="s">
        <v>1397</v>
      </c>
      <c r="B641" s="897" t="str">
        <f t="shared" ref="B641:B647" ca="1" si="100">_xlfn.CONCAT(IFERROR(SUBSTITUTE(ADDRESS(1,MATCH(A641,INDIRECT("'"&amp;E641&amp;"'"&amp;"!A" &amp; $O$639 + 2 &amp; ":Z" &amp; $O$639 + 2),0),4),1,""),""),$O$639 + 2)</f>
        <v>H77</v>
      </c>
      <c r="C641" s="897" t="str">
        <f t="shared" ref="C641:C647" ca="1" si="101">_xlfn.CONCAT(IFERROR(SUBSTITUTE(ADDRESS(1,MATCH(A641,INDIRECT("'"&amp;E641&amp;"'"&amp;"!A" &amp; $O$639 + 2 &amp; ":Z" &amp; $O$639 + 2),0),4),1,""),""),$O$639 + 3)</f>
        <v>H78</v>
      </c>
      <c r="D641" s="897" t="s">
        <v>1367</v>
      </c>
      <c r="E641" s="897" t="s">
        <v>1535</v>
      </c>
      <c r="F641" s="1409" t="s">
        <v>1927</v>
      </c>
      <c r="G641" s="1409" t="str">
        <f>IF(T641&lt;&gt;"","E","")</f>
        <v/>
      </c>
      <c r="H641" s="1409" t="s">
        <v>1926</v>
      </c>
      <c r="I641" s="857" t="str">
        <f t="shared" si="70"/>
        <v/>
      </c>
      <c r="J641" s="1409" t="str">
        <f t="shared" si="99"/>
        <v/>
      </c>
      <c r="K641" s="1409" t="str">
        <f t="shared" si="71"/>
        <v/>
      </c>
      <c r="L641" s="897" t="s">
        <v>1397</v>
      </c>
      <c r="M641" s="1410">
        <v>624</v>
      </c>
      <c r="N641" s="1409"/>
      <c r="O641" s="1408">
        <f>'Configurable Tab'!I8</f>
        <v>90</v>
      </c>
      <c r="P641" s="1408"/>
      <c r="Q641" s="1408"/>
      <c r="R641" s="1425" t="s">
        <v>855</v>
      </c>
      <c r="S641" s="1408"/>
      <c r="T641" s="1409" t="str">
        <f t="shared" si="98"/>
        <v/>
      </c>
      <c r="U641" s="1408"/>
      <c r="V641" s="1408"/>
      <c r="W641" s="1408"/>
      <c r="X641" s="1408"/>
      <c r="Y641" s="1408"/>
      <c r="Z641" s="1408"/>
      <c r="AA641" s="1408"/>
    </row>
    <row r="642" spans="1:27" x14ac:dyDescent="0.25">
      <c r="A642" s="929" t="s">
        <v>1398</v>
      </c>
      <c r="B642" s="897" t="str">
        <f t="shared" ca="1" si="100"/>
        <v>J77</v>
      </c>
      <c r="C642" s="897" t="str">
        <f t="shared" ca="1" si="101"/>
        <v>J78</v>
      </c>
      <c r="D642" s="897" t="s">
        <v>1367</v>
      </c>
      <c r="E642" s="897" t="s">
        <v>1535</v>
      </c>
      <c r="F642" s="1409" t="s">
        <v>1928</v>
      </c>
      <c r="G642" s="1409" t="str">
        <f>IF(T642&lt;&gt;"","I","")</f>
        <v/>
      </c>
      <c r="H642" s="1409" t="s">
        <v>1926</v>
      </c>
      <c r="I642" s="857" t="str">
        <f t="shared" si="70"/>
        <v/>
      </c>
      <c r="J642" s="1409" t="str">
        <f t="shared" si="99"/>
        <v/>
      </c>
      <c r="K642" s="1409" t="str">
        <f t="shared" si="71"/>
        <v/>
      </c>
      <c r="L642" s="897" t="s">
        <v>1398</v>
      </c>
      <c r="M642" s="1410">
        <v>625</v>
      </c>
      <c r="N642" s="1409"/>
      <c r="O642" s="1408" t="s">
        <v>1656</v>
      </c>
      <c r="P642" s="1408"/>
      <c r="Q642" s="1408"/>
      <c r="R642" s="1425" t="s">
        <v>855</v>
      </c>
      <c r="S642" s="1408"/>
      <c r="T642" s="1409" t="str">
        <f t="shared" si="98"/>
        <v/>
      </c>
      <c r="U642" s="1408"/>
      <c r="V642" s="1408"/>
      <c r="W642" s="1408"/>
      <c r="X642" s="1408"/>
      <c r="Y642" s="1408"/>
      <c r="Z642" s="1408"/>
      <c r="AA642" s="1408"/>
    </row>
    <row r="643" spans="1:27" x14ac:dyDescent="0.25">
      <c r="A643" s="929" t="s">
        <v>1414</v>
      </c>
      <c r="B643" s="897" t="str">
        <f t="shared" ca="1" si="100"/>
        <v>L77</v>
      </c>
      <c r="C643" s="897" t="str">
        <f t="shared" ca="1" si="101"/>
        <v>L78</v>
      </c>
      <c r="D643" s="897" t="s">
        <v>1367</v>
      </c>
      <c r="E643" s="897" t="s">
        <v>1535</v>
      </c>
      <c r="F643" s="1409" t="s">
        <v>1929</v>
      </c>
      <c r="G643" s="1409" t="str">
        <f>IF(T643&lt;&gt;"","H","")</f>
        <v/>
      </c>
      <c r="H643" s="1409" t="s">
        <v>1926</v>
      </c>
      <c r="I643" s="857" t="str">
        <f t="shared" si="70"/>
        <v/>
      </c>
      <c r="J643" s="1409" t="str">
        <f t="shared" si="99"/>
        <v/>
      </c>
      <c r="K643" s="1409" t="str">
        <f t="shared" si="71"/>
        <v/>
      </c>
      <c r="L643" s="897" t="s">
        <v>1414</v>
      </c>
      <c r="M643" s="1410">
        <v>626</v>
      </c>
      <c r="N643" s="1409"/>
      <c r="O643" s="1408"/>
      <c r="P643" s="1408"/>
      <c r="Q643" s="1408"/>
      <c r="R643" s="1425" t="s">
        <v>855</v>
      </c>
      <c r="S643" s="1408"/>
      <c r="T643" s="1409" t="str">
        <f t="shared" si="98"/>
        <v/>
      </c>
      <c r="U643" s="1408"/>
      <c r="V643" s="1408"/>
      <c r="W643" s="1408"/>
      <c r="X643" s="1408"/>
      <c r="Y643" s="1408"/>
      <c r="Z643" s="1408"/>
      <c r="AA643" s="1408"/>
    </row>
    <row r="644" spans="1:27" x14ac:dyDescent="0.25">
      <c r="A644" s="929" t="s">
        <v>1399</v>
      </c>
      <c r="B644" s="897" t="str">
        <f t="shared" ca="1" si="100"/>
        <v>N77</v>
      </c>
      <c r="C644" s="897" t="str">
        <f t="shared" ca="1" si="101"/>
        <v>N78</v>
      </c>
      <c r="D644" s="897" t="s">
        <v>1367</v>
      </c>
      <c r="E644" s="897" t="s">
        <v>1535</v>
      </c>
      <c r="F644" s="1409" t="s">
        <v>1399</v>
      </c>
      <c r="G644" s="1409" t="str">
        <f>IF(T644&lt;&gt;"",IF(Q642="Credit Memo","J",IF(Q642="Check","K","")),"")</f>
        <v/>
      </c>
      <c r="H644" s="1409" t="s">
        <v>1926</v>
      </c>
      <c r="I644" s="857" t="str">
        <f t="shared" ref="I644:I707" si="102">IF(J644&lt;&gt;"",A644,"")</f>
        <v/>
      </c>
      <c r="J644" s="1409" t="str">
        <f t="shared" si="99"/>
        <v/>
      </c>
      <c r="K644" s="1409" t="str">
        <f t="shared" ref="K644:K707" si="103">IF(J644&lt;&gt;"",E644,"")</f>
        <v/>
      </c>
      <c r="L644" s="897" t="s">
        <v>1399</v>
      </c>
      <c r="M644" s="1410">
        <v>627</v>
      </c>
      <c r="N644" s="1409"/>
      <c r="O644" s="1408"/>
      <c r="P644" s="1408"/>
      <c r="Q644" s="1408"/>
      <c r="R644" s="1425" t="s">
        <v>855</v>
      </c>
      <c r="S644" s="1408"/>
      <c r="T644" s="1409" t="str">
        <f t="shared" si="98"/>
        <v/>
      </c>
      <c r="U644" s="1408"/>
      <c r="V644" s="1408"/>
      <c r="W644" s="1408"/>
      <c r="X644" s="1408"/>
      <c r="Y644" s="1408"/>
      <c r="Z644" s="1408"/>
      <c r="AA644" s="1408"/>
    </row>
    <row r="645" spans="1:27" x14ac:dyDescent="0.25">
      <c r="A645" s="929" t="s">
        <v>1505</v>
      </c>
      <c r="B645" s="897" t="str">
        <f t="shared" ca="1" si="100"/>
        <v>P77</v>
      </c>
      <c r="C645" s="897" t="str">
        <f t="shared" ca="1" si="101"/>
        <v>P78</v>
      </c>
      <c r="D645" s="897" t="s">
        <v>1367</v>
      </c>
      <c r="E645" s="897" t="s">
        <v>1535</v>
      </c>
      <c r="F645" s="1409" t="s">
        <v>1930</v>
      </c>
      <c r="G645" s="1409" t="str">
        <f>IF(T645&lt;&gt;"","F","")</f>
        <v/>
      </c>
      <c r="H645" s="1409" t="s">
        <v>1926</v>
      </c>
      <c r="I645" s="857" t="str">
        <f t="shared" si="102"/>
        <v/>
      </c>
      <c r="J645" s="1409" t="str">
        <f t="shared" si="99"/>
        <v/>
      </c>
      <c r="K645" s="1409" t="str">
        <f t="shared" si="103"/>
        <v/>
      </c>
      <c r="L645" s="897" t="s">
        <v>1505</v>
      </c>
      <c r="M645" s="1410">
        <v>628</v>
      </c>
      <c r="N645" s="1409"/>
      <c r="O645" s="1408"/>
      <c r="P645" s="1408"/>
      <c r="Q645" s="1408"/>
      <c r="R645" s="1425" t="s">
        <v>855</v>
      </c>
      <c r="S645" s="1408"/>
      <c r="T645" s="1409" t="str">
        <f t="shared" si="98"/>
        <v/>
      </c>
      <c r="U645" s="1408"/>
      <c r="V645" s="1408"/>
      <c r="W645" s="1408"/>
      <c r="X645" s="1408"/>
      <c r="Y645" s="1408"/>
      <c r="Z645" s="1408"/>
      <c r="AA645" s="1408"/>
    </row>
    <row r="646" spans="1:27" x14ac:dyDescent="0.25">
      <c r="A646" s="929" t="s">
        <v>1506</v>
      </c>
      <c r="B646" s="897" t="str">
        <f t="shared" ca="1" si="100"/>
        <v>R77</v>
      </c>
      <c r="C646" s="897" t="str">
        <f t="shared" ca="1" si="101"/>
        <v>R78</v>
      </c>
      <c r="D646" s="897" t="s">
        <v>1367</v>
      </c>
      <c r="E646" s="897" t="s">
        <v>1535</v>
      </c>
      <c r="F646" s="1409" t="s">
        <v>1931</v>
      </c>
      <c r="G646" s="1409" t="str">
        <f>IF(T646&lt;&gt;"","G","")</f>
        <v/>
      </c>
      <c r="H646" s="1409" t="s">
        <v>1926</v>
      </c>
      <c r="I646" s="857" t="str">
        <f t="shared" si="102"/>
        <v/>
      </c>
      <c r="J646" s="1409" t="str">
        <f t="shared" si="99"/>
        <v/>
      </c>
      <c r="K646" s="1409" t="str">
        <f t="shared" si="103"/>
        <v/>
      </c>
      <c r="L646" s="897" t="s">
        <v>1506</v>
      </c>
      <c r="M646" s="1410">
        <v>629</v>
      </c>
      <c r="N646" s="1409"/>
      <c r="O646" s="1408"/>
      <c r="P646" s="1408"/>
      <c r="Q646" s="1408"/>
      <c r="R646" s="1425" t="s">
        <v>855</v>
      </c>
      <c r="S646" s="1408"/>
      <c r="T646" s="1409" t="str">
        <f t="shared" si="98"/>
        <v/>
      </c>
      <c r="U646" s="1408"/>
      <c r="V646" s="1408"/>
      <c r="W646" s="1408"/>
      <c r="X646" s="1408"/>
      <c r="Y646" s="1408"/>
      <c r="Z646" s="1408"/>
      <c r="AA646" s="1408"/>
    </row>
    <row r="647" spans="1:27" x14ac:dyDescent="0.25">
      <c r="A647" s="929" t="s">
        <v>1507</v>
      </c>
      <c r="B647" s="897" t="str">
        <f t="shared" ca="1" si="100"/>
        <v>T77</v>
      </c>
      <c r="C647" s="897" t="str">
        <f t="shared" ca="1" si="101"/>
        <v>T78</v>
      </c>
      <c r="D647" s="897" t="s">
        <v>1367</v>
      </c>
      <c r="E647" s="897" t="s">
        <v>1535</v>
      </c>
      <c r="F647" s="919" t="s">
        <v>1507</v>
      </c>
      <c r="G647" s="1409" t="str">
        <f>IF(T647&lt;&gt;"","AW","")</f>
        <v/>
      </c>
      <c r="H647" s="1409" t="s">
        <v>1926</v>
      </c>
      <c r="I647" s="857" t="str">
        <f t="shared" si="102"/>
        <v/>
      </c>
      <c r="J647" s="1409" t="str">
        <f t="shared" si="99"/>
        <v/>
      </c>
      <c r="K647" s="1409" t="str">
        <f t="shared" si="103"/>
        <v/>
      </c>
      <c r="L647" s="897" t="s">
        <v>1507</v>
      </c>
      <c r="M647" s="1410">
        <v>630</v>
      </c>
      <c r="N647" s="1409"/>
      <c r="O647" s="1408"/>
      <c r="P647" s="1408"/>
      <c r="Q647" s="1408"/>
      <c r="R647" s="1425" t="s">
        <v>855</v>
      </c>
      <c r="S647" s="1408"/>
      <c r="T647" s="1409" t="str">
        <f t="shared" si="98"/>
        <v/>
      </c>
      <c r="U647" s="1408"/>
      <c r="V647" s="1408"/>
      <c r="W647" s="1408"/>
      <c r="X647" s="1408"/>
      <c r="Y647" s="1408"/>
      <c r="Z647" s="1408"/>
      <c r="AA647" s="1408"/>
    </row>
    <row r="648" spans="1:27" x14ac:dyDescent="0.25">
      <c r="A648" s="929" t="s">
        <v>1402</v>
      </c>
      <c r="B648" s="897" t="str">
        <f ca="1">IFERROR(_xlfn.CONCAT("C",MATCH(A648,INDIRECT("'"&amp;E648&amp;"'!C"&amp;$O$639&amp;":C"&amp;$O$641),0)+$O$639-1),"")</f>
        <v>C81</v>
      </c>
      <c r="C648" s="897" t="str">
        <f ca="1">IFERROR(_xlfn.CONCAT("D",MATCH(A648,INDIRECT("'"&amp;E648&amp;"'!C"&amp;$O$639&amp;":C"&amp;$O$641),0)+$O$639-1),"")</f>
        <v>D81</v>
      </c>
      <c r="D648" s="897" t="s">
        <v>1367</v>
      </c>
      <c r="E648" s="897" t="s">
        <v>1535</v>
      </c>
      <c r="F648" s="1409" t="s">
        <v>1402</v>
      </c>
      <c r="G648" s="1409" t="str">
        <f>IF(T648&lt;&gt;"","C","")</f>
        <v/>
      </c>
      <c r="H648" s="1409" t="s">
        <v>1926</v>
      </c>
      <c r="I648" s="857" t="str">
        <f t="shared" si="102"/>
        <v/>
      </c>
      <c r="J648" s="1409"/>
      <c r="K648" s="1409" t="str">
        <f t="shared" si="103"/>
        <v/>
      </c>
      <c r="L648" s="897" t="s">
        <v>1402</v>
      </c>
      <c r="M648" s="1410">
        <v>631</v>
      </c>
      <c r="N648" s="1409"/>
      <c r="O648" s="1408"/>
      <c r="P648" s="1408"/>
      <c r="Q648" s="1408"/>
      <c r="R648" s="1425" t="s">
        <v>855</v>
      </c>
      <c r="S648" s="1408"/>
      <c r="T648" s="1409" t="str">
        <f t="shared" si="98"/>
        <v/>
      </c>
      <c r="U648" s="1408"/>
      <c r="V648" s="1408"/>
      <c r="W648" s="1408"/>
      <c r="X648" s="1408"/>
      <c r="Y648" s="1408"/>
      <c r="Z648" s="1408"/>
      <c r="AA648" s="1408"/>
    </row>
    <row r="649" spans="1:27" x14ac:dyDescent="0.25">
      <c r="A649" s="929" t="s">
        <v>1403</v>
      </c>
      <c r="B649" s="897" t="str">
        <f ca="1">IFERROR(_xlfn.CONCAT("C",MATCH(A649,INDIRECT("'"&amp;E649&amp;"'!C"&amp;$O$639&amp;":C"&amp;$O$641),0)+$O$639-1),"")</f>
        <v>C83</v>
      </c>
      <c r="C649" s="897" t="str">
        <f ca="1">IFERROR(_xlfn.CONCAT("D",MATCH(A649,INDIRECT("'"&amp;E649&amp;"'!C"&amp;$O$639&amp;":C"&amp;$O$641),0)+$O$639-1),"")</f>
        <v>D83</v>
      </c>
      <c r="D649" s="897" t="s">
        <v>1367</v>
      </c>
      <c r="E649" s="897" t="s">
        <v>1535</v>
      </c>
      <c r="F649" s="1409" t="s">
        <v>1403</v>
      </c>
      <c r="G649" s="1409" t="str">
        <f>IF(T649&lt;&gt;"","D","")</f>
        <v/>
      </c>
      <c r="H649" s="1409" t="s">
        <v>1926</v>
      </c>
      <c r="I649" s="857" t="str">
        <f t="shared" si="102"/>
        <v/>
      </c>
      <c r="J649" s="1409"/>
      <c r="K649" s="1409" t="str">
        <f t="shared" si="103"/>
        <v/>
      </c>
      <c r="L649" s="897" t="s">
        <v>1403</v>
      </c>
      <c r="M649" s="1410">
        <v>632</v>
      </c>
      <c r="N649" s="1409"/>
      <c r="O649" s="1408"/>
      <c r="P649" s="1408"/>
      <c r="Q649" s="1408"/>
      <c r="R649" s="1425" t="s">
        <v>855</v>
      </c>
      <c r="S649" s="1408"/>
      <c r="T649" s="1409" t="str">
        <f t="shared" si="98"/>
        <v/>
      </c>
      <c r="U649" s="1408"/>
      <c r="V649" s="1408"/>
      <c r="W649" s="1408"/>
      <c r="X649" s="1408"/>
      <c r="Y649" s="1408"/>
      <c r="Z649" s="1408"/>
      <c r="AA649" s="1408"/>
    </row>
    <row r="650" spans="1:27" x14ac:dyDescent="0.25">
      <c r="A650" s="929" t="s">
        <v>1514</v>
      </c>
      <c r="B650" s="897" t="str">
        <f ca="1">IFERROR(_xlfn.CONCAT("C",MATCH(A650,INDIRECT("'"&amp;E650&amp;"'!C"&amp;$O$639&amp;":C"&amp;$O$641),0)+$O$639-1),"")</f>
        <v>C87</v>
      </c>
      <c r="C650" s="897" t="str">
        <f ca="1">IFERROR(_xlfn.CONCAT("D",MATCH(A650,INDIRECT("'"&amp;E650&amp;"'!C"&amp;$O$639&amp;":C"&amp;$O$641),0)+$O$639-1),"")</f>
        <v>D87</v>
      </c>
      <c r="D650" s="897" t="s">
        <v>1367</v>
      </c>
      <c r="E650" s="897" t="s">
        <v>1535</v>
      </c>
      <c r="F650" s="1409" t="s">
        <v>1514</v>
      </c>
      <c r="G650" s="1409" t="str">
        <f>IF(T650&lt;&gt;"","AN","")</f>
        <v/>
      </c>
      <c r="H650" s="1409" t="s">
        <v>1926</v>
      </c>
      <c r="I650" s="857" t="str">
        <f t="shared" si="102"/>
        <v/>
      </c>
      <c r="J650" s="1409" t="str">
        <f t="shared" si="99"/>
        <v/>
      </c>
      <c r="K650" s="1409" t="str">
        <f t="shared" si="103"/>
        <v/>
      </c>
      <c r="L650" s="897" t="s">
        <v>1514</v>
      </c>
      <c r="M650" s="1410">
        <v>633</v>
      </c>
      <c r="N650" s="1409"/>
      <c r="O650" s="1408"/>
      <c r="P650" s="1409" t="str" cm="1">
        <f t="array" aca="1" ref="P650" ca="1">_xlfn.CONCAT("F",RIGHT(B650, LEN(B650) - MAX(IF(ISNUMBER(MID(B650, ROW(INDIRECT("1:"&amp;LEN(B650))), 1) *1)=FALSE, ROW(INDIRECT("1:"&amp;LEN(B650))), 0))))</f>
        <v>F87</v>
      </c>
      <c r="Q650" s="1409" t="str" cm="1">
        <f t="array" aca="1" ref="Q650" ca="1">_xlfn.CONCAT("E",RIGHT(C650, LEN(C650) - MAX(IF(ISNUMBER(MID(C650, ROW(INDIRECT("1:"&amp;LEN(C650))), 1) *1)=FALSE, ROW(INDIRECT("1:"&amp;LEN(C650))), 0))))</f>
        <v>E87</v>
      </c>
      <c r="R650" s="1425" t="s">
        <v>855</v>
      </c>
      <c r="S650" s="1408"/>
      <c r="T650" s="1409" t="str">
        <f t="shared" si="98"/>
        <v/>
      </c>
      <c r="U650" s="1408"/>
      <c r="V650" s="1408"/>
      <c r="W650" s="1408"/>
      <c r="X650" s="1408"/>
      <c r="Y650" s="1408"/>
      <c r="Z650" s="1408"/>
      <c r="AA650" s="1408"/>
    </row>
    <row r="651" spans="1:27" x14ac:dyDescent="0.25">
      <c r="A651" s="929" t="s">
        <v>1511</v>
      </c>
      <c r="B651" s="897" t="str">
        <f ca="1">_xlfn.CONCAT(IFERROR(SUBSTITUTE(ADDRESS(1,MATCH(A651,INDIRECT("'"&amp;E651&amp;"'"&amp;"!A" &amp; $O$639 + 12 &amp; ":Z" &amp; $O$639 + 12),0),4),1,""),""),$O$639 + 12)</f>
        <v>H87</v>
      </c>
      <c r="C651" s="897" t="str">
        <f ca="1">_xlfn.CONCAT(IFERROR(SUBSTITUTE(ADDRESS(1,MATCH(A651,INDIRECT("'"&amp;E651&amp;"'"&amp;"!A" &amp; $O$639 + 12 &amp; ":Z" &amp; $O$639 + 12),0),4),1,""),""),$O$639 + 13)</f>
        <v>H88</v>
      </c>
      <c r="D651" s="897" t="s">
        <v>1367</v>
      </c>
      <c r="E651" s="897" t="s">
        <v>1535</v>
      </c>
      <c r="F651" s="1409" t="s">
        <v>1511</v>
      </c>
      <c r="G651" s="1409" t="str">
        <f>IF(T651&lt;&gt;"","AL","")</f>
        <v/>
      </c>
      <c r="H651" s="1409" t="s">
        <v>1926</v>
      </c>
      <c r="I651" s="857" t="str">
        <f t="shared" si="102"/>
        <v/>
      </c>
      <c r="J651" s="1409" t="str">
        <f t="shared" si="99"/>
        <v/>
      </c>
      <c r="K651" s="1409" t="str">
        <f t="shared" si="103"/>
        <v/>
      </c>
      <c r="L651" s="897" t="s">
        <v>1511</v>
      </c>
      <c r="M651" s="1410">
        <v>634</v>
      </c>
      <c r="N651" s="1409"/>
      <c r="O651" s="1408"/>
      <c r="P651" s="1408"/>
      <c r="Q651" s="1408"/>
      <c r="R651" s="1425" t="s">
        <v>855</v>
      </c>
      <c r="S651" s="1408"/>
      <c r="T651" s="1409" t="str">
        <f t="shared" si="98"/>
        <v/>
      </c>
      <c r="U651" s="1408"/>
      <c r="V651" s="1408"/>
      <c r="W651" s="1408"/>
      <c r="X651" s="1408"/>
      <c r="Y651" s="1408"/>
      <c r="Z651" s="1408"/>
      <c r="AA651" s="1408"/>
    </row>
    <row r="652" spans="1:27" x14ac:dyDescent="0.25">
      <c r="A652" s="929" t="s">
        <v>1525</v>
      </c>
      <c r="B652" s="897" t="str">
        <f ca="1">_xlfn.CONCAT(IFERROR(SUBSTITUTE(ADDRESS(1,MATCH(A652,INDIRECT("'"&amp;E652&amp;"'"&amp;"!A" &amp; $O$639 + 12 &amp; ":Z" &amp; $O$639 + 12),0),4),1,""),""),$O$639 + 12)</f>
        <v>J87</v>
      </c>
      <c r="C652" s="897" t="str">
        <f ca="1">_xlfn.CONCAT(IFERROR(SUBSTITUTE(ADDRESS(1,MATCH(A652,INDIRECT("'"&amp;E652&amp;"'"&amp;"!A" &amp; $O$639 + 12 &amp; ":Z" &amp; $O$639 + 12),0),4),1,""),""),$O$639 + 13)</f>
        <v>J88</v>
      </c>
      <c r="D652" s="897" t="s">
        <v>1367</v>
      </c>
      <c r="E652" s="897" t="s">
        <v>1535</v>
      </c>
      <c r="F652" s="1409" t="s">
        <v>1932</v>
      </c>
      <c r="G652" s="1409" t="str">
        <f>IF(T652&lt;&gt;"","L","")</f>
        <v/>
      </c>
      <c r="H652" s="1409" t="s">
        <v>1926</v>
      </c>
      <c r="I652" s="857" t="str">
        <f t="shared" si="102"/>
        <v/>
      </c>
      <c r="J652" s="1409" t="str">
        <f t="shared" si="99"/>
        <v/>
      </c>
      <c r="K652" s="1409" t="str">
        <f t="shared" si="103"/>
        <v/>
      </c>
      <c r="L652" s="897" t="s">
        <v>1525</v>
      </c>
      <c r="M652" s="1410">
        <v>635</v>
      </c>
      <c r="N652" s="1409"/>
      <c r="O652" s="1408"/>
      <c r="P652" s="1408"/>
      <c r="Q652" s="1408"/>
      <c r="R652" s="1425" t="s">
        <v>855</v>
      </c>
      <c r="S652" s="1408"/>
      <c r="T652" s="1409" t="str">
        <f>IF(Q$639="Yes",6,"")</f>
        <v/>
      </c>
      <c r="U652" s="1408"/>
      <c r="V652" s="1408"/>
      <c r="W652" s="1408"/>
      <c r="X652" s="1408"/>
      <c r="Y652" s="1408"/>
      <c r="Z652" s="1408"/>
      <c r="AA652" s="1408"/>
    </row>
    <row r="653" spans="1:27" x14ac:dyDescent="0.25">
      <c r="A653" s="929" t="s">
        <v>1404</v>
      </c>
      <c r="B653" s="897" t="str">
        <f ca="1">_xlfn.IFNA(_xlfn.CONCAT(SUBSTITUTE(ADDRESS(1,MATCH(A653,INDIRECT("'"&amp;E653&amp;"'"&amp;"!A" &amp; $O$639 + 5 &amp; ":Z" &amp; $O$639 + 5),0),4),1,""), $O$639 + 6),"")</f>
        <v>H81</v>
      </c>
      <c r="C653" s="897" t="str">
        <f t="shared" ref="C653:C667" ca="1" si="104">_xlfn.IFNA(SUBSTITUTE(ADDRESS(1,MATCH(A653,INDIRECT("'"&amp;E653&amp;"'"&amp;"!A" &amp; $O$639 + 5 &amp; ":Z" &amp; $O$639 + 5),0),4),1,""),"")</f>
        <v>H</v>
      </c>
      <c r="D653" s="897" t="s">
        <v>1374</v>
      </c>
      <c r="E653" s="897" t="s">
        <v>1535</v>
      </c>
      <c r="F653" s="919"/>
      <c r="G653" s="1409"/>
      <c r="H653" s="1409"/>
      <c r="I653" s="857" t="str">
        <f t="shared" si="102"/>
        <v/>
      </c>
      <c r="J653" s="1409" t="str">
        <f t="shared" si="99"/>
        <v/>
      </c>
      <c r="K653" s="1409" t="str">
        <f t="shared" si="103"/>
        <v/>
      </c>
      <c r="L653" s="897" t="s">
        <v>1404</v>
      </c>
      <c r="M653" s="1410">
        <v>636</v>
      </c>
      <c r="N653" s="1409"/>
      <c r="O653" s="1408"/>
      <c r="P653" s="1408"/>
      <c r="Q653" s="1408"/>
      <c r="R653" s="1409" t="s">
        <v>855</v>
      </c>
      <c r="S653" s="1408"/>
      <c r="T653" s="1409" t="str">
        <f t="shared" ref="T653:T667" si="105">IF(Q$639="Yes",6,"")</f>
        <v/>
      </c>
      <c r="U653" s="1408"/>
      <c r="V653" s="1408"/>
      <c r="W653" s="1408"/>
      <c r="X653" s="1408"/>
      <c r="Y653" s="1408"/>
      <c r="Z653" s="1408"/>
      <c r="AA653" s="1408"/>
    </row>
    <row r="654" spans="1:27" x14ac:dyDescent="0.25">
      <c r="A654" s="929" t="s">
        <v>1405</v>
      </c>
      <c r="B654" s="897" t="str">
        <f ca="1">_xlfn.IFNA(_xlfn.CONCAT(SUBSTITUTE(ADDRESS(1,MATCH(A654,INDIRECT("'"&amp;E654&amp;"'"&amp;"!A" &amp; $O$639 + 5 &amp; ":Z" &amp; $O$639 + 5),0),4),1,""), $O$639 + 6),"")</f>
        <v>J81</v>
      </c>
      <c r="C654" s="897" t="str">
        <f t="shared" ca="1" si="104"/>
        <v>J</v>
      </c>
      <c r="D654" s="897" t="s">
        <v>1374</v>
      </c>
      <c r="E654" s="897" t="s">
        <v>1535</v>
      </c>
      <c r="F654" s="919"/>
      <c r="G654" s="1409"/>
      <c r="H654" s="1409"/>
      <c r="I654" s="857" t="str">
        <f t="shared" si="102"/>
        <v/>
      </c>
      <c r="J654" s="1409"/>
      <c r="K654" s="1409" t="str">
        <f t="shared" si="103"/>
        <v/>
      </c>
      <c r="L654" s="897" t="s">
        <v>1405</v>
      </c>
      <c r="M654" s="1410">
        <v>637</v>
      </c>
      <c r="N654" s="1409"/>
      <c r="O654" s="1408"/>
      <c r="P654" s="1408"/>
      <c r="Q654" s="1408"/>
      <c r="R654" s="1409" t="s">
        <v>855</v>
      </c>
      <c r="S654" s="1408"/>
      <c r="T654" s="1409" t="str">
        <f t="shared" si="105"/>
        <v/>
      </c>
      <c r="U654" s="1408"/>
      <c r="V654" s="1408"/>
      <c r="W654" s="1408"/>
      <c r="X654" s="1408"/>
      <c r="Y654" s="1408"/>
      <c r="Z654" s="1408"/>
      <c r="AA654" s="1408"/>
    </row>
    <row r="655" spans="1:27" x14ac:dyDescent="0.25">
      <c r="A655" s="929" t="s">
        <v>1406</v>
      </c>
      <c r="B655" s="897" t="str">
        <f ca="1">_xlfn.IFNA(_xlfn.CONCAT(SUBSTITUTE(ADDRESS(1,MATCH(A655,INDIRECT("'"&amp;E655&amp;"'"&amp;"!A" &amp; $O$639 + 5 &amp; ":Z" &amp; $O$639 + 5),0),4),1,""),$O$639 + 6),"")</f>
        <v>L81</v>
      </c>
      <c r="C655" s="897" t="str">
        <f t="shared" ca="1" si="104"/>
        <v>L</v>
      </c>
      <c r="D655" s="897" t="s">
        <v>1374</v>
      </c>
      <c r="E655" s="897" t="s">
        <v>1535</v>
      </c>
      <c r="F655" s="1424"/>
      <c r="G655" s="1409"/>
      <c r="H655" s="1409"/>
      <c r="I655" s="857" t="str">
        <f t="shared" si="102"/>
        <v/>
      </c>
      <c r="J655" s="1409"/>
      <c r="K655" s="1409" t="str">
        <f t="shared" si="103"/>
        <v/>
      </c>
      <c r="L655" s="897" t="s">
        <v>1406</v>
      </c>
      <c r="M655" s="1410">
        <v>638</v>
      </c>
      <c r="N655" s="1409"/>
      <c r="O655" s="1408"/>
      <c r="P655" s="1408"/>
      <c r="Q655" s="1408"/>
      <c r="R655" s="1409" t="s">
        <v>855</v>
      </c>
      <c r="S655" s="1408"/>
      <c r="T655" s="1409" t="str">
        <f t="shared" si="105"/>
        <v/>
      </c>
      <c r="U655" s="1408"/>
      <c r="V655" s="1408"/>
      <c r="W655" s="1408"/>
      <c r="X655" s="1408"/>
      <c r="Y655" s="1408"/>
      <c r="Z655" s="1408"/>
      <c r="AA655" s="1408"/>
    </row>
    <row r="656" spans="1:27" x14ac:dyDescent="0.25">
      <c r="A656" s="929" t="s">
        <v>1404</v>
      </c>
      <c r="B656" s="897" t="str">
        <f ca="1">_xlfn.IFNA(_xlfn.CONCAT(SUBSTITUTE(ADDRESS(1,MATCH(A656,INDIRECT("'"&amp;E656&amp;"'"&amp;"!A" &amp; $O$639 + 5 &amp; ":Z" &amp; $O$639 + 5),0),4),1,""),$O$639 + 7),"")</f>
        <v>H82</v>
      </c>
      <c r="C656" s="897" t="str">
        <f t="shared" ca="1" si="104"/>
        <v>H</v>
      </c>
      <c r="D656" s="897" t="s">
        <v>1374</v>
      </c>
      <c r="E656" s="897" t="s">
        <v>1535</v>
      </c>
      <c r="F656" s="1409"/>
      <c r="G656" s="1409"/>
      <c r="H656" s="1409"/>
      <c r="I656" s="857" t="str">
        <f t="shared" si="102"/>
        <v/>
      </c>
      <c r="J656" s="1409" t="str">
        <f t="shared" si="99"/>
        <v/>
      </c>
      <c r="K656" s="1409" t="str">
        <f t="shared" si="103"/>
        <v/>
      </c>
      <c r="L656" s="897" t="s">
        <v>1404</v>
      </c>
      <c r="M656" s="1410">
        <v>639</v>
      </c>
      <c r="N656" s="1409"/>
      <c r="O656" s="1408"/>
      <c r="P656" s="1408"/>
      <c r="Q656" s="1408"/>
      <c r="R656" s="1409" t="s">
        <v>855</v>
      </c>
      <c r="S656" s="1408"/>
      <c r="T656" s="1409" t="str">
        <f t="shared" si="105"/>
        <v/>
      </c>
      <c r="U656" s="1408"/>
      <c r="V656" s="1408"/>
      <c r="W656" s="1408"/>
      <c r="X656" s="1408"/>
      <c r="Y656" s="1408"/>
      <c r="Z656" s="1408"/>
      <c r="AA656" s="1408"/>
    </row>
    <row r="657" spans="1:27" x14ac:dyDescent="0.25">
      <c r="A657" s="929" t="s">
        <v>1405</v>
      </c>
      <c r="B657" s="897" t="str">
        <f ca="1">_xlfn.IFNA(_xlfn.CONCAT(SUBSTITUTE(ADDRESS(1,MATCH(A657,INDIRECT("'"&amp;E657&amp;"'"&amp;"!A" &amp; $O$639 + 5 &amp; ":Z" &amp; $O$639 + 5),0),4),1,""),$O$639 + 7),"")</f>
        <v>J82</v>
      </c>
      <c r="C657" s="897" t="str">
        <f t="shared" ca="1" si="104"/>
        <v>J</v>
      </c>
      <c r="D657" s="897" t="s">
        <v>1374</v>
      </c>
      <c r="E657" s="897" t="s">
        <v>1535</v>
      </c>
      <c r="F657" s="1409"/>
      <c r="G657" s="1409"/>
      <c r="H657" s="1409"/>
      <c r="I657" s="857" t="str">
        <f t="shared" si="102"/>
        <v/>
      </c>
      <c r="J657" s="1409"/>
      <c r="K657" s="1409" t="str">
        <f t="shared" si="103"/>
        <v/>
      </c>
      <c r="L657" s="897" t="s">
        <v>1405</v>
      </c>
      <c r="M657" s="1410">
        <v>640</v>
      </c>
      <c r="N657" s="1409"/>
      <c r="O657" s="1408"/>
      <c r="P657" s="1408"/>
      <c r="Q657" s="1408"/>
      <c r="R657" s="1409" t="s">
        <v>855</v>
      </c>
      <c r="S657" s="1408"/>
      <c r="T657" s="1409" t="str">
        <f t="shared" si="105"/>
        <v/>
      </c>
      <c r="U657" s="1408"/>
      <c r="V657" s="1408"/>
      <c r="W657" s="1408"/>
      <c r="X657" s="1408"/>
      <c r="Y657" s="1408"/>
      <c r="Z657" s="1408"/>
      <c r="AA657" s="1408"/>
    </row>
    <row r="658" spans="1:27" x14ac:dyDescent="0.25">
      <c r="A658" s="929" t="s">
        <v>1406</v>
      </c>
      <c r="B658" s="897" t="str">
        <f ca="1">_xlfn.IFNA(_xlfn.CONCAT(SUBSTITUTE(ADDRESS(1,MATCH(A658,INDIRECT("'"&amp;E658&amp;"'"&amp;"!A" &amp; $O$639 + 5 &amp; ":Z" &amp; $O$639 + 5),0),4),1,""),$O$639 + 7),"")</f>
        <v>L82</v>
      </c>
      <c r="C658" s="897" t="str">
        <f t="shared" ca="1" si="104"/>
        <v>L</v>
      </c>
      <c r="D658" s="897" t="s">
        <v>1374</v>
      </c>
      <c r="E658" s="897" t="s">
        <v>1535</v>
      </c>
      <c r="F658" s="1409"/>
      <c r="G658" s="1409"/>
      <c r="H658" s="1409"/>
      <c r="I658" s="857" t="str">
        <f t="shared" si="102"/>
        <v/>
      </c>
      <c r="J658" s="1409"/>
      <c r="K658" s="1409" t="str">
        <f t="shared" si="103"/>
        <v/>
      </c>
      <c r="L658" s="897" t="s">
        <v>1406</v>
      </c>
      <c r="M658" s="1410">
        <v>641</v>
      </c>
      <c r="N658" s="1409"/>
      <c r="O658" s="1408"/>
      <c r="P658" s="1408"/>
      <c r="Q658" s="1408"/>
      <c r="R658" s="1409" t="s">
        <v>855</v>
      </c>
      <c r="S658" s="1408"/>
      <c r="T658" s="1409" t="str">
        <f t="shared" si="105"/>
        <v/>
      </c>
      <c r="U658" s="1408"/>
      <c r="V658" s="1408"/>
      <c r="W658" s="1408"/>
      <c r="X658" s="1408"/>
      <c r="Y658" s="1408"/>
      <c r="Z658" s="1408"/>
      <c r="AA658" s="1408"/>
    </row>
    <row r="659" spans="1:27" x14ac:dyDescent="0.25">
      <c r="A659" s="929" t="s">
        <v>1404</v>
      </c>
      <c r="B659" s="897" t="str">
        <f ca="1">_xlfn.IFNA(_xlfn.CONCAT(SUBSTITUTE(ADDRESS(1,MATCH(A659,INDIRECT("'"&amp;E659&amp;"'"&amp;"!A" &amp; $O$639 + 5 &amp; ":Z" &amp; $O$639 + 5),0),4),1,""),$O$639 + 8),"")</f>
        <v>H83</v>
      </c>
      <c r="C659" s="897" t="str">
        <f t="shared" ca="1" si="104"/>
        <v>H</v>
      </c>
      <c r="D659" s="897" t="s">
        <v>1374</v>
      </c>
      <c r="E659" s="897" t="s">
        <v>1535</v>
      </c>
      <c r="F659" s="1409"/>
      <c r="G659" s="1409"/>
      <c r="H659" s="1409"/>
      <c r="I659" s="857" t="str">
        <f t="shared" si="102"/>
        <v/>
      </c>
      <c r="J659" s="1409" t="str">
        <f t="shared" si="99"/>
        <v/>
      </c>
      <c r="K659" s="1409" t="str">
        <f t="shared" si="103"/>
        <v/>
      </c>
      <c r="L659" s="897" t="s">
        <v>1404</v>
      </c>
      <c r="M659" s="1410">
        <v>642</v>
      </c>
      <c r="N659" s="1409"/>
      <c r="O659" s="1408"/>
      <c r="P659" s="1408"/>
      <c r="Q659" s="1408"/>
      <c r="R659" s="1409" t="s">
        <v>855</v>
      </c>
      <c r="S659" s="1408"/>
      <c r="T659" s="1409" t="str">
        <f t="shared" si="105"/>
        <v/>
      </c>
      <c r="U659" s="1408"/>
      <c r="V659" s="1408"/>
      <c r="W659" s="1408"/>
      <c r="X659" s="1408"/>
      <c r="Y659" s="1408"/>
      <c r="Z659" s="1408"/>
      <c r="AA659" s="1408"/>
    </row>
    <row r="660" spans="1:27" x14ac:dyDescent="0.25">
      <c r="A660" s="929" t="s">
        <v>1405</v>
      </c>
      <c r="B660" s="897" t="str">
        <f ca="1">_xlfn.IFNA(_xlfn.CONCAT(SUBSTITUTE(ADDRESS(1,MATCH(A660,INDIRECT("'"&amp;E660&amp;"'"&amp;"!A" &amp; $O$639 + 5 &amp; ":Z" &amp; $O$639 + 5),0),4),1,""),$O$639 + 8),"")</f>
        <v>J83</v>
      </c>
      <c r="C660" s="897" t="str">
        <f t="shared" ca="1" si="104"/>
        <v>J</v>
      </c>
      <c r="D660" s="897" t="s">
        <v>1374</v>
      </c>
      <c r="E660" s="897" t="s">
        <v>1535</v>
      </c>
      <c r="F660" s="1409"/>
      <c r="G660" s="1409"/>
      <c r="H660" s="1409"/>
      <c r="I660" s="857" t="str">
        <f t="shared" si="102"/>
        <v/>
      </c>
      <c r="J660" s="1409"/>
      <c r="K660" s="1409" t="str">
        <f t="shared" si="103"/>
        <v/>
      </c>
      <c r="L660" s="897" t="s">
        <v>1405</v>
      </c>
      <c r="M660" s="1410">
        <v>643</v>
      </c>
      <c r="N660" s="1409"/>
      <c r="O660" s="1408"/>
      <c r="P660" s="1408"/>
      <c r="Q660" s="1408"/>
      <c r="R660" s="1409" t="s">
        <v>855</v>
      </c>
      <c r="S660" s="1408"/>
      <c r="T660" s="1409" t="str">
        <f t="shared" si="105"/>
        <v/>
      </c>
      <c r="U660" s="1408"/>
      <c r="V660" s="1408"/>
      <c r="W660" s="1408"/>
      <c r="X660" s="1408"/>
      <c r="Y660" s="1408"/>
      <c r="Z660" s="1408"/>
      <c r="AA660" s="1408"/>
    </row>
    <row r="661" spans="1:27" x14ac:dyDescent="0.25">
      <c r="A661" s="929" t="s">
        <v>1406</v>
      </c>
      <c r="B661" s="897" t="str">
        <f ca="1">_xlfn.IFNA(_xlfn.CONCAT(SUBSTITUTE(ADDRESS(1,MATCH(A661,INDIRECT("'"&amp;E661&amp;"'"&amp;"!A" &amp; $O$639 + 5 &amp; ":Z" &amp; $O$639 + 5),0),4),1,""),$O$639 + 8),"")</f>
        <v>L83</v>
      </c>
      <c r="C661" s="897" t="str">
        <f t="shared" ca="1" si="104"/>
        <v>L</v>
      </c>
      <c r="D661" s="897" t="s">
        <v>1374</v>
      </c>
      <c r="E661" s="897" t="s">
        <v>1535</v>
      </c>
      <c r="F661" s="1409"/>
      <c r="G661" s="1409"/>
      <c r="H661" s="1409"/>
      <c r="I661" s="857" t="str">
        <f t="shared" si="102"/>
        <v/>
      </c>
      <c r="J661" s="1409"/>
      <c r="K661" s="1409" t="str">
        <f t="shared" si="103"/>
        <v/>
      </c>
      <c r="L661" s="897" t="s">
        <v>1406</v>
      </c>
      <c r="M661" s="1410">
        <v>644</v>
      </c>
      <c r="N661" s="1409"/>
      <c r="O661" s="1408"/>
      <c r="P661" s="1408"/>
      <c r="Q661" s="1408"/>
      <c r="R661" s="1409" t="s">
        <v>855</v>
      </c>
      <c r="S661" s="1408"/>
      <c r="T661" s="1409" t="str">
        <f t="shared" si="105"/>
        <v/>
      </c>
      <c r="U661" s="1408"/>
      <c r="V661" s="1408"/>
      <c r="W661" s="1408"/>
      <c r="X661" s="1408"/>
      <c r="Y661" s="1408"/>
      <c r="Z661" s="1408"/>
      <c r="AA661" s="1408"/>
    </row>
    <row r="662" spans="1:27" x14ac:dyDescent="0.25">
      <c r="A662" s="929" t="s">
        <v>1404</v>
      </c>
      <c r="B662" s="897" t="str">
        <f ca="1">_xlfn.IFNA(_xlfn.CONCAT(SUBSTITUTE(ADDRESS(1,MATCH(A662,INDIRECT("'"&amp;E662&amp;"'"&amp;"!A" &amp; $O$639 + 5 &amp; ":Z" &amp; $O$639 + 5),0),4),1,""),$O$639 + 9),"")</f>
        <v>H84</v>
      </c>
      <c r="C662" s="897" t="str">
        <f t="shared" ca="1" si="104"/>
        <v>H</v>
      </c>
      <c r="D662" s="897" t="s">
        <v>1374</v>
      </c>
      <c r="E662" s="897" t="s">
        <v>1535</v>
      </c>
      <c r="F662" s="1409"/>
      <c r="G662" s="1409"/>
      <c r="H662" s="1409"/>
      <c r="I662" s="857" t="str">
        <f t="shared" si="102"/>
        <v/>
      </c>
      <c r="J662" s="1409" t="str">
        <f t="shared" si="99"/>
        <v/>
      </c>
      <c r="K662" s="1409" t="str">
        <f t="shared" si="103"/>
        <v/>
      </c>
      <c r="L662" s="897" t="s">
        <v>1404</v>
      </c>
      <c r="M662" s="1410">
        <v>645</v>
      </c>
      <c r="N662" s="1409"/>
      <c r="O662" s="1408"/>
      <c r="P662" s="1408"/>
      <c r="Q662" s="1408"/>
      <c r="R662" s="1409" t="s">
        <v>855</v>
      </c>
      <c r="S662" s="1408"/>
      <c r="T662" s="1409" t="str">
        <f t="shared" si="105"/>
        <v/>
      </c>
      <c r="U662" s="1408"/>
      <c r="V662" s="1408"/>
      <c r="W662" s="1408"/>
      <c r="X662" s="1408"/>
      <c r="Y662" s="1408"/>
      <c r="Z662" s="1408"/>
      <c r="AA662" s="1408"/>
    </row>
    <row r="663" spans="1:27" x14ac:dyDescent="0.25">
      <c r="A663" s="929" t="s">
        <v>1405</v>
      </c>
      <c r="B663" s="897" t="str">
        <f ca="1">_xlfn.IFNA(_xlfn.CONCAT(SUBSTITUTE(ADDRESS(1,MATCH(A663,INDIRECT("'"&amp;E663&amp;"'"&amp;"!A" &amp; $O$639 + 5 &amp; ":Z" &amp; $O$639 + 5),0),4),1,""),$O$639 + 9),"")</f>
        <v>J84</v>
      </c>
      <c r="C663" s="897" t="str">
        <f t="shared" ca="1" si="104"/>
        <v>J</v>
      </c>
      <c r="D663" s="897" t="s">
        <v>1374</v>
      </c>
      <c r="E663" s="897" t="s">
        <v>1535</v>
      </c>
      <c r="F663" s="1409"/>
      <c r="G663" s="1409"/>
      <c r="H663" s="1409"/>
      <c r="I663" s="857" t="str">
        <f t="shared" si="102"/>
        <v/>
      </c>
      <c r="J663" s="1409"/>
      <c r="K663" s="1409" t="str">
        <f t="shared" si="103"/>
        <v/>
      </c>
      <c r="L663" s="897" t="s">
        <v>1405</v>
      </c>
      <c r="M663" s="1410">
        <v>646</v>
      </c>
      <c r="N663" s="1409"/>
      <c r="O663" s="1408"/>
      <c r="P663" s="1408"/>
      <c r="Q663" s="1408"/>
      <c r="R663" s="1409" t="s">
        <v>855</v>
      </c>
      <c r="S663" s="1408"/>
      <c r="T663" s="1409" t="str">
        <f t="shared" si="105"/>
        <v/>
      </c>
      <c r="U663" s="1408"/>
      <c r="V663" s="1408"/>
      <c r="W663" s="1408"/>
      <c r="X663" s="1408"/>
      <c r="Y663" s="1408"/>
      <c r="Z663" s="1408"/>
      <c r="AA663" s="1408"/>
    </row>
    <row r="664" spans="1:27" x14ac:dyDescent="0.25">
      <c r="A664" s="929" t="s">
        <v>1406</v>
      </c>
      <c r="B664" s="897" t="str">
        <f ca="1">_xlfn.IFNA(_xlfn.CONCAT(SUBSTITUTE(ADDRESS(1,MATCH(A664,INDIRECT("'"&amp;E664&amp;"'"&amp;"!A" &amp; $O$639 + 5 &amp; ":Z" &amp; $O$639 + 5),0),4),1,""),$O$639 + 9),"")</f>
        <v>L84</v>
      </c>
      <c r="C664" s="897" t="str">
        <f t="shared" ca="1" si="104"/>
        <v>L</v>
      </c>
      <c r="D664" s="897" t="s">
        <v>1374</v>
      </c>
      <c r="E664" s="897" t="s">
        <v>1535</v>
      </c>
      <c r="F664" s="1409"/>
      <c r="G664" s="1409"/>
      <c r="H664" s="1409"/>
      <c r="I664" s="857" t="str">
        <f t="shared" si="102"/>
        <v/>
      </c>
      <c r="J664" s="1409"/>
      <c r="K664" s="1409" t="str">
        <f t="shared" si="103"/>
        <v/>
      </c>
      <c r="L664" s="897" t="s">
        <v>1406</v>
      </c>
      <c r="M664" s="1410">
        <v>647</v>
      </c>
      <c r="N664" s="1409"/>
      <c r="O664" s="1408"/>
      <c r="P664" s="1408"/>
      <c r="Q664" s="1408"/>
      <c r="R664" s="1409" t="s">
        <v>855</v>
      </c>
      <c r="S664" s="1408"/>
      <c r="T664" s="1409" t="str">
        <f t="shared" si="105"/>
        <v/>
      </c>
      <c r="U664" s="1408"/>
      <c r="V664" s="1408"/>
      <c r="W664" s="1408"/>
      <c r="X664" s="1408"/>
      <c r="Y664" s="1408"/>
      <c r="Z664" s="1408"/>
      <c r="AA664" s="1408"/>
    </row>
    <row r="665" spans="1:27" x14ac:dyDescent="0.25">
      <c r="A665" s="929" t="s">
        <v>1404</v>
      </c>
      <c r="B665" s="897" t="str">
        <f ca="1">_xlfn.IFNA(_xlfn.CONCAT(SUBSTITUTE(ADDRESS(1,MATCH(A665,INDIRECT("'"&amp;E665&amp;"'"&amp;"!A" &amp; $O$639 + 5 &amp; ":Z" &amp; $O$639 + 5),0),4),1,""),$O$639 + 10),"")</f>
        <v>H85</v>
      </c>
      <c r="C665" s="897" t="str">
        <f t="shared" ca="1" si="104"/>
        <v>H</v>
      </c>
      <c r="D665" s="897" t="s">
        <v>1374</v>
      </c>
      <c r="E665" s="897" t="s">
        <v>1535</v>
      </c>
      <c r="F665" s="1409"/>
      <c r="G665" s="1409"/>
      <c r="H665" s="1409"/>
      <c r="I665" s="857" t="str">
        <f t="shared" si="102"/>
        <v/>
      </c>
      <c r="J665" s="1409" t="str">
        <f t="shared" si="99"/>
        <v/>
      </c>
      <c r="K665" s="1409" t="str">
        <f t="shared" si="103"/>
        <v/>
      </c>
      <c r="L665" s="897" t="s">
        <v>1404</v>
      </c>
      <c r="M665" s="1410">
        <v>648</v>
      </c>
      <c r="N665" s="1409"/>
      <c r="O665" s="1408"/>
      <c r="P665" s="1408"/>
      <c r="Q665" s="1408"/>
      <c r="R665" s="1409" t="s">
        <v>855</v>
      </c>
      <c r="S665" s="1408"/>
      <c r="T665" s="1409" t="str">
        <f t="shared" si="105"/>
        <v/>
      </c>
      <c r="U665" s="1408"/>
      <c r="V665" s="1408"/>
      <c r="W665" s="1408"/>
      <c r="X665" s="1408"/>
      <c r="Y665" s="1408"/>
      <c r="Z665" s="1408"/>
      <c r="AA665" s="1408"/>
    </row>
    <row r="666" spans="1:27" x14ac:dyDescent="0.25">
      <c r="A666" s="929" t="s">
        <v>1405</v>
      </c>
      <c r="B666" s="897" t="str">
        <f ca="1">_xlfn.IFNA(_xlfn.CONCAT(SUBSTITUTE(ADDRESS(1,MATCH(A666,INDIRECT("'"&amp;E666&amp;"'"&amp;"!A" &amp; $O$639 + 5 &amp; ":Z" &amp; $O$639 + 5),0),4),1,""),$O$639 + 10),"")</f>
        <v>J85</v>
      </c>
      <c r="C666" s="897" t="str">
        <f t="shared" ca="1" si="104"/>
        <v>J</v>
      </c>
      <c r="D666" s="897" t="s">
        <v>1374</v>
      </c>
      <c r="E666" s="897" t="s">
        <v>1535</v>
      </c>
      <c r="F666" s="1409"/>
      <c r="G666" s="1409"/>
      <c r="H666" s="1409"/>
      <c r="I666" s="857" t="str">
        <f t="shared" si="102"/>
        <v/>
      </c>
      <c r="J666" s="1409"/>
      <c r="K666" s="1409" t="str">
        <f t="shared" si="103"/>
        <v/>
      </c>
      <c r="L666" s="897" t="s">
        <v>1405</v>
      </c>
      <c r="M666" s="1410">
        <v>649</v>
      </c>
      <c r="N666" s="1409"/>
      <c r="O666" s="1408"/>
      <c r="P666" s="1408"/>
      <c r="Q666" s="1408"/>
      <c r="R666" s="1409" t="s">
        <v>855</v>
      </c>
      <c r="S666" s="1408"/>
      <c r="T666" s="1409" t="str">
        <f t="shared" si="105"/>
        <v/>
      </c>
      <c r="U666" s="1408"/>
      <c r="V666" s="1408"/>
      <c r="W666" s="1408"/>
      <c r="X666" s="1408"/>
      <c r="Y666" s="1408"/>
      <c r="Z666" s="1408"/>
      <c r="AA666" s="1408"/>
    </row>
    <row r="667" spans="1:27" x14ac:dyDescent="0.25">
      <c r="A667" s="929" t="s">
        <v>1406</v>
      </c>
      <c r="B667" s="897" t="str">
        <f ca="1">_xlfn.IFNA(_xlfn.CONCAT(SUBSTITUTE(ADDRESS(1,MATCH(A667,INDIRECT("'"&amp;E667&amp;"'"&amp;"!A" &amp; $O$639 + 5 &amp; ":Z" &amp; $O$639 + 5),0),4),1,""),$O$639 + 10),"")</f>
        <v>L85</v>
      </c>
      <c r="C667" s="897" t="str">
        <f t="shared" ca="1" si="104"/>
        <v>L</v>
      </c>
      <c r="D667" s="897" t="s">
        <v>1374</v>
      </c>
      <c r="E667" s="897" t="s">
        <v>1535</v>
      </c>
      <c r="F667" s="1409"/>
      <c r="G667" s="1409"/>
      <c r="H667" s="1409"/>
      <c r="I667" s="857" t="str">
        <f t="shared" si="102"/>
        <v/>
      </c>
      <c r="J667" s="1409"/>
      <c r="K667" s="1409" t="str">
        <f t="shared" si="103"/>
        <v/>
      </c>
      <c r="L667" s="897" t="s">
        <v>1406</v>
      </c>
      <c r="M667" s="1410">
        <v>650</v>
      </c>
      <c r="N667" s="1409"/>
      <c r="O667" s="1408"/>
      <c r="P667" s="1408"/>
      <c r="Q667" s="1408"/>
      <c r="R667" s="1409" t="s">
        <v>855</v>
      </c>
      <c r="S667" s="1408"/>
      <c r="T667" s="1409" t="str">
        <f t="shared" si="105"/>
        <v/>
      </c>
      <c r="U667" s="1408"/>
      <c r="V667" s="1408"/>
      <c r="W667" s="1408"/>
      <c r="X667" s="1408"/>
      <c r="Y667" s="1408"/>
      <c r="Z667" s="1408"/>
      <c r="AA667" s="1408"/>
    </row>
    <row r="668" spans="1:27" x14ac:dyDescent="0.25">
      <c r="A668" s="929" t="s">
        <v>1527</v>
      </c>
      <c r="B668" s="897" t="str">
        <f ca="1">_xlfn.CONCAT(IFERROR(SUBSTITUTE(ADDRESS(1,MATCH(A668,INDIRECT("'"&amp;E668&amp;"'"&amp;"!A" &amp; $O$639 + 12 &amp; ":Z" &amp; $O$639 + 12),0),4),1,""),""),$O$639 + 12)</f>
        <v>P87</v>
      </c>
      <c r="C668" s="897" t="str">
        <f ca="1">_xlfn.CONCAT(IFERROR(SUBSTITUTE(ADDRESS(1,MATCH(A668,INDIRECT("'"&amp;E668&amp;"'"&amp;"!A" &amp; $O$639 + 12 &amp; ":Z" &amp; $O$639 + 12),0),4),1,""),""),$O$639 + 13)</f>
        <v>P88</v>
      </c>
      <c r="D668" s="897" t="s">
        <v>1367</v>
      </c>
      <c r="E668" s="897" t="s">
        <v>1535</v>
      </c>
      <c r="F668" s="1409" t="s">
        <v>1527</v>
      </c>
      <c r="G668" s="1409" t="str">
        <f>IF(T668&lt;&gt;"","P","")</f>
        <v/>
      </c>
      <c r="H668" s="1409" t="s">
        <v>1926</v>
      </c>
      <c r="I668" s="857" t="str">
        <f t="shared" si="102"/>
        <v/>
      </c>
      <c r="J668" s="1409" t="str">
        <f t="shared" si="99"/>
        <v/>
      </c>
      <c r="K668" s="1409" t="str">
        <f t="shared" si="103"/>
        <v/>
      </c>
      <c r="L668" s="897" t="s">
        <v>1527</v>
      </c>
      <c r="M668" s="1410">
        <v>651</v>
      </c>
      <c r="N668" s="1409"/>
      <c r="O668" s="1408"/>
      <c r="P668" s="1408"/>
      <c r="Q668" s="1408"/>
      <c r="R668" s="1425" t="s">
        <v>855</v>
      </c>
      <c r="S668" s="1408"/>
      <c r="T668" s="1409" t="str">
        <f>IF(Q$639="Yes",6,"")</f>
        <v/>
      </c>
      <c r="U668" s="1408"/>
      <c r="V668" s="1408"/>
      <c r="W668" s="1408"/>
      <c r="X668" s="1408"/>
      <c r="Y668" s="1408"/>
      <c r="Z668" s="1408"/>
      <c r="AA668" s="1408"/>
    </row>
    <row r="669" spans="1:27" x14ac:dyDescent="0.25">
      <c r="A669" s="926" t="s">
        <v>1510</v>
      </c>
      <c r="B669" s="897" t="str">
        <f ca="1">IFERROR(_xlfn.CONCAT("C",MATCH(A669,INDIRECT("'"&amp;E669&amp;"'!C"&amp;$O$670&amp;":C"&amp;$O$672),0)+$O$670-1),"")</f>
        <v>C95</v>
      </c>
      <c r="C669" s="897" t="str">
        <f ca="1">IFERROR(_xlfn.CONCAT("D",MATCH(A669,INDIRECT("'"&amp;E669&amp;"'!C"&amp;$O$670&amp;":C"&amp;$O$672),0)+$O$670-1),"")</f>
        <v>D95</v>
      </c>
      <c r="D669" s="897" t="s">
        <v>1367</v>
      </c>
      <c r="E669" s="897" t="s">
        <v>1535</v>
      </c>
      <c r="F669" s="1409" t="s">
        <v>1510</v>
      </c>
      <c r="G669" s="1409" t="str">
        <f>IF(T669&lt;&gt;"","A","")</f>
        <v/>
      </c>
      <c r="H669" s="1409" t="s">
        <v>1926</v>
      </c>
      <c r="I669" s="857" t="str">
        <f t="shared" si="102"/>
        <v/>
      </c>
      <c r="J669" s="1409"/>
      <c r="K669" s="1409" t="str">
        <f t="shared" si="103"/>
        <v/>
      </c>
      <c r="L669" s="897" t="s">
        <v>1510</v>
      </c>
      <c r="M669" s="1410">
        <v>652</v>
      </c>
      <c r="N669" s="1409"/>
      <c r="O669" s="1408" t="s">
        <v>726</v>
      </c>
      <c r="P669" s="1408"/>
      <c r="Q669" s="1408"/>
      <c r="R669" s="1409" t="s">
        <v>1544</v>
      </c>
      <c r="S669" s="1408"/>
      <c r="T669" s="1409" t="str">
        <f t="shared" ref="T669:T682" si="106">IF(Q$670="Yes",7,"")</f>
        <v/>
      </c>
      <c r="U669" s="1408"/>
      <c r="V669" s="1408"/>
      <c r="W669" s="1408"/>
      <c r="X669" s="1408"/>
      <c r="Y669" s="1408"/>
      <c r="Z669" s="1408"/>
      <c r="AA669" s="1408"/>
    </row>
    <row r="670" spans="1:27" x14ac:dyDescent="0.25">
      <c r="A670" s="926" t="s">
        <v>1724</v>
      </c>
      <c r="B670" s="897" t="str">
        <f ca="1">_xlfn.CONCAT(IFERROR(SUBSTITUTE(ADDRESS(1,MATCH(A670,INDIRECT("'"&amp;E670&amp;"'"&amp;"!A" &amp; $O$670 + 11 &amp; ":Z" &amp; $O$670 + 11),0),4),1,""),""),$O$670 + 11)</f>
        <v>T102</v>
      </c>
      <c r="C670" s="897" t="str">
        <f ca="1">_xlfn.CONCAT(IFERROR(SUBSTITUTE(ADDRESS(1,MATCH(A670,INDIRECT("'"&amp;E670&amp;"'"&amp;"!A" &amp; $O$670 + 11 &amp; ":Z" &amp; $O$670 + 11),0),4),1,""),""),$O$670 + 12)</f>
        <v>T103</v>
      </c>
      <c r="D670" s="897" t="s">
        <v>1367</v>
      </c>
      <c r="E670" s="897" t="s">
        <v>1535</v>
      </c>
      <c r="F670" s="1409"/>
      <c r="G670" s="1409"/>
      <c r="H670" s="1409"/>
      <c r="I670" s="857" t="str">
        <f t="shared" si="102"/>
        <v/>
      </c>
      <c r="J670" s="1409" t="str">
        <f t="shared" ref="J670:J684" si="107">IF(M670&lt;&gt;"",IF($Q$670="Yes",Q$1&amp;M670,""))</f>
        <v/>
      </c>
      <c r="K670" s="1409" t="str">
        <f t="shared" si="103"/>
        <v/>
      </c>
      <c r="L670" s="897" t="s">
        <v>1724</v>
      </c>
      <c r="M670" s="1410">
        <v>653</v>
      </c>
      <c r="N670" s="1409"/>
      <c r="O670" s="1408">
        <f>'Configurable Tab'!H9</f>
        <v>91</v>
      </c>
      <c r="P670" s="1408">
        <f>'Configurable Tab'!J9</f>
        <v>0</v>
      </c>
      <c r="Q670" s="1408" t="s">
        <v>649</v>
      </c>
      <c r="R670" s="1409" t="s">
        <v>1544</v>
      </c>
      <c r="S670" s="1408"/>
      <c r="T670" s="1409" t="str">
        <f t="shared" si="106"/>
        <v/>
      </c>
      <c r="U670" s="1408"/>
      <c r="V670" s="1408"/>
      <c r="W670" s="1408"/>
      <c r="X670" s="1408"/>
      <c r="Y670" s="1408"/>
      <c r="Z670" s="1408"/>
      <c r="AA670" s="1408"/>
    </row>
    <row r="671" spans="1:27" x14ac:dyDescent="0.25">
      <c r="A671" s="926" t="s">
        <v>1400</v>
      </c>
      <c r="B671" s="897" t="str">
        <f ca="1">IFERROR(_xlfn.CONCAT("C",MATCH(A671,INDIRECT("'"&amp;E671&amp;"'!C"&amp;$O$670&amp;":C"&amp;$O$672),0)+$O$670-1),"")</f>
        <v>C93</v>
      </c>
      <c r="C671" s="897" t="str">
        <f ca="1">IFERROR(_xlfn.CONCAT("D",MATCH(A671,INDIRECT("'"&amp;E671&amp;"'!C"&amp;$O$670&amp;":C"&amp;$O$672),0)+$O$670-1),"")</f>
        <v>D93</v>
      </c>
      <c r="D671" s="897" t="s">
        <v>1367</v>
      </c>
      <c r="E671" s="897" t="s">
        <v>1535</v>
      </c>
      <c r="F671" s="1409" t="s">
        <v>1400</v>
      </c>
      <c r="G671" s="1409" t="str">
        <f>IF(T671&lt;&gt;"","B","")</f>
        <v/>
      </c>
      <c r="H671" s="1409" t="s">
        <v>1926</v>
      </c>
      <c r="I671" s="857" t="str">
        <f t="shared" si="102"/>
        <v/>
      </c>
      <c r="J671" s="1409"/>
      <c r="K671" s="1409" t="str">
        <f t="shared" si="103"/>
        <v/>
      </c>
      <c r="L671" s="897" t="s">
        <v>1400</v>
      </c>
      <c r="M671" s="1410">
        <v>654</v>
      </c>
      <c r="N671" s="1409"/>
      <c r="O671" s="1408" t="s">
        <v>727</v>
      </c>
      <c r="P671" s="1408"/>
      <c r="Q671" s="1408"/>
      <c r="R671" s="1409" t="s">
        <v>1544</v>
      </c>
      <c r="S671" s="1408"/>
      <c r="T671" s="1409" t="str">
        <f t="shared" si="106"/>
        <v/>
      </c>
      <c r="U671" s="1408"/>
      <c r="V671" s="1408"/>
      <c r="W671" s="1408"/>
      <c r="X671" s="1408"/>
      <c r="Y671" s="1408"/>
      <c r="Z671" s="1408"/>
      <c r="AA671" s="1408"/>
    </row>
    <row r="672" spans="1:27" x14ac:dyDescent="0.25">
      <c r="A672" s="926" t="s">
        <v>1397</v>
      </c>
      <c r="B672" s="897" t="str">
        <f t="shared" ref="B672:B678" ca="1" si="108">_xlfn.CONCAT(IFERROR(SUBSTITUTE(ADDRESS(1,MATCH(A672,INDIRECT("'"&amp;E672&amp;"'"&amp;"!A" &amp; $O$670 + 2 &amp; ":Z" &amp; $O$670 + 2),0),4),1,""),""),$O$670 + 2)</f>
        <v>H93</v>
      </c>
      <c r="C672" s="897" t="str">
        <f t="shared" ref="C672:C678" ca="1" si="109">_xlfn.CONCAT(IFERROR(SUBSTITUTE(ADDRESS(1,MATCH(A672,INDIRECT("'"&amp;E672&amp;"'"&amp;"!A" &amp; $O$670 + 2 &amp; ":Z" &amp; $O$670 + 2),0),4),1,""),""),$O$670 + 3)</f>
        <v>H94</v>
      </c>
      <c r="D672" s="897" t="s">
        <v>1367</v>
      </c>
      <c r="E672" s="897" t="s">
        <v>1535</v>
      </c>
      <c r="F672" s="1409" t="s">
        <v>1927</v>
      </c>
      <c r="G672" s="1409" t="str">
        <f>IF(T672&lt;&gt;"","E","")</f>
        <v/>
      </c>
      <c r="H672" s="1409" t="s">
        <v>1926</v>
      </c>
      <c r="I672" s="857" t="str">
        <f t="shared" si="102"/>
        <v/>
      </c>
      <c r="J672" s="1409" t="str">
        <f t="shared" si="107"/>
        <v/>
      </c>
      <c r="K672" s="1409" t="str">
        <f t="shared" si="103"/>
        <v/>
      </c>
      <c r="L672" s="897" t="s">
        <v>1397</v>
      </c>
      <c r="M672" s="1410">
        <v>655</v>
      </c>
      <c r="N672" s="1409"/>
      <c r="O672" s="1408">
        <f>'Configurable Tab'!I9</f>
        <v>104</v>
      </c>
      <c r="P672" s="1408"/>
      <c r="Q672" s="1408"/>
      <c r="R672" s="1409" t="s">
        <v>1544</v>
      </c>
      <c r="S672" s="1408"/>
      <c r="T672" s="1409" t="str">
        <f t="shared" si="106"/>
        <v/>
      </c>
      <c r="U672" s="1408"/>
      <c r="V672" s="1408"/>
      <c r="W672" s="1408"/>
      <c r="X672" s="1408"/>
      <c r="Y672" s="1408"/>
      <c r="Z672" s="1408"/>
      <c r="AA672" s="1408"/>
    </row>
    <row r="673" spans="1:27" x14ac:dyDescent="0.25">
      <c r="A673" s="926" t="s">
        <v>1398</v>
      </c>
      <c r="B673" s="897" t="str">
        <f t="shared" ca="1" si="108"/>
        <v>J93</v>
      </c>
      <c r="C673" s="897" t="str">
        <f t="shared" ca="1" si="109"/>
        <v>J94</v>
      </c>
      <c r="D673" s="897" t="s">
        <v>1367</v>
      </c>
      <c r="E673" s="897" t="s">
        <v>1535</v>
      </c>
      <c r="F673" s="1409" t="s">
        <v>1928</v>
      </c>
      <c r="G673" s="1409" t="str">
        <f>IF(T673&lt;&gt;"","I","")</f>
        <v/>
      </c>
      <c r="H673" s="1409" t="s">
        <v>1926</v>
      </c>
      <c r="I673" s="857" t="str">
        <f t="shared" si="102"/>
        <v/>
      </c>
      <c r="J673" s="1409" t="str">
        <f t="shared" si="107"/>
        <v/>
      </c>
      <c r="K673" s="1409" t="str">
        <f t="shared" si="103"/>
        <v/>
      </c>
      <c r="L673" s="897" t="s">
        <v>1398</v>
      </c>
      <c r="M673" s="1410">
        <v>656</v>
      </c>
      <c r="N673" s="1409"/>
      <c r="O673" s="1408" t="s">
        <v>1657</v>
      </c>
      <c r="P673" s="1408"/>
      <c r="Q673" s="1408" t="s">
        <v>482</v>
      </c>
      <c r="R673" s="1409" t="s">
        <v>1544</v>
      </c>
      <c r="S673" s="1408"/>
      <c r="T673" s="1409" t="str">
        <f t="shared" si="106"/>
        <v/>
      </c>
      <c r="U673" s="1408"/>
      <c r="V673" s="1408"/>
      <c r="W673" s="1408"/>
      <c r="X673" s="1408"/>
      <c r="Y673" s="1408"/>
      <c r="Z673" s="1408"/>
      <c r="AA673" s="1408"/>
    </row>
    <row r="674" spans="1:27" x14ac:dyDescent="0.25">
      <c r="A674" s="926" t="s">
        <v>1414</v>
      </c>
      <c r="B674" s="897" t="str">
        <f t="shared" ca="1" si="108"/>
        <v>L93</v>
      </c>
      <c r="C674" s="897" t="str">
        <f t="shared" ca="1" si="109"/>
        <v>L94</v>
      </c>
      <c r="D674" s="897" t="s">
        <v>1367</v>
      </c>
      <c r="E674" s="897" t="s">
        <v>1535</v>
      </c>
      <c r="F674" s="1409" t="s">
        <v>1929</v>
      </c>
      <c r="G674" s="1409" t="str">
        <f>IF(T674&lt;&gt;"","H","")</f>
        <v/>
      </c>
      <c r="H674" s="1409" t="s">
        <v>1926</v>
      </c>
      <c r="I674" s="857" t="str">
        <f t="shared" si="102"/>
        <v/>
      </c>
      <c r="J674" s="1409" t="str">
        <f t="shared" si="107"/>
        <v/>
      </c>
      <c r="K674" s="1409" t="str">
        <f t="shared" si="103"/>
        <v/>
      </c>
      <c r="L674" s="897" t="s">
        <v>1414</v>
      </c>
      <c r="M674" s="1410">
        <v>657</v>
      </c>
      <c r="N674" s="1409"/>
      <c r="O674" s="1408"/>
      <c r="P674" s="1408"/>
      <c r="Q674" s="1408"/>
      <c r="R674" s="1409" t="s">
        <v>1544</v>
      </c>
      <c r="S674" s="1408"/>
      <c r="T674" s="1409" t="str">
        <f t="shared" si="106"/>
        <v/>
      </c>
      <c r="U674" s="1408"/>
      <c r="V674" s="1408"/>
      <c r="W674" s="1408"/>
      <c r="X674" s="1408"/>
      <c r="Y674" s="1408"/>
      <c r="Z674" s="1408"/>
      <c r="AA674" s="1408"/>
    </row>
    <row r="675" spans="1:27" x14ac:dyDescent="0.25">
      <c r="A675" s="926" t="s">
        <v>1399</v>
      </c>
      <c r="B675" s="897" t="str">
        <f t="shared" ca="1" si="108"/>
        <v>N93</v>
      </c>
      <c r="C675" s="897" t="str">
        <f t="shared" ca="1" si="109"/>
        <v>N94</v>
      </c>
      <c r="D675" s="897" t="s">
        <v>1367</v>
      </c>
      <c r="E675" s="897" t="s">
        <v>1535</v>
      </c>
      <c r="F675" s="1409" t="s">
        <v>1399</v>
      </c>
      <c r="G675" s="1409" t="str">
        <f>IF(T675&lt;&gt;"",IF(Q673="Credit Memo","J",IF(Q673="Check","K","")),"")</f>
        <v/>
      </c>
      <c r="H675" s="1409" t="s">
        <v>1926</v>
      </c>
      <c r="I675" s="857" t="str">
        <f t="shared" si="102"/>
        <v/>
      </c>
      <c r="J675" s="1409" t="str">
        <f t="shared" si="107"/>
        <v/>
      </c>
      <c r="K675" s="1409" t="str">
        <f t="shared" si="103"/>
        <v/>
      </c>
      <c r="L675" s="897" t="s">
        <v>1399</v>
      </c>
      <c r="M675" s="1410">
        <v>658</v>
      </c>
      <c r="N675" s="1409"/>
      <c r="O675" s="1408"/>
      <c r="P675" s="1408"/>
      <c r="Q675" s="1408"/>
      <c r="R675" s="1409" t="s">
        <v>1544</v>
      </c>
      <c r="S675" s="1408"/>
      <c r="T675" s="1409" t="str">
        <f t="shared" si="106"/>
        <v/>
      </c>
      <c r="U675" s="1408"/>
      <c r="V675" s="1408"/>
      <c r="W675" s="1408"/>
      <c r="X675" s="1408"/>
      <c r="Y675" s="1408"/>
      <c r="Z675" s="1408"/>
      <c r="AA675" s="1408"/>
    </row>
    <row r="676" spans="1:27" x14ac:dyDescent="0.25">
      <c r="A676" s="926" t="s">
        <v>1505</v>
      </c>
      <c r="B676" s="897" t="str">
        <f t="shared" ca="1" si="108"/>
        <v>P93</v>
      </c>
      <c r="C676" s="897" t="str">
        <f t="shared" ca="1" si="109"/>
        <v>P94</v>
      </c>
      <c r="D676" s="897" t="s">
        <v>1367</v>
      </c>
      <c r="E676" s="897" t="s">
        <v>1535</v>
      </c>
      <c r="F676" s="1409" t="s">
        <v>1930</v>
      </c>
      <c r="G676" s="1409" t="str">
        <f>IF(T676&lt;&gt;"","F","")</f>
        <v/>
      </c>
      <c r="H676" s="1409" t="s">
        <v>1926</v>
      </c>
      <c r="I676" s="857" t="str">
        <f t="shared" si="102"/>
        <v/>
      </c>
      <c r="J676" s="1409" t="str">
        <f t="shared" si="107"/>
        <v/>
      </c>
      <c r="K676" s="1409" t="str">
        <f t="shared" si="103"/>
        <v/>
      </c>
      <c r="L676" s="897" t="s">
        <v>1505</v>
      </c>
      <c r="M676" s="1410">
        <v>659</v>
      </c>
      <c r="N676" s="1409"/>
      <c r="O676" s="1408"/>
      <c r="P676" s="1408"/>
      <c r="Q676" s="1408"/>
      <c r="R676" s="1409" t="s">
        <v>1544</v>
      </c>
      <c r="S676" s="1408"/>
      <c r="T676" s="1409" t="str">
        <f t="shared" si="106"/>
        <v/>
      </c>
      <c r="U676" s="1408"/>
      <c r="V676" s="1408"/>
      <c r="W676" s="1408"/>
      <c r="X676" s="1408"/>
      <c r="Y676" s="1408"/>
      <c r="Z676" s="1408"/>
      <c r="AA676" s="1408"/>
    </row>
    <row r="677" spans="1:27" x14ac:dyDescent="0.25">
      <c r="A677" s="926" t="s">
        <v>1506</v>
      </c>
      <c r="B677" s="897" t="str">
        <f t="shared" ca="1" si="108"/>
        <v>R93</v>
      </c>
      <c r="C677" s="897" t="str">
        <f t="shared" ca="1" si="109"/>
        <v>R94</v>
      </c>
      <c r="D677" s="897" t="s">
        <v>1367</v>
      </c>
      <c r="E677" s="897" t="s">
        <v>1535</v>
      </c>
      <c r="F677" s="1409" t="s">
        <v>1931</v>
      </c>
      <c r="G677" s="1409" t="str">
        <f>IF(T677&lt;&gt;"","G","")</f>
        <v/>
      </c>
      <c r="H677" s="1409" t="s">
        <v>1926</v>
      </c>
      <c r="I677" s="857" t="str">
        <f t="shared" si="102"/>
        <v/>
      </c>
      <c r="J677" s="1409" t="str">
        <f t="shared" si="107"/>
        <v/>
      </c>
      <c r="K677" s="1409" t="str">
        <f t="shared" si="103"/>
        <v/>
      </c>
      <c r="L677" s="897" t="s">
        <v>1506</v>
      </c>
      <c r="M677" s="1410">
        <v>660</v>
      </c>
      <c r="N677" s="1409"/>
      <c r="O677" s="1408"/>
      <c r="P677" s="1408"/>
      <c r="Q677" s="1408"/>
      <c r="R677" s="1409" t="s">
        <v>1544</v>
      </c>
      <c r="S677" s="1408"/>
      <c r="T677" s="1409" t="str">
        <f t="shared" si="106"/>
        <v/>
      </c>
      <c r="U677" s="1408"/>
      <c r="V677" s="1408"/>
      <c r="W677" s="1408"/>
      <c r="X677" s="1408"/>
      <c r="Y677" s="1408"/>
      <c r="Z677" s="1408"/>
      <c r="AA677" s="1408"/>
    </row>
    <row r="678" spans="1:27" x14ac:dyDescent="0.25">
      <c r="A678" s="926" t="s">
        <v>1507</v>
      </c>
      <c r="B678" s="897" t="str">
        <f t="shared" ca="1" si="108"/>
        <v>T93</v>
      </c>
      <c r="C678" s="897" t="str">
        <f t="shared" ca="1" si="109"/>
        <v>T94</v>
      </c>
      <c r="D678" s="897" t="s">
        <v>1367</v>
      </c>
      <c r="E678" s="897" t="s">
        <v>1535</v>
      </c>
      <c r="F678" s="919" t="s">
        <v>1507</v>
      </c>
      <c r="G678" s="1409" t="str">
        <f>IF(T678&lt;&gt;"","AW","")</f>
        <v/>
      </c>
      <c r="H678" s="1409" t="s">
        <v>1926</v>
      </c>
      <c r="I678" s="857" t="str">
        <f t="shared" si="102"/>
        <v/>
      </c>
      <c r="J678" s="1409" t="str">
        <f t="shared" si="107"/>
        <v/>
      </c>
      <c r="K678" s="1409" t="str">
        <f t="shared" si="103"/>
        <v/>
      </c>
      <c r="L678" s="897" t="s">
        <v>1507</v>
      </c>
      <c r="M678" s="1410">
        <v>661</v>
      </c>
      <c r="N678" s="1409"/>
      <c r="O678" s="1408"/>
      <c r="P678" s="1408"/>
      <c r="Q678" s="1408"/>
      <c r="R678" s="1409" t="s">
        <v>1544</v>
      </c>
      <c r="S678" s="1408"/>
      <c r="T678" s="1409" t="str">
        <f t="shared" si="106"/>
        <v/>
      </c>
      <c r="U678" s="1408"/>
      <c r="V678" s="1408"/>
      <c r="W678" s="1408"/>
      <c r="X678" s="1408"/>
      <c r="Y678" s="1408"/>
      <c r="Z678" s="1408"/>
      <c r="AA678" s="1408"/>
    </row>
    <row r="679" spans="1:27" x14ac:dyDescent="0.25">
      <c r="A679" s="926" t="s">
        <v>1402</v>
      </c>
      <c r="B679" s="897" t="str">
        <f ca="1">IFERROR(_xlfn.CONCAT("C",MATCH(A679,INDIRECT("'"&amp;E679&amp;"'!C"&amp;$O$670&amp;":C"&amp;$O$672),0)+$O$670-1),"")</f>
        <v>C97</v>
      </c>
      <c r="C679" s="897" t="str">
        <f ca="1">IFERROR(_xlfn.CONCAT("D",MATCH(A679,INDIRECT("'"&amp;E679&amp;"'!C"&amp;$O$670&amp;":C"&amp;$O$672),0)+$O$670-1),"")</f>
        <v>D97</v>
      </c>
      <c r="D679" s="897" t="s">
        <v>1367</v>
      </c>
      <c r="E679" s="897" t="s">
        <v>1535</v>
      </c>
      <c r="F679" s="1409" t="s">
        <v>1402</v>
      </c>
      <c r="G679" s="1409" t="str">
        <f>IF(T679&lt;&gt;"","C","")</f>
        <v/>
      </c>
      <c r="H679" s="1409" t="s">
        <v>1926</v>
      </c>
      <c r="I679" s="857" t="str">
        <f t="shared" si="102"/>
        <v/>
      </c>
      <c r="J679" s="1409"/>
      <c r="K679" s="1409" t="str">
        <f t="shared" si="103"/>
        <v/>
      </c>
      <c r="L679" s="897" t="s">
        <v>1402</v>
      </c>
      <c r="M679" s="1410">
        <v>662</v>
      </c>
      <c r="N679" s="1409"/>
      <c r="O679" s="1408"/>
      <c r="P679" s="1408"/>
      <c r="Q679" s="1408"/>
      <c r="R679" s="1409" t="s">
        <v>1544</v>
      </c>
      <c r="S679" s="1408"/>
      <c r="T679" s="1409" t="str">
        <f t="shared" si="106"/>
        <v/>
      </c>
      <c r="U679" s="1408"/>
      <c r="V679" s="1408"/>
      <c r="W679" s="1408"/>
      <c r="X679" s="1408"/>
      <c r="Y679" s="1408"/>
      <c r="Z679" s="1408"/>
      <c r="AA679" s="1408"/>
    </row>
    <row r="680" spans="1:27" x14ac:dyDescent="0.25">
      <c r="A680" s="926" t="s">
        <v>1403</v>
      </c>
      <c r="B680" s="897" t="str">
        <f ca="1">IFERROR(_xlfn.CONCAT("C",MATCH(A680,INDIRECT("'"&amp;E680&amp;"'!C"&amp;$O$670&amp;":C"&amp;$O$672),0)+$O$670-1),"")</f>
        <v>C99</v>
      </c>
      <c r="C680" s="897" t="str">
        <f ca="1">IFERROR(_xlfn.CONCAT("D",MATCH(A680,INDIRECT("'"&amp;E680&amp;"'!C"&amp;$O$670&amp;":C"&amp;$O$672),0)+$O$670-1),"")</f>
        <v>D99</v>
      </c>
      <c r="D680" s="897" t="s">
        <v>1367</v>
      </c>
      <c r="E680" s="897" t="s">
        <v>1535</v>
      </c>
      <c r="F680" s="1409" t="s">
        <v>1403</v>
      </c>
      <c r="G680" s="1409" t="str">
        <f>IF(T680&lt;&gt;"","D","")</f>
        <v/>
      </c>
      <c r="H680" s="1409" t="s">
        <v>1926</v>
      </c>
      <c r="I680" s="857" t="str">
        <f t="shared" si="102"/>
        <v/>
      </c>
      <c r="J680" s="1409"/>
      <c r="K680" s="1409" t="str">
        <f t="shared" si="103"/>
        <v/>
      </c>
      <c r="L680" s="897" t="s">
        <v>1403</v>
      </c>
      <c r="M680" s="1410">
        <v>663</v>
      </c>
      <c r="N680" s="1409"/>
      <c r="O680" s="1408"/>
      <c r="P680" s="1408"/>
      <c r="Q680" s="1408"/>
      <c r="R680" s="1409" t="s">
        <v>1544</v>
      </c>
      <c r="S680" s="1408"/>
      <c r="T680" s="1409" t="str">
        <f t="shared" si="106"/>
        <v/>
      </c>
      <c r="U680" s="1408"/>
      <c r="V680" s="1408"/>
      <c r="W680" s="1408"/>
      <c r="X680" s="1408"/>
      <c r="Y680" s="1408"/>
      <c r="Z680" s="1408"/>
      <c r="AA680" s="1408"/>
    </row>
    <row r="681" spans="1:27" x14ac:dyDescent="0.25">
      <c r="A681" s="926" t="s">
        <v>1514</v>
      </c>
      <c r="B681" s="897" t="str">
        <f ca="1">IFERROR(_xlfn.CONCAT("C",MATCH(A681,INDIRECT("'"&amp;E681&amp;"'!C"&amp;$O$670&amp;":C"&amp;$O$672),0)+$O$670-1),"")</f>
        <v>C101</v>
      </c>
      <c r="C681" s="897" t="str">
        <f ca="1">IFERROR(_xlfn.CONCAT("D",MATCH(A681,INDIRECT("'"&amp;E681&amp;"'!C"&amp;$O$670&amp;":C"&amp;$O$672),0)+$O$670-1),"")</f>
        <v>D101</v>
      </c>
      <c r="D681" s="897" t="s">
        <v>1367</v>
      </c>
      <c r="E681" s="897" t="s">
        <v>1535</v>
      </c>
      <c r="F681" s="1409" t="s">
        <v>1514</v>
      </c>
      <c r="G681" s="1409" t="str">
        <f>IF(T681&lt;&gt;"","AN","")</f>
        <v/>
      </c>
      <c r="H681" s="1409" t="s">
        <v>1926</v>
      </c>
      <c r="I681" s="857" t="str">
        <f t="shared" si="102"/>
        <v/>
      </c>
      <c r="J681" s="1409" t="str">
        <f t="shared" si="107"/>
        <v/>
      </c>
      <c r="K681" s="1409" t="str">
        <f t="shared" si="103"/>
        <v/>
      </c>
      <c r="L681" s="897" t="s">
        <v>1514</v>
      </c>
      <c r="M681" s="1410">
        <v>664</v>
      </c>
      <c r="N681" s="1409"/>
      <c r="O681" s="1408"/>
      <c r="P681" s="1409" t="str" cm="1">
        <f t="array" aca="1" ref="P681" ca="1">_xlfn.CONCAT("F",RIGHT(B681, LEN(B681) - MAX(IF(ISNUMBER(MID(B681, ROW(INDIRECT("1:"&amp;LEN(B681))), 1) *1)=FALSE, ROW(INDIRECT("1:"&amp;LEN(B681))), 0))))</f>
        <v>F101</v>
      </c>
      <c r="Q681" s="1409" t="str" cm="1">
        <f t="array" aca="1" ref="Q681" ca="1">_xlfn.CONCAT("E",RIGHT(C681, LEN(C681) - MAX(IF(ISNUMBER(MID(C681, ROW(INDIRECT("1:"&amp;LEN(C681))), 1) *1)=FALSE, ROW(INDIRECT("1:"&amp;LEN(C681))), 0))))</f>
        <v>E101</v>
      </c>
      <c r="R681" s="1409" t="s">
        <v>1544</v>
      </c>
      <c r="S681" s="1408"/>
      <c r="T681" s="1409" t="str">
        <f t="shared" si="106"/>
        <v/>
      </c>
      <c r="U681" s="1408"/>
      <c r="V681" s="1408"/>
      <c r="W681" s="1408"/>
      <c r="X681" s="1408"/>
      <c r="Y681" s="1408"/>
      <c r="Z681" s="1408"/>
      <c r="AA681" s="1408"/>
    </row>
    <row r="682" spans="1:27" x14ac:dyDescent="0.25">
      <c r="A682" s="926" t="s">
        <v>1511</v>
      </c>
      <c r="B682" s="897" t="str">
        <f ca="1">_xlfn.CONCAT(IFERROR(SUBSTITUTE(ADDRESS(1,MATCH(A682,INDIRECT("'"&amp;E682&amp;"'"&amp;"!A" &amp; $O$670 + 8 &amp; ":Z" &amp; $O$670 + 8),0),4),1,""),""),$O$670 + 8)</f>
        <v>H99</v>
      </c>
      <c r="C682" s="897" t="str">
        <f ca="1">_xlfn.CONCAT(IFERROR(SUBSTITUTE(ADDRESS(1,MATCH(A682,INDIRECT("'"&amp;E682&amp;"'"&amp;"!A" &amp; $O$670 + 8 &amp; ":Z" &amp; $O$670 + 8),0),4),1,""),""),$O$670 + 9)</f>
        <v>H100</v>
      </c>
      <c r="D682" s="897" t="s">
        <v>1367</v>
      </c>
      <c r="E682" s="897" t="s">
        <v>1535</v>
      </c>
      <c r="F682" s="1409" t="s">
        <v>1511</v>
      </c>
      <c r="G682" s="1409" t="str">
        <f>IF(T682&lt;&gt;"","AL","")</f>
        <v/>
      </c>
      <c r="H682" s="1409" t="s">
        <v>1926</v>
      </c>
      <c r="I682" s="857" t="str">
        <f t="shared" si="102"/>
        <v/>
      </c>
      <c r="J682" s="1409" t="str">
        <f t="shared" si="107"/>
        <v/>
      </c>
      <c r="K682" s="1409" t="str">
        <f t="shared" si="103"/>
        <v/>
      </c>
      <c r="L682" s="897" t="s">
        <v>1511</v>
      </c>
      <c r="M682" s="1410">
        <v>665</v>
      </c>
      <c r="N682" s="1409"/>
      <c r="O682" s="1408"/>
      <c r="P682" s="1408"/>
      <c r="Q682" s="1408"/>
      <c r="R682" s="1409" t="s">
        <v>1544</v>
      </c>
      <c r="S682" s="1408"/>
      <c r="T682" s="1409" t="str">
        <f t="shared" si="106"/>
        <v/>
      </c>
      <c r="U682" s="1408"/>
      <c r="V682" s="1408"/>
      <c r="W682" s="1408"/>
      <c r="X682" s="1408"/>
      <c r="Y682" s="1408"/>
      <c r="Z682" s="1408"/>
      <c r="AA682" s="1408"/>
    </row>
    <row r="683" spans="1:27" x14ac:dyDescent="0.25">
      <c r="A683" s="926" t="s">
        <v>1525</v>
      </c>
      <c r="B683" s="897" t="str">
        <f ca="1">_xlfn.CONCAT(IFERROR(SUBSTITUTE(ADDRESS(1,MATCH(A683,INDIRECT("'"&amp;E683&amp;"'"&amp;"!A" &amp; $O$670 + 8 &amp; ":Z" &amp; $O$670 + 8),0),4),1,""),""),$O$670 + 8)</f>
        <v>J99</v>
      </c>
      <c r="C683" s="897" t="str">
        <f ca="1">_xlfn.CONCAT(IFERROR(SUBSTITUTE(ADDRESS(1,MATCH(A683,INDIRECT("'"&amp;E683&amp;"'"&amp;"!A" &amp; $O$670 + 8 &amp; ":Z" &amp; $O$670 + 8),0),4),1,""),""),$O$670 + 9)</f>
        <v>J100</v>
      </c>
      <c r="D683" s="897" t="s">
        <v>1367</v>
      </c>
      <c r="E683" s="897" t="s">
        <v>1535</v>
      </c>
      <c r="F683" s="1409" t="s">
        <v>1932</v>
      </c>
      <c r="G683" s="1409" t="str">
        <f>IF(T683&lt;&gt;"","L","")</f>
        <v/>
      </c>
      <c r="H683" s="1409" t="s">
        <v>1926</v>
      </c>
      <c r="I683" s="857" t="str">
        <f t="shared" si="102"/>
        <v/>
      </c>
      <c r="J683" s="1409" t="str">
        <f t="shared" si="107"/>
        <v/>
      </c>
      <c r="K683" s="1409" t="str">
        <f t="shared" si="103"/>
        <v/>
      </c>
      <c r="L683" s="897" t="s">
        <v>1525</v>
      </c>
      <c r="M683" s="1410">
        <v>666</v>
      </c>
      <c r="N683" s="1409"/>
      <c r="O683" s="1408"/>
      <c r="P683" s="1408"/>
      <c r="Q683" s="1408"/>
      <c r="R683" s="1409" t="s">
        <v>1544</v>
      </c>
      <c r="S683" s="1408"/>
      <c r="T683" s="1409" t="str">
        <f>IF(Q$670="Yes",7,"")</f>
        <v/>
      </c>
      <c r="U683" s="1408"/>
      <c r="V683" s="1408"/>
      <c r="W683" s="1408"/>
      <c r="X683" s="1408"/>
      <c r="Y683" s="1408"/>
      <c r="Z683" s="1408"/>
      <c r="AA683" s="1408"/>
    </row>
    <row r="684" spans="1:27" x14ac:dyDescent="0.25">
      <c r="A684" s="926" t="s">
        <v>1404</v>
      </c>
      <c r="B684" s="897" t="str">
        <f ca="1">_xlfn.CONCAT(IFERROR(SUBSTITUTE(ADDRESS(1,MATCH(A684,INDIRECT("'"&amp;E684&amp;"'"&amp;"!A" &amp; $O$670 + 5 &amp; ":Z" &amp; $O$670 + 5),0),4),1,""),""),$O$670 + 5)</f>
        <v>H96</v>
      </c>
      <c r="C684" s="897" t="str">
        <f ca="1">_xlfn.CONCAT(IFERROR(SUBSTITUTE(ADDRESS(1,MATCH(A684,INDIRECT("'"&amp;E684&amp;"'"&amp;"!A" &amp; $O$670 + 5 &amp; ":Z" &amp; $O$670 + 5),0),4),1,""),""),$O$670 + 6)</f>
        <v>H97</v>
      </c>
      <c r="D684" s="897" t="s">
        <v>1367</v>
      </c>
      <c r="E684" s="897" t="s">
        <v>1535</v>
      </c>
      <c r="F684" s="919" t="s">
        <v>1404</v>
      </c>
      <c r="G684" s="1409" t="str">
        <f>IF(T684&lt;&gt;"","AH","")</f>
        <v/>
      </c>
      <c r="H684" s="1409" t="s">
        <v>1926</v>
      </c>
      <c r="I684" s="857" t="str">
        <f t="shared" si="102"/>
        <v/>
      </c>
      <c r="J684" s="1409" t="str">
        <f t="shared" si="107"/>
        <v/>
      </c>
      <c r="K684" s="1409" t="str">
        <f t="shared" si="103"/>
        <v/>
      </c>
      <c r="L684" s="897" t="s">
        <v>1404</v>
      </c>
      <c r="M684" s="1410">
        <v>667</v>
      </c>
      <c r="N684" s="1409"/>
      <c r="O684" s="1408"/>
      <c r="P684" s="1408"/>
      <c r="Q684" s="1408"/>
      <c r="R684" s="1409" t="s">
        <v>1544</v>
      </c>
      <c r="S684" s="1408"/>
      <c r="T684" s="1409" t="str">
        <f t="shared" ref="T684:T686" si="110">IF(Q$670="Yes",7,"")</f>
        <v/>
      </c>
      <c r="U684" s="1408"/>
      <c r="V684" s="1408"/>
      <c r="W684" s="1408"/>
      <c r="X684" s="1408"/>
      <c r="Y684" s="1408"/>
      <c r="Z684" s="1408"/>
      <c r="AA684" s="1408"/>
    </row>
    <row r="685" spans="1:27" x14ac:dyDescent="0.25">
      <c r="A685" s="926" t="s">
        <v>1405</v>
      </c>
      <c r="B685" s="897" t="str">
        <f ca="1">_xlfn.CONCAT(IFERROR(SUBSTITUTE(ADDRESS(1,MATCH(A685,INDIRECT("'"&amp;E685&amp;"'"&amp;"!A" &amp; $O$670 + 5 &amp; ":Z" &amp; $O$670 + 5),0),4),1,""),""),$O$670 + 5)</f>
        <v>J96</v>
      </c>
      <c r="C685" s="897" t="str">
        <f ca="1">_xlfn.CONCAT(IFERROR(SUBSTITUTE(ADDRESS(1,MATCH(A685,INDIRECT("'"&amp;E685&amp;"'"&amp;"!A" &amp; $O$670 + 5 &amp; ":Z" &amp; $O$670 + 5),0),4),1,""),""),$O$670 + 6)</f>
        <v>J97</v>
      </c>
      <c r="D685" s="897" t="s">
        <v>1367</v>
      </c>
      <c r="E685" s="897" t="s">
        <v>1535</v>
      </c>
      <c r="F685" s="919"/>
      <c r="G685" s="1409"/>
      <c r="H685" s="1409"/>
      <c r="I685" s="857" t="str">
        <f t="shared" si="102"/>
        <v/>
      </c>
      <c r="J685" s="1409"/>
      <c r="K685" s="1409" t="str">
        <f t="shared" si="103"/>
        <v/>
      </c>
      <c r="L685" s="897" t="s">
        <v>1405</v>
      </c>
      <c r="M685" s="1410">
        <v>668</v>
      </c>
      <c r="N685" s="1409"/>
      <c r="O685" s="1408"/>
      <c r="P685" s="1408"/>
      <c r="Q685" s="1408"/>
      <c r="R685" s="1409" t="s">
        <v>1544</v>
      </c>
      <c r="S685" s="1408"/>
      <c r="T685" s="1409" t="str">
        <f t="shared" si="110"/>
        <v/>
      </c>
      <c r="U685" s="1408"/>
      <c r="V685" s="1408"/>
      <c r="W685" s="1408"/>
      <c r="X685" s="1408"/>
      <c r="Y685" s="1408"/>
      <c r="Z685" s="1408"/>
      <c r="AA685" s="1408"/>
    </row>
    <row r="686" spans="1:27" x14ac:dyDescent="0.25">
      <c r="A686" s="926" t="s">
        <v>1406</v>
      </c>
      <c r="B686" s="897" t="str">
        <f ca="1">_xlfn.CONCAT(IFERROR(SUBSTITUTE(ADDRESS(1,MATCH(A686,INDIRECT("'"&amp;E686&amp;"'"&amp;"!A" &amp; $O$670 + 5 &amp; ":Z" &amp; $O$670 + 5),0),4),1,""),""),$O$670 + 5)</f>
        <v>L96</v>
      </c>
      <c r="C686" s="897" t="str">
        <f ca="1">_xlfn.CONCAT(IFERROR(SUBSTITUTE(ADDRESS(1,MATCH(A686,INDIRECT("'"&amp;E686&amp;"'"&amp;"!A" &amp; $O$670 + 5 &amp; ":Z" &amp; $O$670 + 5),0),4),1,""),""),$O$670 + 6)</f>
        <v>L97</v>
      </c>
      <c r="D686" s="897" t="s">
        <v>1367</v>
      </c>
      <c r="E686" s="897" t="s">
        <v>1535</v>
      </c>
      <c r="F686" s="1409" t="s">
        <v>1896</v>
      </c>
      <c r="G686" s="1409" t="str">
        <f>IF(T686&lt;&gt;"","AI","")</f>
        <v/>
      </c>
      <c r="H686" s="1409" t="s">
        <v>1926</v>
      </c>
      <c r="I686" s="857" t="str">
        <f t="shared" si="102"/>
        <v/>
      </c>
      <c r="J686" s="1409"/>
      <c r="K686" s="1409" t="str">
        <f t="shared" si="103"/>
        <v/>
      </c>
      <c r="L686" s="897" t="s">
        <v>1406</v>
      </c>
      <c r="M686" s="1410">
        <v>669</v>
      </c>
      <c r="N686" s="1409"/>
      <c r="O686" s="1408"/>
      <c r="P686" s="1408"/>
      <c r="Q686" s="1408"/>
      <c r="R686" s="1409" t="s">
        <v>1544</v>
      </c>
      <c r="S686" s="1408"/>
      <c r="T686" s="1409" t="str">
        <f t="shared" si="110"/>
        <v/>
      </c>
      <c r="U686" s="1408"/>
      <c r="V686" s="1408"/>
      <c r="W686" s="1408"/>
      <c r="X686" s="1408"/>
      <c r="Y686" s="1408"/>
      <c r="Z686" s="1408"/>
      <c r="AA686" s="1408"/>
    </row>
    <row r="687" spans="1:27" x14ac:dyDescent="0.25">
      <c r="A687" s="929" t="s">
        <v>1510</v>
      </c>
      <c r="B687" s="897" t="str">
        <f ca="1">IFERROR(_xlfn.CONCAT("C",MATCH(A687,INDIRECT("'"&amp;E687&amp;"'!C"&amp;$O$688&amp;":C"&amp;$O$690),0)+$O$688-1),"")</f>
        <v>C109</v>
      </c>
      <c r="C687" s="897" t="str">
        <f ca="1">IFERROR(_xlfn.CONCAT("D",MATCH(A687,INDIRECT("'"&amp;E687&amp;"'!C"&amp;$O$688&amp;":C"&amp;$O$690),0)+$O$688-1),"")</f>
        <v>D109</v>
      </c>
      <c r="D687" s="897" t="s">
        <v>1367</v>
      </c>
      <c r="E687" s="897" t="s">
        <v>1535</v>
      </c>
      <c r="F687" s="1409" t="s">
        <v>1510</v>
      </c>
      <c r="G687" s="1409" t="str">
        <f>IF(T687&lt;&gt;"","A","")</f>
        <v/>
      </c>
      <c r="H687" s="1409" t="s">
        <v>1926</v>
      </c>
      <c r="I687" s="857" t="str">
        <f t="shared" si="102"/>
        <v/>
      </c>
      <c r="J687" s="1409"/>
      <c r="K687" s="1409" t="str">
        <f t="shared" si="103"/>
        <v/>
      </c>
      <c r="L687" s="897" t="s">
        <v>1510</v>
      </c>
      <c r="M687" s="1410">
        <v>670</v>
      </c>
      <c r="N687" s="1409"/>
      <c r="O687" s="1408" t="s">
        <v>726</v>
      </c>
      <c r="P687" s="1408"/>
      <c r="Q687" s="1408"/>
      <c r="R687" s="1409" t="s">
        <v>1544</v>
      </c>
      <c r="S687" s="1408"/>
      <c r="T687" s="1409" t="str">
        <f t="shared" ref="T687:T704" si="111">IF(Q$688="Yes",8,"")</f>
        <v/>
      </c>
      <c r="U687" s="1408"/>
      <c r="V687" s="1408"/>
      <c r="W687" s="1408"/>
      <c r="X687" s="1408"/>
      <c r="Y687" s="1408"/>
      <c r="Z687" s="1408"/>
      <c r="AA687" s="1408"/>
    </row>
    <row r="688" spans="1:27" x14ac:dyDescent="0.25">
      <c r="A688" s="929" t="s">
        <v>1724</v>
      </c>
      <c r="B688" s="897" t="str">
        <f ca="1">_xlfn.CONCAT(IFERROR(SUBSTITUTE(ADDRESS(1,MATCH(A688,INDIRECT("'"&amp;E688&amp;"'"&amp;"!A" &amp; $O$688 + 11 &amp; ":Z" &amp; $O$688 + 11),0),4),1,""),""),$O$688 + 11)</f>
        <v>T116</v>
      </c>
      <c r="C688" s="897" t="str">
        <f ca="1">_xlfn.CONCAT(IFERROR(SUBSTITUTE(ADDRESS(1,MATCH(A688,INDIRECT("'"&amp;E688&amp;"'"&amp;"!A" &amp; $O$688 + 11 &amp; ":Z" &amp; $O$688 + 11),0),4),1,""),""),$O$688 + 12)</f>
        <v>T117</v>
      </c>
      <c r="D688" s="897" t="s">
        <v>1367</v>
      </c>
      <c r="E688" s="897" t="s">
        <v>1535</v>
      </c>
      <c r="F688" s="1409"/>
      <c r="G688" s="1409"/>
      <c r="H688" s="1409"/>
      <c r="I688" s="857" t="str">
        <f t="shared" si="102"/>
        <v/>
      </c>
      <c r="J688" s="1409" t="str">
        <f t="shared" ref="J688:J702" si="112">IF(M688&lt;&gt;"",IF($Q$688="Yes",Q$1&amp;M688,""))</f>
        <v/>
      </c>
      <c r="K688" s="1409" t="str">
        <f t="shared" si="103"/>
        <v/>
      </c>
      <c r="L688" s="897" t="s">
        <v>1724</v>
      </c>
      <c r="M688" s="1410">
        <v>671</v>
      </c>
      <c r="N688" s="1409"/>
      <c r="O688" s="1408">
        <f>'Configurable Tab'!H10</f>
        <v>105</v>
      </c>
      <c r="P688" s="1408">
        <f>'Configurable Tab'!J10</f>
        <v>0</v>
      </c>
      <c r="Q688" s="1408" t="s">
        <v>649</v>
      </c>
      <c r="R688" s="1409" t="s">
        <v>1544</v>
      </c>
      <c r="S688" s="1408"/>
      <c r="T688" s="1409" t="str">
        <f t="shared" si="111"/>
        <v/>
      </c>
      <c r="U688" s="1408"/>
      <c r="V688" s="1408"/>
      <c r="W688" s="1408"/>
      <c r="X688" s="1408"/>
      <c r="Y688" s="1408"/>
      <c r="Z688" s="1408"/>
      <c r="AA688" s="1408"/>
    </row>
    <row r="689" spans="1:27" x14ac:dyDescent="0.25">
      <c r="A689" s="929" t="s">
        <v>1400</v>
      </c>
      <c r="B689" s="897" t="str">
        <f ca="1">IFERROR(_xlfn.CONCAT("C",MATCH(A689,INDIRECT("'"&amp;E689&amp;"'!C"&amp;$O$688&amp;":C"&amp;$O$690),0)+$O$688-1),"")</f>
        <v>C107</v>
      </c>
      <c r="C689" s="897" t="str">
        <f ca="1">IFERROR(_xlfn.CONCAT("D",MATCH(A689,INDIRECT("'"&amp;E689&amp;"'!C"&amp;$O$688&amp;":C"&amp;$O$690),0)+$O$688-1),"")</f>
        <v>D107</v>
      </c>
      <c r="D689" s="897" t="s">
        <v>1367</v>
      </c>
      <c r="E689" s="897" t="s">
        <v>1535</v>
      </c>
      <c r="F689" s="1409" t="s">
        <v>1400</v>
      </c>
      <c r="G689" s="1409" t="str">
        <f>IF(T689&lt;&gt;"","B","")</f>
        <v/>
      </c>
      <c r="H689" s="1409" t="s">
        <v>1926</v>
      </c>
      <c r="I689" s="857" t="str">
        <f t="shared" si="102"/>
        <v/>
      </c>
      <c r="J689" s="1409"/>
      <c r="K689" s="1409" t="str">
        <f t="shared" si="103"/>
        <v/>
      </c>
      <c r="L689" s="897" t="s">
        <v>1400</v>
      </c>
      <c r="M689" s="1410">
        <v>672</v>
      </c>
      <c r="N689" s="1409"/>
      <c r="O689" s="1408" t="s">
        <v>727</v>
      </c>
      <c r="P689" s="1408"/>
      <c r="Q689" s="1408"/>
      <c r="R689" s="1409" t="s">
        <v>1544</v>
      </c>
      <c r="S689" s="1408"/>
      <c r="T689" s="1409" t="str">
        <f t="shared" si="111"/>
        <v/>
      </c>
      <c r="U689" s="1408"/>
      <c r="V689" s="1408"/>
      <c r="W689" s="1408"/>
      <c r="X689" s="1408"/>
      <c r="Y689" s="1408"/>
      <c r="Z689" s="1408"/>
      <c r="AA689" s="1408"/>
    </row>
    <row r="690" spans="1:27" x14ac:dyDescent="0.25">
      <c r="A690" s="929" t="s">
        <v>1397</v>
      </c>
      <c r="B690" s="897" t="str">
        <f t="shared" ref="B690:B696" ca="1" si="113">_xlfn.CONCAT(IFERROR(SUBSTITUTE(ADDRESS(1,MATCH(A690,INDIRECT("'"&amp;E690&amp;"'"&amp;"!A" &amp; $O$688 + 2 &amp; ":Z" &amp; $O$688 + 2),0),4),1,""),""),$O$688 + 2)</f>
        <v>H107</v>
      </c>
      <c r="C690" s="897" t="str">
        <f t="shared" ref="C690:C696" ca="1" si="114">_xlfn.CONCAT(IFERROR(SUBSTITUTE(ADDRESS(1,MATCH(A690,INDIRECT("'"&amp;E690&amp;"'"&amp;"!A" &amp; $O$688 + 2 &amp; ":Z" &amp; $O$688 + 2),0),4),1,""),""),$O$688 + 3)</f>
        <v>H108</v>
      </c>
      <c r="D690" s="897" t="s">
        <v>1367</v>
      </c>
      <c r="E690" s="897" t="s">
        <v>1535</v>
      </c>
      <c r="F690" s="1409" t="s">
        <v>1927</v>
      </c>
      <c r="G690" s="1409" t="str">
        <f>IF(T690&lt;&gt;"","E","")</f>
        <v/>
      </c>
      <c r="H690" s="1409" t="s">
        <v>1926</v>
      </c>
      <c r="I690" s="857" t="str">
        <f t="shared" si="102"/>
        <v/>
      </c>
      <c r="J690" s="1409" t="str">
        <f t="shared" si="112"/>
        <v/>
      </c>
      <c r="K690" s="1409" t="str">
        <f t="shared" si="103"/>
        <v/>
      </c>
      <c r="L690" s="897" t="s">
        <v>1397</v>
      </c>
      <c r="M690" s="1410">
        <v>673</v>
      </c>
      <c r="N690" s="1409"/>
      <c r="O690" s="1408">
        <f>'Configurable Tab'!I10</f>
        <v>118</v>
      </c>
      <c r="P690" s="1408"/>
      <c r="Q690" s="1408"/>
      <c r="R690" s="1409" t="s">
        <v>1544</v>
      </c>
      <c r="S690" s="1408"/>
      <c r="T690" s="1409" t="str">
        <f t="shared" si="111"/>
        <v/>
      </c>
      <c r="U690" s="1408"/>
      <c r="V690" s="1408"/>
      <c r="W690" s="1408"/>
      <c r="X690" s="1408"/>
      <c r="Y690" s="1408"/>
      <c r="Z690" s="1408"/>
      <c r="AA690" s="1408"/>
    </row>
    <row r="691" spans="1:27" x14ac:dyDescent="0.25">
      <c r="A691" s="929" t="s">
        <v>1398</v>
      </c>
      <c r="B691" s="897" t="str">
        <f t="shared" ca="1" si="113"/>
        <v>J107</v>
      </c>
      <c r="C691" s="897" t="str">
        <f t="shared" ca="1" si="114"/>
        <v>J108</v>
      </c>
      <c r="D691" s="897" t="s">
        <v>1367</v>
      </c>
      <c r="E691" s="897" t="s">
        <v>1535</v>
      </c>
      <c r="F691" s="1409" t="s">
        <v>1928</v>
      </c>
      <c r="G691" s="1409" t="str">
        <f>IF(T691&lt;&gt;"","I","")</f>
        <v/>
      </c>
      <c r="H691" s="1409" t="s">
        <v>1926</v>
      </c>
      <c r="I691" s="857" t="str">
        <f t="shared" si="102"/>
        <v/>
      </c>
      <c r="J691" s="1409" t="str">
        <f t="shared" si="112"/>
        <v/>
      </c>
      <c r="K691" s="1409" t="str">
        <f t="shared" si="103"/>
        <v/>
      </c>
      <c r="L691" s="897" t="s">
        <v>1398</v>
      </c>
      <c r="M691" s="1410">
        <v>674</v>
      </c>
      <c r="N691" s="1409"/>
      <c r="O691" s="1408" t="s">
        <v>1658</v>
      </c>
      <c r="P691" s="1408"/>
      <c r="Q691" s="1408"/>
      <c r="R691" s="1409" t="s">
        <v>1544</v>
      </c>
      <c r="S691" s="1408"/>
      <c r="T691" s="1409" t="str">
        <f t="shared" si="111"/>
        <v/>
      </c>
      <c r="U691" s="1408"/>
      <c r="V691" s="1408"/>
      <c r="W691" s="1408"/>
      <c r="X691" s="1408"/>
      <c r="Y691" s="1408"/>
      <c r="Z691" s="1408"/>
      <c r="AA691" s="1408"/>
    </row>
    <row r="692" spans="1:27" x14ac:dyDescent="0.25">
      <c r="A692" s="929" t="s">
        <v>1414</v>
      </c>
      <c r="B692" s="897" t="str">
        <f t="shared" ca="1" si="113"/>
        <v>L107</v>
      </c>
      <c r="C692" s="897" t="str">
        <f t="shared" ca="1" si="114"/>
        <v>L108</v>
      </c>
      <c r="D692" s="897" t="s">
        <v>1367</v>
      </c>
      <c r="E692" s="897" t="s">
        <v>1535</v>
      </c>
      <c r="F692" s="1409" t="s">
        <v>1929</v>
      </c>
      <c r="G692" s="1409" t="str">
        <f>IF(T692&lt;&gt;"","H","")</f>
        <v/>
      </c>
      <c r="H692" s="1409" t="s">
        <v>1926</v>
      </c>
      <c r="I692" s="857" t="str">
        <f t="shared" si="102"/>
        <v/>
      </c>
      <c r="J692" s="1409" t="str">
        <f t="shared" si="112"/>
        <v/>
      </c>
      <c r="K692" s="1409" t="str">
        <f t="shared" si="103"/>
        <v/>
      </c>
      <c r="L692" s="897" t="s">
        <v>1414</v>
      </c>
      <c r="M692" s="1410">
        <v>675</v>
      </c>
      <c r="N692" s="1409"/>
      <c r="O692" s="1408"/>
      <c r="P692" s="1408"/>
      <c r="Q692" s="1408"/>
      <c r="R692" s="1409" t="s">
        <v>1544</v>
      </c>
      <c r="S692" s="1408"/>
      <c r="T692" s="1409" t="str">
        <f t="shared" si="111"/>
        <v/>
      </c>
      <c r="U692" s="1408"/>
      <c r="V692" s="1408"/>
      <c r="W692" s="1408"/>
      <c r="X692" s="1408"/>
      <c r="Y692" s="1408"/>
      <c r="Z692" s="1408"/>
      <c r="AA692" s="1408"/>
    </row>
    <row r="693" spans="1:27" x14ac:dyDescent="0.25">
      <c r="A693" s="929" t="s">
        <v>1399</v>
      </c>
      <c r="B693" s="897" t="str">
        <f t="shared" ca="1" si="113"/>
        <v>N107</v>
      </c>
      <c r="C693" s="897" t="str">
        <f t="shared" ca="1" si="114"/>
        <v>N108</v>
      </c>
      <c r="D693" s="897" t="s">
        <v>1367</v>
      </c>
      <c r="E693" s="897" t="s">
        <v>1535</v>
      </c>
      <c r="F693" s="1409" t="s">
        <v>1399</v>
      </c>
      <c r="G693" s="1409" t="str">
        <f>IF(T693&lt;&gt;"",IF(Q691="Credit Memo","J",IF(Q691="Check","K","")),"")</f>
        <v/>
      </c>
      <c r="H693" s="1409" t="s">
        <v>1926</v>
      </c>
      <c r="I693" s="857" t="str">
        <f t="shared" si="102"/>
        <v/>
      </c>
      <c r="J693" s="1409" t="str">
        <f t="shared" si="112"/>
        <v/>
      </c>
      <c r="K693" s="1409" t="str">
        <f t="shared" si="103"/>
        <v/>
      </c>
      <c r="L693" s="897" t="s">
        <v>1399</v>
      </c>
      <c r="M693" s="1410">
        <v>676</v>
      </c>
      <c r="N693" s="1409"/>
      <c r="O693" s="1408"/>
      <c r="P693" s="1408"/>
      <c r="Q693" s="1408"/>
      <c r="R693" s="1409" t="s">
        <v>1544</v>
      </c>
      <c r="S693" s="1408"/>
      <c r="T693" s="1409" t="str">
        <f t="shared" si="111"/>
        <v/>
      </c>
      <c r="U693" s="1408"/>
      <c r="V693" s="1408"/>
      <c r="W693" s="1408"/>
      <c r="X693" s="1408"/>
      <c r="Y693" s="1408"/>
      <c r="Z693" s="1408"/>
      <c r="AA693" s="1408"/>
    </row>
    <row r="694" spans="1:27" x14ac:dyDescent="0.25">
      <c r="A694" s="929" t="s">
        <v>1505</v>
      </c>
      <c r="B694" s="897" t="str">
        <f t="shared" ca="1" si="113"/>
        <v>P107</v>
      </c>
      <c r="C694" s="897" t="str">
        <f t="shared" ca="1" si="114"/>
        <v>P108</v>
      </c>
      <c r="D694" s="897" t="s">
        <v>1367</v>
      </c>
      <c r="E694" s="897" t="s">
        <v>1535</v>
      </c>
      <c r="F694" s="1409" t="s">
        <v>1930</v>
      </c>
      <c r="G694" s="1409" t="str">
        <f>IF(T694&lt;&gt;"","F","")</f>
        <v/>
      </c>
      <c r="H694" s="1409" t="s">
        <v>1926</v>
      </c>
      <c r="I694" s="857" t="str">
        <f t="shared" si="102"/>
        <v/>
      </c>
      <c r="J694" s="1409" t="str">
        <f t="shared" si="112"/>
        <v/>
      </c>
      <c r="K694" s="1409" t="str">
        <f t="shared" si="103"/>
        <v/>
      </c>
      <c r="L694" s="897" t="s">
        <v>1505</v>
      </c>
      <c r="M694" s="1410">
        <v>677</v>
      </c>
      <c r="N694" s="1409"/>
      <c r="O694" s="1408"/>
      <c r="P694" s="1408"/>
      <c r="Q694" s="1408"/>
      <c r="R694" s="1409" t="s">
        <v>1544</v>
      </c>
      <c r="S694" s="1408"/>
      <c r="T694" s="1409" t="str">
        <f t="shared" si="111"/>
        <v/>
      </c>
      <c r="U694" s="1408"/>
      <c r="V694" s="1408"/>
      <c r="W694" s="1408"/>
      <c r="X694" s="1408"/>
      <c r="Y694" s="1408"/>
      <c r="Z694" s="1408"/>
      <c r="AA694" s="1408"/>
    </row>
    <row r="695" spans="1:27" x14ac:dyDescent="0.25">
      <c r="A695" s="929" t="s">
        <v>1506</v>
      </c>
      <c r="B695" s="897" t="str">
        <f t="shared" ca="1" si="113"/>
        <v>R107</v>
      </c>
      <c r="C695" s="897" t="str">
        <f t="shared" ca="1" si="114"/>
        <v>R108</v>
      </c>
      <c r="D695" s="897" t="s">
        <v>1367</v>
      </c>
      <c r="E695" s="897" t="s">
        <v>1535</v>
      </c>
      <c r="F695" s="1409" t="s">
        <v>1931</v>
      </c>
      <c r="G695" s="1409" t="str">
        <f>IF(T695&lt;&gt;"","G","")</f>
        <v/>
      </c>
      <c r="H695" s="1409" t="s">
        <v>1926</v>
      </c>
      <c r="I695" s="857" t="str">
        <f t="shared" si="102"/>
        <v/>
      </c>
      <c r="J695" s="1409" t="str">
        <f t="shared" si="112"/>
        <v/>
      </c>
      <c r="K695" s="1409" t="str">
        <f t="shared" si="103"/>
        <v/>
      </c>
      <c r="L695" s="897" t="s">
        <v>1506</v>
      </c>
      <c r="M695" s="1410">
        <v>678</v>
      </c>
      <c r="N695" s="1409"/>
      <c r="O695" s="1408"/>
      <c r="P695" s="1408"/>
      <c r="Q695" s="1408"/>
      <c r="R695" s="1409" t="s">
        <v>1544</v>
      </c>
      <c r="S695" s="1408"/>
      <c r="T695" s="1409" t="str">
        <f t="shared" si="111"/>
        <v/>
      </c>
      <c r="U695" s="1408"/>
      <c r="V695" s="1408"/>
      <c r="W695" s="1408"/>
      <c r="X695" s="1408"/>
      <c r="Y695" s="1408"/>
      <c r="Z695" s="1408"/>
      <c r="AA695" s="1408"/>
    </row>
    <row r="696" spans="1:27" x14ac:dyDescent="0.25">
      <c r="A696" s="929" t="s">
        <v>1507</v>
      </c>
      <c r="B696" s="897" t="str">
        <f t="shared" ca="1" si="113"/>
        <v>T107</v>
      </c>
      <c r="C696" s="897" t="str">
        <f t="shared" ca="1" si="114"/>
        <v>T108</v>
      </c>
      <c r="D696" s="897" t="s">
        <v>1367</v>
      </c>
      <c r="E696" s="897" t="s">
        <v>1535</v>
      </c>
      <c r="F696" s="919" t="s">
        <v>1507</v>
      </c>
      <c r="G696" s="1409" t="str">
        <f>IF(T696&lt;&gt;"","AW","")</f>
        <v/>
      </c>
      <c r="H696" s="1409" t="s">
        <v>1926</v>
      </c>
      <c r="I696" s="857" t="str">
        <f t="shared" si="102"/>
        <v/>
      </c>
      <c r="J696" s="1409" t="str">
        <f t="shared" si="112"/>
        <v/>
      </c>
      <c r="K696" s="1409" t="str">
        <f t="shared" si="103"/>
        <v/>
      </c>
      <c r="L696" s="897" t="s">
        <v>1507</v>
      </c>
      <c r="M696" s="1410">
        <v>679</v>
      </c>
      <c r="N696" s="1409"/>
      <c r="O696" s="1408"/>
      <c r="P696" s="1408"/>
      <c r="Q696" s="1408"/>
      <c r="R696" s="1409" t="s">
        <v>1544</v>
      </c>
      <c r="S696" s="1408"/>
      <c r="T696" s="1409" t="str">
        <f t="shared" si="111"/>
        <v/>
      </c>
      <c r="U696" s="1408"/>
      <c r="V696" s="1408"/>
      <c r="W696" s="1408"/>
      <c r="X696" s="1408"/>
      <c r="Y696" s="1408"/>
      <c r="Z696" s="1408"/>
      <c r="AA696" s="1408"/>
    </row>
    <row r="697" spans="1:27" x14ac:dyDescent="0.25">
      <c r="A697" s="929" t="s">
        <v>1402</v>
      </c>
      <c r="B697" s="897" t="str">
        <f ca="1">IFERROR(_xlfn.CONCAT("C",MATCH(A697,INDIRECT("'"&amp;E697&amp;"'!C"&amp;$O$688&amp;":C"&amp;$O$690),0)+$O$688-1),"")</f>
        <v>C111</v>
      </c>
      <c r="C697" s="897" t="str">
        <f ca="1">IFERROR(_xlfn.CONCAT("D",MATCH(A697,INDIRECT("'"&amp;E697&amp;"'!C"&amp;$O$688&amp;":C"&amp;$O$690),0)+$O$688-1),"")</f>
        <v>D111</v>
      </c>
      <c r="D697" s="897" t="s">
        <v>1367</v>
      </c>
      <c r="E697" s="897" t="s">
        <v>1535</v>
      </c>
      <c r="F697" s="1409" t="s">
        <v>1402</v>
      </c>
      <c r="G697" s="1409" t="str">
        <f>IF(T697&lt;&gt;"","C","")</f>
        <v/>
      </c>
      <c r="H697" s="1409" t="s">
        <v>1926</v>
      </c>
      <c r="I697" s="857" t="str">
        <f t="shared" si="102"/>
        <v/>
      </c>
      <c r="J697" s="1409"/>
      <c r="K697" s="1409" t="str">
        <f t="shared" si="103"/>
        <v/>
      </c>
      <c r="L697" s="897" t="s">
        <v>1402</v>
      </c>
      <c r="M697" s="1410">
        <v>680</v>
      </c>
      <c r="N697" s="1409"/>
      <c r="O697" s="1408"/>
      <c r="P697" s="1408"/>
      <c r="Q697" s="1408"/>
      <c r="R697" s="1409" t="s">
        <v>1544</v>
      </c>
      <c r="S697" s="1408"/>
      <c r="T697" s="1409" t="str">
        <f t="shared" si="111"/>
        <v/>
      </c>
      <c r="U697" s="1408"/>
      <c r="V697" s="1408"/>
      <c r="W697" s="1408"/>
      <c r="X697" s="1408"/>
      <c r="Y697" s="1408"/>
      <c r="Z697" s="1408"/>
      <c r="AA697" s="1408"/>
    </row>
    <row r="698" spans="1:27" x14ac:dyDescent="0.25">
      <c r="A698" s="929" t="s">
        <v>1403</v>
      </c>
      <c r="B698" s="897" t="str">
        <f ca="1">IFERROR(_xlfn.CONCAT("C",MATCH(A698,INDIRECT("'"&amp;E698&amp;"'!C"&amp;$O$688&amp;":C"&amp;$O$690),0)+$O$688-1),"")</f>
        <v>C113</v>
      </c>
      <c r="C698" s="897" t="str">
        <f ca="1">IFERROR(_xlfn.CONCAT("D",MATCH(A698,INDIRECT("'"&amp;E698&amp;"'!C"&amp;$O$688&amp;":C"&amp;$O$690),0)+$O$688-1),"")</f>
        <v>D113</v>
      </c>
      <c r="D698" s="897" t="s">
        <v>1367</v>
      </c>
      <c r="E698" s="897" t="s">
        <v>1535</v>
      </c>
      <c r="F698" s="1409" t="s">
        <v>1403</v>
      </c>
      <c r="G698" s="1409" t="str">
        <f>IF(T698&lt;&gt;"","D","")</f>
        <v/>
      </c>
      <c r="H698" s="1409" t="s">
        <v>1926</v>
      </c>
      <c r="I698" s="857" t="str">
        <f t="shared" si="102"/>
        <v/>
      </c>
      <c r="J698" s="1409"/>
      <c r="K698" s="1409" t="str">
        <f t="shared" si="103"/>
        <v/>
      </c>
      <c r="L698" s="897" t="s">
        <v>1403</v>
      </c>
      <c r="M698" s="1410">
        <v>681</v>
      </c>
      <c r="N698" s="1409"/>
      <c r="O698" s="1408"/>
      <c r="P698" s="1408"/>
      <c r="Q698" s="1408"/>
      <c r="R698" s="1409" t="s">
        <v>1544</v>
      </c>
      <c r="S698" s="1408"/>
      <c r="T698" s="1409" t="str">
        <f t="shared" si="111"/>
        <v/>
      </c>
      <c r="U698" s="1408"/>
      <c r="V698" s="1408"/>
      <c r="W698" s="1408"/>
      <c r="X698" s="1408"/>
      <c r="Y698" s="1408"/>
      <c r="Z698" s="1408"/>
      <c r="AA698" s="1408"/>
    </row>
    <row r="699" spans="1:27" x14ac:dyDescent="0.25">
      <c r="A699" s="929" t="s">
        <v>1514</v>
      </c>
      <c r="B699" s="897" t="str">
        <f ca="1">IFERROR(_xlfn.CONCAT("C",MATCH(A699,INDIRECT("'"&amp;E699&amp;"'!C"&amp;$O$688&amp;":C"&amp;$O$690),0)+$O$688-1),"")</f>
        <v>C115</v>
      </c>
      <c r="C699" s="897" t="str">
        <f ca="1">IFERROR(_xlfn.CONCAT("D",MATCH(A699,INDIRECT("'"&amp;E699&amp;"'!C"&amp;$O$688&amp;":C"&amp;$O$690),0)+$O$688-1),"")</f>
        <v>D115</v>
      </c>
      <c r="D699" s="897" t="s">
        <v>1367</v>
      </c>
      <c r="E699" s="897" t="s">
        <v>1535</v>
      </c>
      <c r="F699" s="1409" t="s">
        <v>1514</v>
      </c>
      <c r="G699" s="1409" t="str">
        <f>IF(T699&lt;&gt;"","AN","")</f>
        <v/>
      </c>
      <c r="H699" s="1409" t="s">
        <v>1926</v>
      </c>
      <c r="I699" s="857" t="str">
        <f t="shared" si="102"/>
        <v/>
      </c>
      <c r="J699" s="1409" t="str">
        <f t="shared" si="112"/>
        <v/>
      </c>
      <c r="K699" s="1409" t="str">
        <f t="shared" si="103"/>
        <v/>
      </c>
      <c r="L699" s="897" t="s">
        <v>1514</v>
      </c>
      <c r="M699" s="1410">
        <v>682</v>
      </c>
      <c r="N699" s="1409"/>
      <c r="O699" s="1408"/>
      <c r="P699" s="1409" t="str" cm="1">
        <f t="array" aca="1" ref="P699" ca="1">_xlfn.CONCAT("F",RIGHT(B699, LEN(B699) - MAX(IF(ISNUMBER(MID(B699, ROW(INDIRECT("1:"&amp;LEN(B699))), 1) *1)=FALSE, ROW(INDIRECT("1:"&amp;LEN(B699))), 0))))</f>
        <v>F115</v>
      </c>
      <c r="Q699" s="1409" t="str" cm="1">
        <f t="array" aca="1" ref="Q699" ca="1">_xlfn.CONCAT("E",RIGHT(C699, LEN(C699) - MAX(IF(ISNUMBER(MID(C699, ROW(INDIRECT("1:"&amp;LEN(C699))), 1) *1)=FALSE, ROW(INDIRECT("1:"&amp;LEN(C699))), 0))))</f>
        <v>E115</v>
      </c>
      <c r="R699" s="1409" t="s">
        <v>1544</v>
      </c>
      <c r="S699" s="1408"/>
      <c r="T699" s="1409" t="str">
        <f t="shared" si="111"/>
        <v/>
      </c>
      <c r="U699" s="1408"/>
      <c r="V699" s="1408"/>
      <c r="W699" s="1408"/>
      <c r="X699" s="1408"/>
      <c r="Y699" s="1408"/>
      <c r="Z699" s="1408"/>
      <c r="AA699" s="1408"/>
    </row>
    <row r="700" spans="1:27" x14ac:dyDescent="0.25">
      <c r="A700" s="929" t="s">
        <v>1511</v>
      </c>
      <c r="B700" s="897" t="str">
        <f ca="1">_xlfn.CONCAT(IFERROR(SUBSTITUTE(ADDRESS(1,MATCH(A700,INDIRECT("'"&amp;E700&amp;"'"&amp;"!A" &amp; $O$688 + 8 &amp; ":Z" &amp; $O$688 + 8),0),4),1,""),""),$O$688 + 8)</f>
        <v>H113</v>
      </c>
      <c r="C700" s="897" t="str">
        <f ca="1">_xlfn.CONCAT(IFERROR(SUBSTITUTE(ADDRESS(1,MATCH(A700,INDIRECT("'"&amp;E700&amp;"'"&amp;"!A" &amp; $O$688 + 8 &amp; ":Z" &amp; $O$688 + 8),0),4),1,""),""),$O$688 + 9)</f>
        <v>H114</v>
      </c>
      <c r="D700" s="897" t="s">
        <v>1367</v>
      </c>
      <c r="E700" s="897" t="s">
        <v>1535</v>
      </c>
      <c r="F700" s="1409" t="s">
        <v>1511</v>
      </c>
      <c r="G700" s="1409" t="str">
        <f>IF(T700&lt;&gt;"","AL","")</f>
        <v/>
      </c>
      <c r="H700" s="1409" t="s">
        <v>1926</v>
      </c>
      <c r="I700" s="857" t="str">
        <f t="shared" si="102"/>
        <v/>
      </c>
      <c r="J700" s="1409" t="str">
        <f t="shared" si="112"/>
        <v/>
      </c>
      <c r="K700" s="1409" t="str">
        <f t="shared" si="103"/>
        <v/>
      </c>
      <c r="L700" s="897" t="s">
        <v>1511</v>
      </c>
      <c r="M700" s="1410">
        <v>683</v>
      </c>
      <c r="N700" s="1409"/>
      <c r="O700" s="1408"/>
      <c r="P700" s="1408"/>
      <c r="Q700" s="1408"/>
      <c r="R700" s="1409" t="s">
        <v>1544</v>
      </c>
      <c r="S700" s="1408"/>
      <c r="T700" s="1409" t="str">
        <f t="shared" si="111"/>
        <v/>
      </c>
      <c r="U700" s="1408"/>
      <c r="V700" s="1408"/>
      <c r="W700" s="1408"/>
      <c r="X700" s="1408"/>
      <c r="Y700" s="1408"/>
      <c r="Z700" s="1408"/>
      <c r="AA700" s="1408"/>
    </row>
    <row r="701" spans="1:27" x14ac:dyDescent="0.25">
      <c r="A701" s="929" t="s">
        <v>1525</v>
      </c>
      <c r="B701" s="897" t="str">
        <f ca="1">_xlfn.CONCAT(IFERROR(SUBSTITUTE(ADDRESS(1,MATCH(A701,INDIRECT("'"&amp;E701&amp;"'"&amp;"!A" &amp; $O$688 + 8 &amp; ":Z" &amp; $O$688 + 8),0),4),1,""),""),$O$688 + 8)</f>
        <v>J113</v>
      </c>
      <c r="C701" s="897" t="str">
        <f ca="1">_xlfn.CONCAT(IFERROR(SUBSTITUTE(ADDRESS(1,MATCH(A701,INDIRECT("'"&amp;E701&amp;"'"&amp;"!A" &amp; $O$688 + 8 &amp; ":Z" &amp; $O$688 + 8),0),4),1,""),""),$O$688 + 9)</f>
        <v>J114</v>
      </c>
      <c r="D701" s="897" t="s">
        <v>1367</v>
      </c>
      <c r="E701" s="897" t="s">
        <v>1535</v>
      </c>
      <c r="F701" s="1409" t="s">
        <v>1932</v>
      </c>
      <c r="G701" s="1409" t="str">
        <f>IF(T701&lt;&gt;"","L","")</f>
        <v/>
      </c>
      <c r="H701" s="1409" t="s">
        <v>1926</v>
      </c>
      <c r="I701" s="857" t="str">
        <f t="shared" si="102"/>
        <v/>
      </c>
      <c r="J701" s="1409" t="str">
        <f t="shared" si="112"/>
        <v/>
      </c>
      <c r="K701" s="1409" t="str">
        <f t="shared" si="103"/>
        <v/>
      </c>
      <c r="L701" s="897" t="s">
        <v>1525</v>
      </c>
      <c r="M701" s="1410">
        <v>684</v>
      </c>
      <c r="N701" s="1409"/>
      <c r="O701" s="1408"/>
      <c r="P701" s="1408"/>
      <c r="Q701" s="1408"/>
      <c r="R701" s="1409" t="s">
        <v>1544</v>
      </c>
      <c r="S701" s="1408"/>
      <c r="T701" s="1409" t="str">
        <f t="shared" si="111"/>
        <v/>
      </c>
      <c r="U701" s="1408"/>
      <c r="V701" s="1408"/>
      <c r="W701" s="1408"/>
      <c r="X701" s="1408"/>
      <c r="Y701" s="1408"/>
      <c r="Z701" s="1408"/>
      <c r="AA701" s="1408"/>
    </row>
    <row r="702" spans="1:27" x14ac:dyDescent="0.25">
      <c r="A702" s="929" t="s">
        <v>1404</v>
      </c>
      <c r="B702" s="897" t="str">
        <f ca="1">_xlfn.CONCAT(IFERROR(SUBSTITUTE(ADDRESS(1,MATCH(A702,INDIRECT("'"&amp;E702&amp;"'"&amp;"!A" &amp; $O$688 + 5 &amp; ":Z" &amp; $O$688 + 5),0),4),1,""),""),$O$688 + 5)</f>
        <v>H110</v>
      </c>
      <c r="C702" s="897" t="str">
        <f ca="1">_xlfn.CONCAT(IFERROR(SUBSTITUTE(ADDRESS(1,MATCH(A702,INDIRECT("'"&amp;E702&amp;"'"&amp;"!A" &amp; $O$688 + 5 &amp; ":Z" &amp; $O$688 + 5),0),4),1,""),""),$O$688 + 6)</f>
        <v>H111</v>
      </c>
      <c r="D702" s="897" t="s">
        <v>1367</v>
      </c>
      <c r="E702" s="897" t="s">
        <v>1535</v>
      </c>
      <c r="F702" s="919" t="s">
        <v>1404</v>
      </c>
      <c r="G702" s="1409" t="str">
        <f>IF(T702&lt;&gt;"","AH","")</f>
        <v/>
      </c>
      <c r="H702" s="1409" t="s">
        <v>1926</v>
      </c>
      <c r="I702" s="857" t="str">
        <f t="shared" si="102"/>
        <v/>
      </c>
      <c r="J702" s="1409" t="str">
        <f t="shared" si="112"/>
        <v/>
      </c>
      <c r="K702" s="1409" t="str">
        <f t="shared" si="103"/>
        <v/>
      </c>
      <c r="L702" s="897" t="s">
        <v>1404</v>
      </c>
      <c r="M702" s="1410">
        <v>685</v>
      </c>
      <c r="N702" s="1409"/>
      <c r="O702" s="1408"/>
      <c r="P702" s="1408"/>
      <c r="Q702" s="1408"/>
      <c r="R702" s="1409" t="s">
        <v>1544</v>
      </c>
      <c r="S702" s="1408"/>
      <c r="T702" s="1409" t="str">
        <f t="shared" si="111"/>
        <v/>
      </c>
      <c r="U702" s="1408"/>
      <c r="V702" s="1408"/>
      <c r="W702" s="1408"/>
      <c r="X702" s="1408"/>
      <c r="Y702" s="1408"/>
      <c r="Z702" s="1408"/>
      <c r="AA702" s="1408"/>
    </row>
    <row r="703" spans="1:27" x14ac:dyDescent="0.25">
      <c r="A703" s="929" t="s">
        <v>1405</v>
      </c>
      <c r="B703" s="897" t="str">
        <f ca="1">_xlfn.CONCAT(IFERROR(SUBSTITUTE(ADDRESS(1,MATCH(A703,INDIRECT("'"&amp;E703&amp;"'"&amp;"!A" &amp; $O$688 + 5 &amp; ":Z" &amp; $O$688 + 5),0),4),1,""),""),$O$688 + 5)</f>
        <v>J110</v>
      </c>
      <c r="C703" s="897" t="str">
        <f ca="1">_xlfn.CONCAT(IFERROR(SUBSTITUTE(ADDRESS(1,MATCH(A703,INDIRECT("'"&amp;E703&amp;"'"&amp;"!A" &amp; $O$688 + 5 &amp; ":Z" &amp; $O$688 + 5),0),4),1,""),""),$O$688 + 6)</f>
        <v>J111</v>
      </c>
      <c r="D703" s="897" t="s">
        <v>1367</v>
      </c>
      <c r="E703" s="897" t="s">
        <v>1535</v>
      </c>
      <c r="F703" s="919"/>
      <c r="G703" s="1409"/>
      <c r="H703" s="1409"/>
      <c r="I703" s="857" t="str">
        <f t="shared" si="102"/>
        <v/>
      </c>
      <c r="J703" s="1409"/>
      <c r="K703" s="1409" t="str">
        <f t="shared" si="103"/>
        <v/>
      </c>
      <c r="L703" s="897" t="s">
        <v>1405</v>
      </c>
      <c r="M703" s="1410">
        <v>686</v>
      </c>
      <c r="N703" s="1409"/>
      <c r="O703" s="1408"/>
      <c r="P703" s="1408"/>
      <c r="Q703" s="1408"/>
      <c r="R703" s="1409" t="s">
        <v>1544</v>
      </c>
      <c r="S703" s="1408"/>
      <c r="T703" s="1409" t="str">
        <f t="shared" si="111"/>
        <v/>
      </c>
      <c r="U703" s="1408"/>
      <c r="V703" s="1408"/>
      <c r="W703" s="1408"/>
      <c r="X703" s="1408"/>
      <c r="Y703" s="1408"/>
      <c r="Z703" s="1408"/>
      <c r="AA703" s="1408"/>
    </row>
    <row r="704" spans="1:27" x14ac:dyDescent="0.25">
      <c r="A704" s="929" t="s">
        <v>1406</v>
      </c>
      <c r="B704" s="897" t="str">
        <f ca="1">_xlfn.CONCAT(IFERROR(SUBSTITUTE(ADDRESS(1,MATCH(A704,INDIRECT("'"&amp;E704&amp;"'"&amp;"!A" &amp; $O$688 + 5 &amp; ":Z" &amp; $O$688 + 5),0),4),1,""),""),$O$688 + 5)</f>
        <v>L110</v>
      </c>
      <c r="C704" s="897" t="str">
        <f ca="1">_xlfn.CONCAT(IFERROR(SUBSTITUTE(ADDRESS(1,MATCH(A704,INDIRECT("'"&amp;E704&amp;"'"&amp;"!A" &amp; $O$688 + 5 &amp; ":Z" &amp; $O$688 + 5),0),4),1,""),""),$O$688 + 6)</f>
        <v>L111</v>
      </c>
      <c r="D704" s="897" t="s">
        <v>1367</v>
      </c>
      <c r="E704" s="897" t="s">
        <v>1535</v>
      </c>
      <c r="F704" s="1409" t="s">
        <v>1896</v>
      </c>
      <c r="G704" s="1409" t="str">
        <f>IF(T704&lt;&gt;"","AI","")</f>
        <v/>
      </c>
      <c r="H704" s="1409" t="s">
        <v>1926</v>
      </c>
      <c r="I704" s="857" t="str">
        <f t="shared" si="102"/>
        <v/>
      </c>
      <c r="J704" s="1409"/>
      <c r="K704" s="1409" t="str">
        <f t="shared" si="103"/>
        <v/>
      </c>
      <c r="L704" s="897" t="s">
        <v>1406</v>
      </c>
      <c r="M704" s="1410">
        <v>687</v>
      </c>
      <c r="N704" s="1409"/>
      <c r="O704" s="1408"/>
      <c r="P704" s="1408"/>
      <c r="Q704" s="1408"/>
      <c r="R704" s="1409" t="s">
        <v>1544</v>
      </c>
      <c r="S704" s="1408"/>
      <c r="T704" s="1409" t="str">
        <f t="shared" si="111"/>
        <v/>
      </c>
      <c r="U704" s="1408"/>
      <c r="V704" s="1408"/>
      <c r="W704" s="1408"/>
      <c r="X704" s="1408"/>
      <c r="Y704" s="1408"/>
      <c r="Z704" s="1408"/>
      <c r="AA704" s="1408"/>
    </row>
    <row r="705" spans="1:27" x14ac:dyDescent="0.25">
      <c r="A705" s="926" t="s">
        <v>1510</v>
      </c>
      <c r="B705" s="897" t="str">
        <f ca="1">IFERROR(_xlfn.CONCAT("C",MATCH(A705,INDIRECT("'"&amp;E705&amp;"'!C"&amp;$O$706&amp;":C"&amp;$O$708),0)+$O$706-1),"")</f>
        <v>C123</v>
      </c>
      <c r="C705" s="897" t="str">
        <f ca="1">IFERROR(_xlfn.CONCAT("D",MATCH(A705,INDIRECT("'"&amp;E705&amp;"'!C"&amp;$O$706&amp;":C"&amp;$O$708),0)+$O$706-1),"")</f>
        <v>D123</v>
      </c>
      <c r="D705" s="897" t="s">
        <v>1367</v>
      </c>
      <c r="E705" s="897" t="s">
        <v>1535</v>
      </c>
      <c r="F705" s="1409" t="s">
        <v>1510</v>
      </c>
      <c r="G705" s="1409" t="str">
        <f>IF(T705&lt;&gt;"","A","")</f>
        <v/>
      </c>
      <c r="H705" s="1409" t="s">
        <v>1926</v>
      </c>
      <c r="I705" s="857" t="str">
        <f t="shared" si="102"/>
        <v/>
      </c>
      <c r="J705" s="1409"/>
      <c r="K705" s="1409" t="str">
        <f t="shared" si="103"/>
        <v/>
      </c>
      <c r="L705" s="897" t="s">
        <v>1510</v>
      </c>
      <c r="M705" s="1410">
        <v>688</v>
      </c>
      <c r="N705" s="1409"/>
      <c r="O705" s="1408" t="s">
        <v>726</v>
      </c>
      <c r="P705" s="1408"/>
      <c r="Q705" s="1408"/>
      <c r="R705" s="1409" t="s">
        <v>1544</v>
      </c>
      <c r="S705" s="1408"/>
      <c r="T705" s="1409" t="str">
        <f t="shared" ref="T705:T718" si="115">IF(Q$706="Yes",9,"")</f>
        <v/>
      </c>
      <c r="U705" s="1408"/>
      <c r="V705" s="1408"/>
      <c r="W705" s="1408"/>
      <c r="X705" s="1408"/>
      <c r="Y705" s="1408"/>
      <c r="Z705" s="1408"/>
      <c r="AA705" s="1408"/>
    </row>
    <row r="706" spans="1:27" x14ac:dyDescent="0.25">
      <c r="A706" s="926" t="s">
        <v>1724</v>
      </c>
      <c r="B706" s="897" t="str">
        <f ca="1">_xlfn.CONCAT(IFERROR(SUBSTITUTE(ADDRESS(1,MATCH(A706,INDIRECT("'"&amp;E706&amp;"'"&amp;"!A" &amp; $O$706 + 12 &amp; ":Z" &amp; $O$706+ 12),0),4),1,""),""),$O$706 + 12)</f>
        <v>T131</v>
      </c>
      <c r="C706" s="897" t="str">
        <f ca="1">_xlfn.CONCAT(IFERROR(SUBSTITUTE(ADDRESS(1,MATCH(A706,INDIRECT("'"&amp;E706&amp;"'"&amp;"!A" &amp; $O$706 + 12 &amp; ":Z" &amp; $O$706+ 12),0),4),1,""),""),$O$706 + 13)</f>
        <v>T132</v>
      </c>
      <c r="D706" s="897" t="s">
        <v>1367</v>
      </c>
      <c r="E706" s="897" t="s">
        <v>1535</v>
      </c>
      <c r="F706" s="1409"/>
      <c r="G706" s="1409"/>
      <c r="H706" s="1409"/>
      <c r="I706" s="857" t="str">
        <f t="shared" si="102"/>
        <v/>
      </c>
      <c r="J706" s="1409" t="str">
        <f t="shared" ref="J706:J732" si="116">IF(M706&lt;&gt;"",IF($Q$706="Yes",Q$1&amp;M706,""))</f>
        <v/>
      </c>
      <c r="K706" s="1409" t="str">
        <f t="shared" si="103"/>
        <v/>
      </c>
      <c r="L706" s="897" t="s">
        <v>1724</v>
      </c>
      <c r="M706" s="1410">
        <v>689</v>
      </c>
      <c r="N706" s="1409"/>
      <c r="O706" s="1408">
        <f>'Configurable Tab'!H11</f>
        <v>119</v>
      </c>
      <c r="P706" s="1408">
        <f>'Configurable Tab'!J11</f>
        <v>0</v>
      </c>
      <c r="Q706" s="1408" t="s">
        <v>649</v>
      </c>
      <c r="R706" s="1409" t="s">
        <v>1544</v>
      </c>
      <c r="S706" s="1408"/>
      <c r="T706" s="1409" t="str">
        <f t="shared" si="115"/>
        <v/>
      </c>
      <c r="U706" s="1408"/>
      <c r="V706" s="1408"/>
      <c r="W706" s="1408"/>
      <c r="X706" s="1408"/>
      <c r="Y706" s="1408"/>
      <c r="Z706" s="1408"/>
      <c r="AA706" s="1408"/>
    </row>
    <row r="707" spans="1:27" x14ac:dyDescent="0.25">
      <c r="A707" s="926" t="s">
        <v>1400</v>
      </c>
      <c r="B707" s="897" t="str">
        <f ca="1">IFERROR(_xlfn.CONCAT("C",MATCH(A707,INDIRECT("'"&amp;E707&amp;"'!C"&amp;$O$706&amp;":C"&amp;$O$708),0)+$O$706-1),"")</f>
        <v>C121</v>
      </c>
      <c r="C707" s="897" t="str">
        <f ca="1">IFERROR(_xlfn.CONCAT("D",MATCH(A707,INDIRECT("'"&amp;E707&amp;"'!C"&amp;$O$706&amp;":C"&amp;$O$708),0)+$O$706-1),"")</f>
        <v>D121</v>
      </c>
      <c r="D707" s="897" t="s">
        <v>1367</v>
      </c>
      <c r="E707" s="897" t="s">
        <v>1535</v>
      </c>
      <c r="F707" s="1409" t="s">
        <v>1400</v>
      </c>
      <c r="G707" s="1409" t="str">
        <f>IF(T707&lt;&gt;"","B","")</f>
        <v/>
      </c>
      <c r="H707" s="1409" t="s">
        <v>1926</v>
      </c>
      <c r="I707" s="857" t="str">
        <f t="shared" si="102"/>
        <v/>
      </c>
      <c r="J707" s="1409"/>
      <c r="K707" s="1409" t="str">
        <f t="shared" si="103"/>
        <v/>
      </c>
      <c r="L707" s="897" t="s">
        <v>1400</v>
      </c>
      <c r="M707" s="1410">
        <v>690</v>
      </c>
      <c r="N707" s="1409"/>
      <c r="O707" s="1408" t="s">
        <v>727</v>
      </c>
      <c r="P707" s="1408"/>
      <c r="Q707" s="1408"/>
      <c r="R707" s="1409" t="s">
        <v>1544</v>
      </c>
      <c r="S707" s="1408"/>
      <c r="T707" s="1409" t="str">
        <f t="shared" si="115"/>
        <v/>
      </c>
      <c r="U707" s="1408"/>
      <c r="V707" s="1408"/>
      <c r="W707" s="1408"/>
      <c r="X707" s="1408"/>
      <c r="Y707" s="1408"/>
      <c r="Z707" s="1408"/>
      <c r="AA707" s="1408"/>
    </row>
    <row r="708" spans="1:27" x14ac:dyDescent="0.25">
      <c r="A708" s="926" t="s">
        <v>1397</v>
      </c>
      <c r="B708" s="897" t="str">
        <f t="shared" ref="B708:B714" ca="1" si="117">_xlfn.CONCAT(IFERROR(SUBSTITUTE(ADDRESS(1,MATCH(A708,INDIRECT("'"&amp;E708&amp;"'"&amp;"!A" &amp; $O$706 + 2 &amp; ":Z" &amp; $O$706+ 2),0),4),1,""),""),$O$706 + 2)</f>
        <v>H121</v>
      </c>
      <c r="C708" s="897" t="str">
        <f t="shared" ref="C708:C714" ca="1" si="118">_xlfn.CONCAT(IFERROR(SUBSTITUTE(ADDRESS(1,MATCH(A708,INDIRECT("'"&amp;E708&amp;"'"&amp;"!A" &amp; $O$706 + 2 &amp; ":Z" &amp; $O$706+ 2),0),4),1,""),""),$O$706 + 3)</f>
        <v>H122</v>
      </c>
      <c r="D708" s="897" t="s">
        <v>1367</v>
      </c>
      <c r="E708" s="897" t="s">
        <v>1535</v>
      </c>
      <c r="F708" s="1409" t="s">
        <v>1927</v>
      </c>
      <c r="G708" s="1409" t="str">
        <f>IF(T708&lt;&gt;"","E","")</f>
        <v/>
      </c>
      <c r="H708" s="1409" t="s">
        <v>1926</v>
      </c>
      <c r="I708" s="857" t="str">
        <f t="shared" ref="I708:I771" si="119">IF(J708&lt;&gt;"",A708,"")</f>
        <v/>
      </c>
      <c r="J708" s="1409" t="str">
        <f t="shared" si="116"/>
        <v/>
      </c>
      <c r="K708" s="1409" t="str">
        <f t="shared" ref="K708:K771" si="120">IF(J708&lt;&gt;"",E708,"")</f>
        <v/>
      </c>
      <c r="L708" s="897" t="s">
        <v>1397</v>
      </c>
      <c r="M708" s="1410">
        <v>691</v>
      </c>
      <c r="N708" s="1409"/>
      <c r="O708" s="1408">
        <f>'Configurable Tab'!I11</f>
        <v>134</v>
      </c>
      <c r="P708" s="1408"/>
      <c r="Q708" s="1408"/>
      <c r="R708" s="1409" t="s">
        <v>1544</v>
      </c>
      <c r="S708" s="1408"/>
      <c r="T708" s="1409" t="str">
        <f t="shared" si="115"/>
        <v/>
      </c>
      <c r="U708" s="1408"/>
      <c r="V708" s="1408"/>
      <c r="W708" s="1408"/>
      <c r="X708" s="1408"/>
      <c r="Y708" s="1408"/>
      <c r="Z708" s="1408"/>
      <c r="AA708" s="1408"/>
    </row>
    <row r="709" spans="1:27" x14ac:dyDescent="0.25">
      <c r="A709" s="926" t="s">
        <v>1398</v>
      </c>
      <c r="B709" s="897" t="str">
        <f t="shared" ca="1" si="117"/>
        <v>J121</v>
      </c>
      <c r="C709" s="897" t="str">
        <f t="shared" ca="1" si="118"/>
        <v>J122</v>
      </c>
      <c r="D709" s="897" t="s">
        <v>1367</v>
      </c>
      <c r="E709" s="897" t="s">
        <v>1535</v>
      </c>
      <c r="F709" s="1409" t="s">
        <v>1928</v>
      </c>
      <c r="G709" s="1409" t="str">
        <f>IF(T709&lt;&gt;"","I","")</f>
        <v/>
      </c>
      <c r="H709" s="1409" t="s">
        <v>1926</v>
      </c>
      <c r="I709" s="857" t="str">
        <f t="shared" si="119"/>
        <v/>
      </c>
      <c r="J709" s="1409" t="str">
        <f t="shared" si="116"/>
        <v/>
      </c>
      <c r="K709" s="1409" t="str">
        <f t="shared" si="120"/>
        <v/>
      </c>
      <c r="L709" s="897" t="s">
        <v>1398</v>
      </c>
      <c r="M709" s="1410">
        <v>692</v>
      </c>
      <c r="N709" s="1409"/>
      <c r="O709" s="1408" t="s">
        <v>1659</v>
      </c>
      <c r="P709" s="1408"/>
      <c r="Q709" s="1408"/>
      <c r="R709" s="1409" t="s">
        <v>1544</v>
      </c>
      <c r="S709" s="1408"/>
      <c r="T709" s="1409" t="str">
        <f t="shared" si="115"/>
        <v/>
      </c>
      <c r="U709" s="1408"/>
      <c r="V709" s="1408"/>
      <c r="W709" s="1408"/>
      <c r="X709" s="1408"/>
      <c r="Y709" s="1408"/>
      <c r="Z709" s="1408"/>
      <c r="AA709" s="1408"/>
    </row>
    <row r="710" spans="1:27" x14ac:dyDescent="0.25">
      <c r="A710" s="926" t="s">
        <v>1414</v>
      </c>
      <c r="B710" s="897" t="str">
        <f t="shared" ca="1" si="117"/>
        <v>L121</v>
      </c>
      <c r="C710" s="897" t="str">
        <f t="shared" ca="1" si="118"/>
        <v>L122</v>
      </c>
      <c r="D710" s="897" t="s">
        <v>1367</v>
      </c>
      <c r="E710" s="897" t="s">
        <v>1535</v>
      </c>
      <c r="F710" s="1409" t="s">
        <v>1929</v>
      </c>
      <c r="G710" s="1409" t="str">
        <f>IF(T710&lt;&gt;"","H","")</f>
        <v/>
      </c>
      <c r="H710" s="1409" t="s">
        <v>1926</v>
      </c>
      <c r="I710" s="857" t="str">
        <f t="shared" si="119"/>
        <v/>
      </c>
      <c r="J710" s="1409" t="str">
        <f t="shared" si="116"/>
        <v/>
      </c>
      <c r="K710" s="1409" t="str">
        <f t="shared" si="120"/>
        <v/>
      </c>
      <c r="L710" s="897" t="s">
        <v>1414</v>
      </c>
      <c r="M710" s="1410">
        <v>693</v>
      </c>
      <c r="N710" s="1409"/>
      <c r="O710" s="1408"/>
      <c r="P710" s="1408"/>
      <c r="Q710" s="1408"/>
      <c r="R710" s="1409" t="s">
        <v>1544</v>
      </c>
      <c r="S710" s="1408"/>
      <c r="T710" s="1409" t="str">
        <f t="shared" si="115"/>
        <v/>
      </c>
      <c r="U710" s="1408"/>
      <c r="V710" s="1408"/>
      <c r="W710" s="1408"/>
      <c r="X710" s="1408"/>
      <c r="Y710" s="1408"/>
      <c r="Z710" s="1408"/>
      <c r="AA710" s="1408"/>
    </row>
    <row r="711" spans="1:27" x14ac:dyDescent="0.25">
      <c r="A711" s="926" t="s">
        <v>1399</v>
      </c>
      <c r="B711" s="897" t="str">
        <f t="shared" ca="1" si="117"/>
        <v>N121</v>
      </c>
      <c r="C711" s="897" t="str">
        <f t="shared" ca="1" si="118"/>
        <v>N122</v>
      </c>
      <c r="D711" s="897" t="s">
        <v>1367</v>
      </c>
      <c r="E711" s="897" t="s">
        <v>1535</v>
      </c>
      <c r="F711" s="1409" t="s">
        <v>1399</v>
      </c>
      <c r="G711" s="1409" t="str">
        <f>IF(T711&lt;&gt;"",IF(Q709="Credit Memo","J",IF(Q709="Check","K","")),"")</f>
        <v/>
      </c>
      <c r="H711" s="1409" t="s">
        <v>1926</v>
      </c>
      <c r="I711" s="857" t="str">
        <f t="shared" si="119"/>
        <v/>
      </c>
      <c r="J711" s="1409" t="str">
        <f t="shared" si="116"/>
        <v/>
      </c>
      <c r="K711" s="1409" t="str">
        <f t="shared" si="120"/>
        <v/>
      </c>
      <c r="L711" s="897" t="s">
        <v>1399</v>
      </c>
      <c r="M711" s="1410">
        <v>694</v>
      </c>
      <c r="N711" s="1409"/>
      <c r="O711" s="1408"/>
      <c r="P711" s="1408"/>
      <c r="Q711" s="1408"/>
      <c r="R711" s="1409" t="s">
        <v>1544</v>
      </c>
      <c r="S711" s="1408"/>
      <c r="T711" s="1409" t="str">
        <f t="shared" si="115"/>
        <v/>
      </c>
      <c r="U711" s="1408"/>
      <c r="V711" s="1408"/>
      <c r="W711" s="1408"/>
      <c r="X711" s="1408"/>
      <c r="Y711" s="1408"/>
      <c r="Z711" s="1408"/>
      <c r="AA711" s="1408"/>
    </row>
    <row r="712" spans="1:27" x14ac:dyDescent="0.25">
      <c r="A712" s="926" t="s">
        <v>1505</v>
      </c>
      <c r="B712" s="897" t="str">
        <f t="shared" ca="1" si="117"/>
        <v>P121</v>
      </c>
      <c r="C712" s="897" t="str">
        <f t="shared" ca="1" si="118"/>
        <v>P122</v>
      </c>
      <c r="D712" s="897" t="s">
        <v>1367</v>
      </c>
      <c r="E712" s="897" t="s">
        <v>1535</v>
      </c>
      <c r="F712" s="1409" t="s">
        <v>1930</v>
      </c>
      <c r="G712" s="1409" t="str">
        <f>IF(T712&lt;&gt;"","F","")</f>
        <v/>
      </c>
      <c r="H712" s="1409" t="s">
        <v>1926</v>
      </c>
      <c r="I712" s="857" t="str">
        <f t="shared" si="119"/>
        <v/>
      </c>
      <c r="J712" s="1409" t="str">
        <f t="shared" si="116"/>
        <v/>
      </c>
      <c r="K712" s="1409" t="str">
        <f t="shared" si="120"/>
        <v/>
      </c>
      <c r="L712" s="897" t="s">
        <v>1505</v>
      </c>
      <c r="M712" s="1410">
        <v>695</v>
      </c>
      <c r="N712" s="1409"/>
      <c r="O712" s="1408"/>
      <c r="P712" s="1408"/>
      <c r="Q712" s="1408"/>
      <c r="R712" s="1409" t="s">
        <v>1544</v>
      </c>
      <c r="S712" s="1408"/>
      <c r="T712" s="1409" t="str">
        <f t="shared" si="115"/>
        <v/>
      </c>
      <c r="U712" s="1408"/>
      <c r="V712" s="1408"/>
      <c r="W712" s="1408"/>
      <c r="X712" s="1408"/>
      <c r="Y712" s="1408"/>
      <c r="Z712" s="1408"/>
      <c r="AA712" s="1408"/>
    </row>
    <row r="713" spans="1:27" x14ac:dyDescent="0.25">
      <c r="A713" s="926" t="s">
        <v>1506</v>
      </c>
      <c r="B713" s="897" t="str">
        <f t="shared" ca="1" si="117"/>
        <v>R121</v>
      </c>
      <c r="C713" s="897" t="str">
        <f t="shared" ca="1" si="118"/>
        <v>R122</v>
      </c>
      <c r="D713" s="897" t="s">
        <v>1367</v>
      </c>
      <c r="E713" s="897" t="s">
        <v>1535</v>
      </c>
      <c r="F713" s="1409" t="s">
        <v>1931</v>
      </c>
      <c r="G713" s="1409" t="str">
        <f>IF(T713&lt;&gt;"","G","")</f>
        <v/>
      </c>
      <c r="H713" s="1409" t="s">
        <v>1926</v>
      </c>
      <c r="I713" s="857" t="str">
        <f t="shared" si="119"/>
        <v/>
      </c>
      <c r="J713" s="1409" t="str">
        <f t="shared" si="116"/>
        <v/>
      </c>
      <c r="K713" s="1409" t="str">
        <f t="shared" si="120"/>
        <v/>
      </c>
      <c r="L713" s="897" t="s">
        <v>1506</v>
      </c>
      <c r="M713" s="1410">
        <v>696</v>
      </c>
      <c r="N713" s="1409"/>
      <c r="O713" s="1408"/>
      <c r="P713" s="1408"/>
      <c r="Q713" s="1408"/>
      <c r="R713" s="1409" t="s">
        <v>1544</v>
      </c>
      <c r="S713" s="1408"/>
      <c r="T713" s="1409" t="str">
        <f t="shared" si="115"/>
        <v/>
      </c>
      <c r="U713" s="1408"/>
      <c r="V713" s="1408"/>
      <c r="W713" s="1408"/>
      <c r="X713" s="1408"/>
      <c r="Y713" s="1408"/>
      <c r="Z713" s="1408"/>
      <c r="AA713" s="1408"/>
    </row>
    <row r="714" spans="1:27" x14ac:dyDescent="0.25">
      <c r="A714" s="926" t="s">
        <v>1507</v>
      </c>
      <c r="B714" s="897" t="str">
        <f t="shared" ca="1" si="117"/>
        <v>T121</v>
      </c>
      <c r="C714" s="897" t="str">
        <f t="shared" ca="1" si="118"/>
        <v>T122</v>
      </c>
      <c r="D714" s="897" t="s">
        <v>1367</v>
      </c>
      <c r="E714" s="897" t="s">
        <v>1535</v>
      </c>
      <c r="F714" s="919" t="s">
        <v>1507</v>
      </c>
      <c r="G714" s="1409" t="str">
        <f>IF(T714&lt;&gt;"","AW","")</f>
        <v/>
      </c>
      <c r="H714" s="1409" t="s">
        <v>1926</v>
      </c>
      <c r="I714" s="857" t="str">
        <f t="shared" si="119"/>
        <v/>
      </c>
      <c r="J714" s="1409" t="str">
        <f t="shared" si="116"/>
        <v/>
      </c>
      <c r="K714" s="1409" t="str">
        <f t="shared" si="120"/>
        <v/>
      </c>
      <c r="L714" s="897" t="s">
        <v>1507</v>
      </c>
      <c r="M714" s="1410">
        <v>697</v>
      </c>
      <c r="N714" s="1409"/>
      <c r="O714" s="1408"/>
      <c r="P714" s="1408"/>
      <c r="Q714" s="1408"/>
      <c r="R714" s="1409" t="s">
        <v>1544</v>
      </c>
      <c r="S714" s="1408"/>
      <c r="T714" s="1409" t="str">
        <f t="shared" si="115"/>
        <v/>
      </c>
      <c r="U714" s="1408"/>
      <c r="V714" s="1408"/>
      <c r="W714" s="1408"/>
      <c r="X714" s="1408"/>
      <c r="Y714" s="1408"/>
      <c r="Z714" s="1408"/>
      <c r="AA714" s="1408"/>
    </row>
    <row r="715" spans="1:27" x14ac:dyDescent="0.25">
      <c r="A715" s="926" t="s">
        <v>1402</v>
      </c>
      <c r="B715" s="897" t="str">
        <f ca="1">IFERROR(_xlfn.CONCAT("C",MATCH(A715,INDIRECT("'"&amp;E715&amp;"'!C"&amp;$O$706&amp;":C"&amp;$O$708),0)+$O$706-1),"")</f>
        <v>C125</v>
      </c>
      <c r="C715" s="897" t="str">
        <f ca="1">IFERROR(_xlfn.CONCAT("D",MATCH(A715,INDIRECT("'"&amp;E715&amp;"'!C"&amp;$O$706&amp;":C"&amp;$O$708),0)+$O$706-1),"")</f>
        <v>D125</v>
      </c>
      <c r="D715" s="897" t="s">
        <v>1367</v>
      </c>
      <c r="E715" s="897" t="s">
        <v>1535</v>
      </c>
      <c r="F715" s="1409" t="s">
        <v>1402</v>
      </c>
      <c r="G715" s="1409" t="str">
        <f>IF(T715&lt;&gt;"","C","")</f>
        <v/>
      </c>
      <c r="H715" s="1409" t="s">
        <v>1926</v>
      </c>
      <c r="I715" s="857" t="str">
        <f t="shared" si="119"/>
        <v/>
      </c>
      <c r="J715" s="1409"/>
      <c r="K715" s="1409" t="str">
        <f t="shared" si="120"/>
        <v/>
      </c>
      <c r="L715" s="897" t="s">
        <v>1402</v>
      </c>
      <c r="M715" s="1410">
        <v>698</v>
      </c>
      <c r="N715" s="1409"/>
      <c r="O715" s="1408"/>
      <c r="P715" s="1408"/>
      <c r="Q715" s="1408"/>
      <c r="R715" s="1409" t="s">
        <v>1544</v>
      </c>
      <c r="S715" s="1408"/>
      <c r="T715" s="1409" t="str">
        <f t="shared" si="115"/>
        <v/>
      </c>
      <c r="U715" s="1408"/>
      <c r="V715" s="1408"/>
      <c r="W715" s="1408"/>
      <c r="X715" s="1408"/>
      <c r="Y715" s="1408"/>
      <c r="Z715" s="1408"/>
      <c r="AA715" s="1408"/>
    </row>
    <row r="716" spans="1:27" x14ac:dyDescent="0.25">
      <c r="A716" s="926" t="s">
        <v>1403</v>
      </c>
      <c r="B716" s="897" t="str">
        <f ca="1">IFERROR(_xlfn.CONCAT("C",MATCH(A716,INDIRECT("'"&amp;E716&amp;"'!C"&amp;$O$706&amp;":C"&amp;$O$708),0)+$O$706-1),"")</f>
        <v>C127</v>
      </c>
      <c r="C716" s="897" t="str">
        <f ca="1">IFERROR(_xlfn.CONCAT("D",MATCH(A716,INDIRECT("'"&amp;E716&amp;"'!C"&amp;$O$706&amp;":C"&amp;$O$708),0)+$O$706-1),"")</f>
        <v>D127</v>
      </c>
      <c r="D716" s="897" t="s">
        <v>1367</v>
      </c>
      <c r="E716" s="897" t="s">
        <v>1535</v>
      </c>
      <c r="F716" s="1409" t="s">
        <v>1403</v>
      </c>
      <c r="G716" s="1409" t="str">
        <f>IF(T716&lt;&gt;"","D","")</f>
        <v/>
      </c>
      <c r="H716" s="1409" t="s">
        <v>1926</v>
      </c>
      <c r="I716" s="857" t="str">
        <f t="shared" si="119"/>
        <v/>
      </c>
      <c r="J716" s="1409"/>
      <c r="K716" s="1409" t="str">
        <f t="shared" si="120"/>
        <v/>
      </c>
      <c r="L716" s="897" t="s">
        <v>1403</v>
      </c>
      <c r="M716" s="1410">
        <v>699</v>
      </c>
      <c r="N716" s="1409"/>
      <c r="O716" s="1408"/>
      <c r="P716" s="1408"/>
      <c r="Q716" s="1408"/>
      <c r="R716" s="1409" t="s">
        <v>1544</v>
      </c>
      <c r="S716" s="1408"/>
      <c r="T716" s="1409" t="str">
        <f t="shared" si="115"/>
        <v/>
      </c>
      <c r="U716" s="1408"/>
      <c r="V716" s="1408"/>
      <c r="W716" s="1408"/>
      <c r="X716" s="1408"/>
      <c r="Y716" s="1408"/>
      <c r="Z716" s="1408"/>
      <c r="AA716" s="1408"/>
    </row>
    <row r="717" spans="1:27" x14ac:dyDescent="0.25">
      <c r="A717" s="926" t="s">
        <v>1514</v>
      </c>
      <c r="B717" s="897" t="str">
        <f ca="1">IFERROR(_xlfn.CONCAT("C",MATCH(A717,INDIRECT("'"&amp;E717&amp;"'!C"&amp;$O$706&amp;":C"&amp;$O$708),0)+$O$706-1),"")</f>
        <v>C131</v>
      </c>
      <c r="C717" s="897" t="str">
        <f ca="1">IFERROR(_xlfn.CONCAT("D",MATCH(A717,INDIRECT("'"&amp;E717&amp;"'!C"&amp;$O$706&amp;":C"&amp;$O$708),0)+$O$706-1),"")</f>
        <v>D131</v>
      </c>
      <c r="D717" s="897" t="s">
        <v>1367</v>
      </c>
      <c r="E717" s="897" t="s">
        <v>1535</v>
      </c>
      <c r="F717" s="1409" t="s">
        <v>1514</v>
      </c>
      <c r="G717" s="1409" t="str">
        <f>IF(T717&lt;&gt;"","AN","")</f>
        <v/>
      </c>
      <c r="H717" s="1409" t="s">
        <v>1926</v>
      </c>
      <c r="I717" s="857" t="str">
        <f t="shared" si="119"/>
        <v/>
      </c>
      <c r="J717" s="1409" t="str">
        <f t="shared" si="116"/>
        <v/>
      </c>
      <c r="K717" s="1409" t="str">
        <f t="shared" si="120"/>
        <v/>
      </c>
      <c r="L717" s="897" t="s">
        <v>1514</v>
      </c>
      <c r="M717" s="1410">
        <v>700</v>
      </c>
      <c r="N717" s="1409"/>
      <c r="O717" s="1408"/>
      <c r="P717" s="1409" t="str" cm="1">
        <f t="array" aca="1" ref="P717" ca="1">_xlfn.CONCAT("F",RIGHT(B717, LEN(B717) - MAX(IF(ISNUMBER(MID(B717, ROW(INDIRECT("1:"&amp;LEN(B717))), 1) *1)=FALSE, ROW(INDIRECT("1:"&amp;LEN(B717))), 0))))</f>
        <v>F131</v>
      </c>
      <c r="Q717" s="1409" t="str" cm="1">
        <f t="array" aca="1" ref="Q717" ca="1">_xlfn.CONCAT("E",RIGHT(C717, LEN(C717) - MAX(IF(ISNUMBER(MID(C717, ROW(INDIRECT("1:"&amp;LEN(C717))), 1) *1)=FALSE, ROW(INDIRECT("1:"&amp;LEN(C717))), 0))))</f>
        <v>E131</v>
      </c>
      <c r="R717" s="1409" t="s">
        <v>1544</v>
      </c>
      <c r="S717" s="1408"/>
      <c r="T717" s="1409" t="str">
        <f t="shared" si="115"/>
        <v/>
      </c>
      <c r="U717" s="1408"/>
      <c r="V717" s="1408"/>
      <c r="W717" s="1408"/>
      <c r="X717" s="1408"/>
      <c r="Y717" s="1408"/>
      <c r="Z717" s="1408"/>
      <c r="AA717" s="1408"/>
    </row>
    <row r="718" spans="1:27" x14ac:dyDescent="0.25">
      <c r="A718" s="926" t="s">
        <v>1511</v>
      </c>
      <c r="B718" s="897" t="str">
        <f ca="1">_xlfn.CONCAT(IFERROR(SUBSTITUTE(ADDRESS(1,MATCH(A718,INDIRECT("'"&amp;E718&amp;"'"&amp;"!A" &amp; $O$706 + 12 &amp; ":Z" &amp; $O$706+ 12),0),4),1,""),""),$O$706 + 12)</f>
        <v>H131</v>
      </c>
      <c r="C718" s="897" t="str">
        <f ca="1">_xlfn.CONCAT(IFERROR(SUBSTITUTE(ADDRESS(1,MATCH(A718,INDIRECT("'"&amp;E718&amp;"'"&amp;"!A" &amp; $O$706 + 12 &amp; ":Z" &amp; $O$706+ 12),0),4),1,""),""),$O$706 + 13)</f>
        <v>H132</v>
      </c>
      <c r="D718" s="897" t="s">
        <v>1367</v>
      </c>
      <c r="E718" s="897" t="s">
        <v>1535</v>
      </c>
      <c r="F718" s="1409" t="s">
        <v>1511</v>
      </c>
      <c r="G718" s="1409" t="str">
        <f>IF(T718&lt;&gt;"","AL","")</f>
        <v/>
      </c>
      <c r="H718" s="1409" t="s">
        <v>1926</v>
      </c>
      <c r="I718" s="857" t="str">
        <f t="shared" si="119"/>
        <v/>
      </c>
      <c r="J718" s="1409" t="str">
        <f t="shared" si="116"/>
        <v/>
      </c>
      <c r="K718" s="1409" t="str">
        <f t="shared" si="120"/>
        <v/>
      </c>
      <c r="L718" s="897" t="s">
        <v>1511</v>
      </c>
      <c r="M718" s="1410">
        <v>701</v>
      </c>
      <c r="N718" s="1409"/>
      <c r="O718" s="1408"/>
      <c r="P718" s="1408"/>
      <c r="Q718" s="1408"/>
      <c r="R718" s="1409" t="s">
        <v>1544</v>
      </c>
      <c r="S718" s="1408"/>
      <c r="T718" s="1409" t="str">
        <f t="shared" si="115"/>
        <v/>
      </c>
      <c r="U718" s="1408"/>
      <c r="V718" s="1408"/>
      <c r="W718" s="1408"/>
      <c r="X718" s="1408"/>
      <c r="Y718" s="1408"/>
      <c r="Z718" s="1408"/>
      <c r="AA718" s="1408"/>
    </row>
    <row r="719" spans="1:27" x14ac:dyDescent="0.25">
      <c r="A719" s="926" t="s">
        <v>1525</v>
      </c>
      <c r="B719" s="897" t="str">
        <f ca="1">_xlfn.CONCAT(IFERROR(SUBSTITUTE(ADDRESS(1,MATCH(A719,INDIRECT("'"&amp;E719&amp;"'"&amp;"!A" &amp; $O$706 + 12 &amp; ":Z" &amp; $O$706+ 12),0),4),1,""),""),$O$706 + 12)</f>
        <v>J131</v>
      </c>
      <c r="C719" s="897" t="str">
        <f ca="1">_xlfn.CONCAT(IFERROR(SUBSTITUTE(ADDRESS(1,MATCH(A719,INDIRECT("'"&amp;E719&amp;"'"&amp;"!A" &amp; $O$706 + 12 &amp; ":Z" &amp; $O$706+ 12),0),4),1,""),""),$O$706 + 13)</f>
        <v>J132</v>
      </c>
      <c r="D719" s="897" t="s">
        <v>1367</v>
      </c>
      <c r="E719" s="897" t="s">
        <v>1535</v>
      </c>
      <c r="F719" s="1409" t="s">
        <v>1932</v>
      </c>
      <c r="G719" s="1409" t="str">
        <f>IF(T719&lt;&gt;"","L","")</f>
        <v/>
      </c>
      <c r="H719" s="1409" t="s">
        <v>1926</v>
      </c>
      <c r="I719" s="857" t="str">
        <f t="shared" si="119"/>
        <v/>
      </c>
      <c r="J719" s="1409" t="str">
        <f t="shared" si="116"/>
        <v/>
      </c>
      <c r="K719" s="1409" t="str">
        <f t="shared" si="120"/>
        <v/>
      </c>
      <c r="L719" s="897" t="s">
        <v>1525</v>
      </c>
      <c r="M719" s="1410">
        <v>702</v>
      </c>
      <c r="N719" s="1409"/>
      <c r="O719" s="1408"/>
      <c r="P719" s="1408"/>
      <c r="Q719" s="1408"/>
      <c r="R719" s="1409" t="s">
        <v>1544</v>
      </c>
      <c r="S719" s="1408"/>
      <c r="T719" s="1409" t="str">
        <f>IF(Q$706="Yes",9,"")</f>
        <v/>
      </c>
      <c r="U719" s="1408"/>
      <c r="V719" s="1408"/>
      <c r="W719" s="1408"/>
      <c r="X719" s="1408"/>
      <c r="Y719" s="1408"/>
      <c r="Z719" s="1408"/>
      <c r="AA719" s="1408"/>
    </row>
    <row r="720" spans="1:27" x14ac:dyDescent="0.25">
      <c r="A720" s="926" t="s">
        <v>1404</v>
      </c>
      <c r="B720" s="897" t="str">
        <f ca="1">_xlfn.IFNA(_xlfn.CONCAT(SUBSTITUTE(ADDRESS(1,MATCH(A720,INDIRECT("'"&amp;E720&amp;"'"&amp;"!A" &amp; $O$706 + 5 &amp; ":Z" &amp; $O$706+ 5),0),4),1,""),$O$706 + 6),"")</f>
        <v>H125</v>
      </c>
      <c r="C720" s="897" t="str">
        <f t="shared" ref="C720:C734" ca="1" si="121">_xlfn.IFNA(SUBSTITUTE(ADDRESS(1,MATCH(A720,INDIRECT("'"&amp;E720&amp;"'"&amp;"!A" &amp; $O$706 + 5 &amp; ":Z" &amp; $O$706+ 5),0),4),1,""),"")</f>
        <v>H</v>
      </c>
      <c r="D720" s="897" t="s">
        <v>1374</v>
      </c>
      <c r="E720" s="897" t="s">
        <v>1535</v>
      </c>
      <c r="F720" s="919"/>
      <c r="G720" s="1409"/>
      <c r="H720" s="1409"/>
      <c r="I720" s="857" t="str">
        <f t="shared" si="119"/>
        <v/>
      </c>
      <c r="J720" s="1409" t="str">
        <f t="shared" si="116"/>
        <v/>
      </c>
      <c r="K720" s="1409" t="str">
        <f t="shared" si="120"/>
        <v/>
      </c>
      <c r="L720" s="897" t="s">
        <v>1404</v>
      </c>
      <c r="M720" s="1410">
        <v>703</v>
      </c>
      <c r="N720" s="1409"/>
      <c r="O720" s="1408"/>
      <c r="P720" s="1408"/>
      <c r="Q720" s="1408"/>
      <c r="R720" s="1409" t="s">
        <v>1544</v>
      </c>
      <c r="S720" s="1408"/>
      <c r="T720" s="1409" t="str">
        <f t="shared" ref="T720:T734" si="122">IF(Q$706="Yes",9,"")</f>
        <v/>
      </c>
      <c r="U720" s="1408"/>
      <c r="V720" s="1408"/>
      <c r="W720" s="1408"/>
      <c r="X720" s="1408"/>
      <c r="Y720" s="1408"/>
      <c r="Z720" s="1408"/>
      <c r="AA720" s="1408"/>
    </row>
    <row r="721" spans="1:27" x14ac:dyDescent="0.25">
      <c r="A721" s="926" t="s">
        <v>1405</v>
      </c>
      <c r="B721" s="897" t="str">
        <f ca="1">_xlfn.IFNA(_xlfn.CONCAT(SUBSTITUTE(ADDRESS(1,MATCH(A721,INDIRECT("'"&amp;E721&amp;"'"&amp;"!A" &amp; $O$706 + 5 &amp; ":Z" &amp; $O$706+ 5),0),4),1,""),$O$706 + 6),"")</f>
        <v>J125</v>
      </c>
      <c r="C721" s="897" t="str">
        <f t="shared" ca="1" si="121"/>
        <v>J</v>
      </c>
      <c r="D721" s="897" t="s">
        <v>1374</v>
      </c>
      <c r="E721" s="897" t="s">
        <v>1535</v>
      </c>
      <c r="F721" s="919"/>
      <c r="G721" s="1409"/>
      <c r="H721" s="1409"/>
      <c r="I721" s="857" t="str">
        <f t="shared" si="119"/>
        <v/>
      </c>
      <c r="J721" s="1409"/>
      <c r="K721" s="1409" t="str">
        <f t="shared" si="120"/>
        <v/>
      </c>
      <c r="L721" s="897" t="s">
        <v>1405</v>
      </c>
      <c r="M721" s="1410">
        <v>704</v>
      </c>
      <c r="N721" s="1409"/>
      <c r="O721" s="1408"/>
      <c r="P721" s="1408"/>
      <c r="Q721" s="1408"/>
      <c r="R721" s="1409" t="s">
        <v>1544</v>
      </c>
      <c r="S721" s="1408"/>
      <c r="T721" s="1409" t="str">
        <f t="shared" si="122"/>
        <v/>
      </c>
      <c r="U721" s="1408"/>
      <c r="V721" s="1408"/>
      <c r="W721" s="1408"/>
      <c r="X721" s="1408"/>
      <c r="Y721" s="1408"/>
      <c r="Z721" s="1408"/>
      <c r="AA721" s="1408"/>
    </row>
    <row r="722" spans="1:27" x14ac:dyDescent="0.25">
      <c r="A722" s="926" t="s">
        <v>1406</v>
      </c>
      <c r="B722" s="897" t="str">
        <f ca="1">_xlfn.IFNA(_xlfn.CONCAT(SUBSTITUTE(ADDRESS(1,MATCH(A722,INDIRECT("'"&amp;E722&amp;"'"&amp;"!A" &amp; $O$706 + 5 &amp; ":Z" &amp; $O$706+ 5),0),4),1,""),$O$706 + 6),"")</f>
        <v>L125</v>
      </c>
      <c r="C722" s="897" t="str">
        <f t="shared" ca="1" si="121"/>
        <v>L</v>
      </c>
      <c r="D722" s="897" t="s">
        <v>1374</v>
      </c>
      <c r="E722" s="897" t="s">
        <v>1535</v>
      </c>
      <c r="F722" s="1424"/>
      <c r="G722" s="1409"/>
      <c r="H722" s="1409"/>
      <c r="I722" s="857" t="str">
        <f t="shared" si="119"/>
        <v/>
      </c>
      <c r="J722" s="1409"/>
      <c r="K722" s="1409" t="str">
        <f t="shared" si="120"/>
        <v/>
      </c>
      <c r="L722" s="897" t="s">
        <v>1406</v>
      </c>
      <c r="M722" s="1410">
        <v>705</v>
      </c>
      <c r="N722" s="1409"/>
      <c r="O722" s="1408"/>
      <c r="P722" s="1408"/>
      <c r="Q722" s="1408"/>
      <c r="R722" s="1409" t="s">
        <v>1544</v>
      </c>
      <c r="S722" s="1408"/>
      <c r="T722" s="1409" t="str">
        <f t="shared" si="122"/>
        <v/>
      </c>
      <c r="U722" s="1408"/>
      <c r="V722" s="1408"/>
      <c r="W722" s="1408"/>
      <c r="X722" s="1408"/>
      <c r="Y722" s="1408"/>
      <c r="Z722" s="1408"/>
      <c r="AA722" s="1408"/>
    </row>
    <row r="723" spans="1:27" x14ac:dyDescent="0.25">
      <c r="A723" s="926" t="s">
        <v>1404</v>
      </c>
      <c r="B723" s="897" t="str">
        <f ca="1">_xlfn.IFNA(_xlfn.CONCAT(SUBSTITUTE(ADDRESS(1,MATCH(A723,INDIRECT("'"&amp;E723&amp;"'"&amp;"!A" &amp; $O$706 + 5 &amp; ":Z" &amp; $O$706+ 5),0),4),1,""),$O$706 + 7),"")</f>
        <v>H126</v>
      </c>
      <c r="C723" s="897" t="str">
        <f t="shared" ca="1" si="121"/>
        <v>H</v>
      </c>
      <c r="D723" s="897" t="s">
        <v>1374</v>
      </c>
      <c r="E723" s="897" t="s">
        <v>1535</v>
      </c>
      <c r="F723" s="1409"/>
      <c r="G723" s="1409"/>
      <c r="H723" s="1409"/>
      <c r="I723" s="857" t="str">
        <f t="shared" si="119"/>
        <v/>
      </c>
      <c r="J723" s="1409" t="str">
        <f t="shared" si="116"/>
        <v/>
      </c>
      <c r="K723" s="1409" t="str">
        <f t="shared" si="120"/>
        <v/>
      </c>
      <c r="L723" s="897" t="s">
        <v>1404</v>
      </c>
      <c r="M723" s="1410">
        <v>706</v>
      </c>
      <c r="N723" s="1409"/>
      <c r="O723" s="1408"/>
      <c r="P723" s="1408"/>
      <c r="Q723" s="1408"/>
      <c r="R723" s="1409" t="s">
        <v>1544</v>
      </c>
      <c r="S723" s="1408"/>
      <c r="T723" s="1409" t="str">
        <f t="shared" si="122"/>
        <v/>
      </c>
      <c r="U723" s="1408"/>
      <c r="V723" s="1408"/>
      <c r="W723" s="1408"/>
      <c r="X723" s="1408"/>
      <c r="Y723" s="1408"/>
      <c r="Z723" s="1408"/>
      <c r="AA723" s="1408"/>
    </row>
    <row r="724" spans="1:27" x14ac:dyDescent="0.25">
      <c r="A724" s="926" t="s">
        <v>1405</v>
      </c>
      <c r="B724" s="897" t="str">
        <f ca="1">_xlfn.IFNA(_xlfn.CONCAT(SUBSTITUTE(ADDRESS(1,MATCH(A724,INDIRECT("'"&amp;E724&amp;"'"&amp;"!A" &amp; $O$706 + 5 &amp; ":Z" &amp; $O$706+ 5),0),4),1,""),$O$706 + 7),"")</f>
        <v>J126</v>
      </c>
      <c r="C724" s="897" t="str">
        <f t="shared" ca="1" si="121"/>
        <v>J</v>
      </c>
      <c r="D724" s="897" t="s">
        <v>1374</v>
      </c>
      <c r="E724" s="897" t="s">
        <v>1535</v>
      </c>
      <c r="F724" s="1409"/>
      <c r="G724" s="1409"/>
      <c r="H724" s="1409"/>
      <c r="I724" s="857" t="str">
        <f t="shared" si="119"/>
        <v/>
      </c>
      <c r="J724" s="1409"/>
      <c r="K724" s="1409" t="str">
        <f t="shared" si="120"/>
        <v/>
      </c>
      <c r="L724" s="897" t="s">
        <v>1405</v>
      </c>
      <c r="M724" s="1410">
        <v>707</v>
      </c>
      <c r="N724" s="1409"/>
      <c r="O724" s="1408"/>
      <c r="P724" s="1408"/>
      <c r="Q724" s="1408"/>
      <c r="R724" s="1409" t="s">
        <v>1544</v>
      </c>
      <c r="S724" s="1408"/>
      <c r="T724" s="1409" t="str">
        <f t="shared" si="122"/>
        <v/>
      </c>
      <c r="U724" s="1408"/>
      <c r="V724" s="1408"/>
      <c r="W724" s="1408"/>
      <c r="X724" s="1408"/>
      <c r="Y724" s="1408"/>
      <c r="Z724" s="1408"/>
      <c r="AA724" s="1408"/>
    </row>
    <row r="725" spans="1:27" x14ac:dyDescent="0.25">
      <c r="A725" s="926" t="s">
        <v>1406</v>
      </c>
      <c r="B725" s="897" t="str">
        <f ca="1">_xlfn.IFNA(_xlfn.CONCAT(SUBSTITUTE(ADDRESS(1,MATCH(A725,INDIRECT("'"&amp;E725&amp;"'"&amp;"!A" &amp; $O$706 + 5 &amp; ":Z" &amp; $O$706+ 5),0),4),1,""),$O$706 + 7),"")</f>
        <v>L126</v>
      </c>
      <c r="C725" s="897" t="str">
        <f t="shared" ca="1" si="121"/>
        <v>L</v>
      </c>
      <c r="D725" s="897" t="s">
        <v>1374</v>
      </c>
      <c r="E725" s="897" t="s">
        <v>1535</v>
      </c>
      <c r="F725" s="1409"/>
      <c r="G725" s="1409"/>
      <c r="H725" s="1409"/>
      <c r="I725" s="857" t="str">
        <f t="shared" si="119"/>
        <v/>
      </c>
      <c r="J725" s="1409"/>
      <c r="K725" s="1409" t="str">
        <f t="shared" si="120"/>
        <v/>
      </c>
      <c r="L725" s="897" t="s">
        <v>1406</v>
      </c>
      <c r="M725" s="1410">
        <v>708</v>
      </c>
      <c r="N725" s="1409"/>
      <c r="O725" s="1408"/>
      <c r="P725" s="1408"/>
      <c r="Q725" s="1408"/>
      <c r="R725" s="1409" t="s">
        <v>1544</v>
      </c>
      <c r="S725" s="1408"/>
      <c r="T725" s="1409" t="str">
        <f t="shared" si="122"/>
        <v/>
      </c>
      <c r="U725" s="1408"/>
      <c r="V725" s="1408"/>
      <c r="W725" s="1408"/>
      <c r="X725" s="1408"/>
      <c r="Y725" s="1408"/>
      <c r="Z725" s="1408"/>
      <c r="AA725" s="1408"/>
    </row>
    <row r="726" spans="1:27" x14ac:dyDescent="0.25">
      <c r="A726" s="926" t="s">
        <v>1404</v>
      </c>
      <c r="B726" s="897" t="str">
        <f ca="1">_xlfn.IFNA(_xlfn.CONCAT(SUBSTITUTE(ADDRESS(1,MATCH(A726,INDIRECT("'"&amp;E726&amp;"'"&amp;"!A" &amp; $O$706 + 5 &amp; ":Z" &amp; $O$706+ 5),0),4),1,""),$O$706 + 8),"")</f>
        <v>H127</v>
      </c>
      <c r="C726" s="897" t="str">
        <f t="shared" ca="1" si="121"/>
        <v>H</v>
      </c>
      <c r="D726" s="897" t="s">
        <v>1374</v>
      </c>
      <c r="E726" s="897" t="s">
        <v>1535</v>
      </c>
      <c r="F726" s="1409"/>
      <c r="G726" s="1409"/>
      <c r="H726" s="1409"/>
      <c r="I726" s="857" t="str">
        <f t="shared" si="119"/>
        <v/>
      </c>
      <c r="J726" s="1409" t="str">
        <f t="shared" si="116"/>
        <v/>
      </c>
      <c r="K726" s="1409" t="str">
        <f t="shared" si="120"/>
        <v/>
      </c>
      <c r="L726" s="897" t="s">
        <v>1404</v>
      </c>
      <c r="M726" s="1410">
        <v>709</v>
      </c>
      <c r="N726" s="1409"/>
      <c r="O726" s="1408"/>
      <c r="P726" s="1408"/>
      <c r="Q726" s="1408"/>
      <c r="R726" s="1409" t="s">
        <v>1544</v>
      </c>
      <c r="S726" s="1408"/>
      <c r="T726" s="1409" t="str">
        <f t="shared" si="122"/>
        <v/>
      </c>
      <c r="U726" s="1408"/>
      <c r="V726" s="1408"/>
      <c r="W726" s="1408"/>
      <c r="X726" s="1408"/>
      <c r="Y726" s="1408"/>
      <c r="Z726" s="1408"/>
      <c r="AA726" s="1408"/>
    </row>
    <row r="727" spans="1:27" x14ac:dyDescent="0.25">
      <c r="A727" s="926" t="s">
        <v>1405</v>
      </c>
      <c r="B727" s="897" t="str">
        <f ca="1">_xlfn.IFNA(_xlfn.CONCAT(SUBSTITUTE(ADDRESS(1,MATCH(A727,INDIRECT("'"&amp;E727&amp;"'"&amp;"!A" &amp; $O$706 + 5 &amp; ":Z" &amp; $O$706+ 5),0),4),1,""),$O$706 + 8),"")</f>
        <v>J127</v>
      </c>
      <c r="C727" s="897" t="str">
        <f t="shared" ca="1" si="121"/>
        <v>J</v>
      </c>
      <c r="D727" s="897" t="s">
        <v>1374</v>
      </c>
      <c r="E727" s="897" t="s">
        <v>1535</v>
      </c>
      <c r="F727" s="1409"/>
      <c r="G727" s="1409"/>
      <c r="H727" s="1409"/>
      <c r="I727" s="857" t="str">
        <f t="shared" si="119"/>
        <v/>
      </c>
      <c r="J727" s="1409"/>
      <c r="K727" s="1409" t="str">
        <f t="shared" si="120"/>
        <v/>
      </c>
      <c r="L727" s="897" t="s">
        <v>1405</v>
      </c>
      <c r="M727" s="1410">
        <v>710</v>
      </c>
      <c r="N727" s="1409"/>
      <c r="O727" s="1408"/>
      <c r="P727" s="1408"/>
      <c r="Q727" s="1408"/>
      <c r="R727" s="1409" t="s">
        <v>1544</v>
      </c>
      <c r="S727" s="1408"/>
      <c r="T727" s="1409" t="str">
        <f t="shared" si="122"/>
        <v/>
      </c>
      <c r="U727" s="1408"/>
      <c r="V727" s="1408"/>
      <c r="W727" s="1408"/>
      <c r="X727" s="1408"/>
      <c r="Y727" s="1408"/>
      <c r="Z727" s="1408"/>
      <c r="AA727" s="1408"/>
    </row>
    <row r="728" spans="1:27" x14ac:dyDescent="0.25">
      <c r="A728" s="926" t="s">
        <v>1406</v>
      </c>
      <c r="B728" s="897" t="str">
        <f ca="1">_xlfn.IFNA(_xlfn.CONCAT(SUBSTITUTE(ADDRESS(1,MATCH(A728,INDIRECT("'"&amp;E728&amp;"'"&amp;"!A" &amp; $O$706 + 5 &amp; ":Z" &amp; $O$706+ 5),0),4),1,""),$O$706 + 8),"")</f>
        <v>L127</v>
      </c>
      <c r="C728" s="897" t="str">
        <f t="shared" ca="1" si="121"/>
        <v>L</v>
      </c>
      <c r="D728" s="897" t="s">
        <v>1374</v>
      </c>
      <c r="E728" s="897" t="s">
        <v>1535</v>
      </c>
      <c r="F728" s="1409"/>
      <c r="G728" s="1409"/>
      <c r="H728" s="1409"/>
      <c r="I728" s="857" t="str">
        <f t="shared" si="119"/>
        <v/>
      </c>
      <c r="J728" s="1409"/>
      <c r="K728" s="1409" t="str">
        <f t="shared" si="120"/>
        <v/>
      </c>
      <c r="L728" s="897" t="s">
        <v>1406</v>
      </c>
      <c r="M728" s="1410">
        <v>711</v>
      </c>
      <c r="N728" s="1409"/>
      <c r="O728" s="1408"/>
      <c r="P728" s="1408"/>
      <c r="Q728" s="1408"/>
      <c r="R728" s="1409" t="s">
        <v>1544</v>
      </c>
      <c r="S728" s="1408"/>
      <c r="T728" s="1409" t="str">
        <f t="shared" si="122"/>
        <v/>
      </c>
      <c r="U728" s="1408"/>
      <c r="V728" s="1408"/>
      <c r="W728" s="1408"/>
      <c r="X728" s="1408"/>
      <c r="Y728" s="1408"/>
      <c r="Z728" s="1408"/>
      <c r="AA728" s="1408"/>
    </row>
    <row r="729" spans="1:27" x14ac:dyDescent="0.25">
      <c r="A729" s="926" t="s">
        <v>1404</v>
      </c>
      <c r="B729" s="897" t="str">
        <f ca="1">_xlfn.IFNA(_xlfn.CONCAT(SUBSTITUTE(ADDRESS(1,MATCH(A729,INDIRECT("'"&amp;E729&amp;"'"&amp;"!A" &amp; $O$706 + 5 &amp; ":Z" &amp; $O$706+ 5),0),4),1,""),$O$706 + 9),"")</f>
        <v>H128</v>
      </c>
      <c r="C729" s="897" t="str">
        <f t="shared" ca="1" si="121"/>
        <v>H</v>
      </c>
      <c r="D729" s="897" t="s">
        <v>1374</v>
      </c>
      <c r="E729" s="897" t="s">
        <v>1535</v>
      </c>
      <c r="F729" s="1409"/>
      <c r="G729" s="1409"/>
      <c r="H729" s="1409"/>
      <c r="I729" s="857" t="str">
        <f t="shared" si="119"/>
        <v/>
      </c>
      <c r="J729" s="1409" t="str">
        <f t="shared" si="116"/>
        <v/>
      </c>
      <c r="K729" s="1409" t="str">
        <f t="shared" si="120"/>
        <v/>
      </c>
      <c r="L729" s="897" t="s">
        <v>1404</v>
      </c>
      <c r="M729" s="1410">
        <v>712</v>
      </c>
      <c r="N729" s="1409"/>
      <c r="O729" s="1408"/>
      <c r="P729" s="1408"/>
      <c r="Q729" s="1408"/>
      <c r="R729" s="1409" t="s">
        <v>1544</v>
      </c>
      <c r="S729" s="1408"/>
      <c r="T729" s="1409" t="str">
        <f t="shared" si="122"/>
        <v/>
      </c>
      <c r="U729" s="1408"/>
      <c r="V729" s="1408"/>
      <c r="W729" s="1408"/>
      <c r="X729" s="1408"/>
      <c r="Y729" s="1408"/>
      <c r="Z729" s="1408"/>
      <c r="AA729" s="1408"/>
    </row>
    <row r="730" spans="1:27" x14ac:dyDescent="0.25">
      <c r="A730" s="926" t="s">
        <v>1405</v>
      </c>
      <c r="B730" s="897" t="str">
        <f ca="1">_xlfn.IFNA(_xlfn.CONCAT(SUBSTITUTE(ADDRESS(1,MATCH(A730,INDIRECT("'"&amp;E730&amp;"'"&amp;"!A" &amp; $O$706 + 5 &amp; ":Z" &amp; $O$706+ 5),0),4),1,""),$O$706 + 9),"")</f>
        <v>J128</v>
      </c>
      <c r="C730" s="897" t="str">
        <f t="shared" ca="1" si="121"/>
        <v>J</v>
      </c>
      <c r="D730" s="897" t="s">
        <v>1374</v>
      </c>
      <c r="E730" s="897" t="s">
        <v>1535</v>
      </c>
      <c r="F730" s="1409"/>
      <c r="G730" s="1409"/>
      <c r="H730" s="1409"/>
      <c r="I730" s="857" t="str">
        <f t="shared" si="119"/>
        <v/>
      </c>
      <c r="J730" s="1409"/>
      <c r="K730" s="1409" t="str">
        <f t="shared" si="120"/>
        <v/>
      </c>
      <c r="L730" s="897" t="s">
        <v>1405</v>
      </c>
      <c r="M730" s="1410">
        <v>713</v>
      </c>
      <c r="N730" s="1409"/>
      <c r="O730" s="1408"/>
      <c r="P730" s="1408"/>
      <c r="Q730" s="1408"/>
      <c r="R730" s="1409" t="s">
        <v>1544</v>
      </c>
      <c r="S730" s="1408"/>
      <c r="T730" s="1409" t="str">
        <f t="shared" si="122"/>
        <v/>
      </c>
      <c r="U730" s="1408"/>
      <c r="V730" s="1408"/>
      <c r="W730" s="1408"/>
      <c r="X730" s="1408"/>
      <c r="Y730" s="1408"/>
      <c r="Z730" s="1408"/>
      <c r="AA730" s="1408"/>
    </row>
    <row r="731" spans="1:27" x14ac:dyDescent="0.25">
      <c r="A731" s="926" t="s">
        <v>1406</v>
      </c>
      <c r="B731" s="897" t="str">
        <f ca="1">_xlfn.IFNA(_xlfn.CONCAT(SUBSTITUTE(ADDRESS(1,MATCH(A731,INDIRECT("'"&amp;E731&amp;"'"&amp;"!A" &amp; $O$706 + 5 &amp; ":Z" &amp; $O$706+ 5),0),4),1,""),$O$706 + 9),"")</f>
        <v>L128</v>
      </c>
      <c r="C731" s="897" t="str">
        <f t="shared" ca="1" si="121"/>
        <v>L</v>
      </c>
      <c r="D731" s="897" t="s">
        <v>1374</v>
      </c>
      <c r="E731" s="897" t="s">
        <v>1535</v>
      </c>
      <c r="F731" s="1409"/>
      <c r="G731" s="1409"/>
      <c r="H731" s="1409"/>
      <c r="I731" s="857" t="str">
        <f t="shared" si="119"/>
        <v/>
      </c>
      <c r="J731" s="1409"/>
      <c r="K731" s="1409" t="str">
        <f t="shared" si="120"/>
        <v/>
      </c>
      <c r="L731" s="897" t="s">
        <v>1406</v>
      </c>
      <c r="M731" s="1410">
        <v>714</v>
      </c>
      <c r="N731" s="1409"/>
      <c r="O731" s="1408"/>
      <c r="P731" s="1408"/>
      <c r="Q731" s="1408"/>
      <c r="R731" s="1409" t="s">
        <v>1544</v>
      </c>
      <c r="S731" s="1408"/>
      <c r="T731" s="1409" t="str">
        <f t="shared" si="122"/>
        <v/>
      </c>
      <c r="U731" s="1408"/>
      <c r="V731" s="1408"/>
      <c r="W731" s="1408"/>
      <c r="X731" s="1408"/>
      <c r="Y731" s="1408"/>
      <c r="Z731" s="1408"/>
      <c r="AA731" s="1408"/>
    </row>
    <row r="732" spans="1:27" x14ac:dyDescent="0.25">
      <c r="A732" s="926" t="s">
        <v>1404</v>
      </c>
      <c r="B732" s="897" t="str">
        <f ca="1">_xlfn.IFNA(_xlfn.CONCAT(SUBSTITUTE(ADDRESS(1,MATCH(A732,INDIRECT("'"&amp;E732&amp;"'"&amp;"!A" &amp; $O$706 + 5 &amp; ":Z" &amp; $O$706+ 5),0),4),1,""),$O$706 + 10),"")</f>
        <v>H129</v>
      </c>
      <c r="C732" s="897" t="str">
        <f t="shared" ca="1" si="121"/>
        <v>H</v>
      </c>
      <c r="D732" s="897" t="s">
        <v>1374</v>
      </c>
      <c r="E732" s="897" t="s">
        <v>1535</v>
      </c>
      <c r="F732" s="1409"/>
      <c r="G732" s="1409"/>
      <c r="H732" s="1409"/>
      <c r="I732" s="857" t="str">
        <f t="shared" si="119"/>
        <v/>
      </c>
      <c r="J732" s="1409" t="str">
        <f t="shared" si="116"/>
        <v/>
      </c>
      <c r="K732" s="1409" t="str">
        <f t="shared" si="120"/>
        <v/>
      </c>
      <c r="L732" s="897" t="s">
        <v>1404</v>
      </c>
      <c r="M732" s="1410">
        <v>715</v>
      </c>
      <c r="N732" s="1409"/>
      <c r="O732" s="1408"/>
      <c r="P732" s="1408"/>
      <c r="Q732" s="1408"/>
      <c r="R732" s="1409" t="s">
        <v>1544</v>
      </c>
      <c r="S732" s="1408"/>
      <c r="T732" s="1409" t="str">
        <f t="shared" si="122"/>
        <v/>
      </c>
      <c r="U732" s="1408"/>
      <c r="V732" s="1408"/>
      <c r="W732" s="1408"/>
      <c r="X732" s="1408"/>
      <c r="Y732" s="1408"/>
      <c r="Z732" s="1408"/>
      <c r="AA732" s="1408"/>
    </row>
    <row r="733" spans="1:27" x14ac:dyDescent="0.25">
      <c r="A733" s="926" t="s">
        <v>1405</v>
      </c>
      <c r="B733" s="897" t="str">
        <f ca="1">_xlfn.IFNA(_xlfn.CONCAT(SUBSTITUTE(ADDRESS(1,MATCH(A733,INDIRECT("'"&amp;E733&amp;"'"&amp;"!A" &amp; $O$706 + 5 &amp; ":Z" &amp; $O$706+ 5),0),4),1,""),$O$706 + 10),"")</f>
        <v>J129</v>
      </c>
      <c r="C733" s="897" t="str">
        <f t="shared" ca="1" si="121"/>
        <v>J</v>
      </c>
      <c r="D733" s="897" t="s">
        <v>1374</v>
      </c>
      <c r="E733" s="897" t="s">
        <v>1535</v>
      </c>
      <c r="F733" s="1409"/>
      <c r="G733" s="1409"/>
      <c r="H733" s="1409"/>
      <c r="I733" s="857" t="str">
        <f t="shared" si="119"/>
        <v/>
      </c>
      <c r="J733" s="1409"/>
      <c r="K733" s="1409" t="str">
        <f t="shared" si="120"/>
        <v/>
      </c>
      <c r="L733" s="897" t="s">
        <v>1405</v>
      </c>
      <c r="M733" s="1410">
        <v>716</v>
      </c>
      <c r="N733" s="1409"/>
      <c r="O733" s="1408"/>
      <c r="P733" s="1408"/>
      <c r="Q733" s="1408"/>
      <c r="R733" s="1409" t="s">
        <v>1544</v>
      </c>
      <c r="S733" s="1408"/>
      <c r="T733" s="1409" t="str">
        <f t="shared" si="122"/>
        <v/>
      </c>
      <c r="U733" s="1408"/>
      <c r="V733" s="1408"/>
      <c r="W733" s="1408"/>
      <c r="X733" s="1408"/>
      <c r="Y733" s="1408"/>
      <c r="Z733" s="1408"/>
      <c r="AA733" s="1408"/>
    </row>
    <row r="734" spans="1:27" x14ac:dyDescent="0.25">
      <c r="A734" s="926" t="s">
        <v>1406</v>
      </c>
      <c r="B734" s="897" t="str">
        <f ca="1">_xlfn.IFNA(_xlfn.CONCAT(SUBSTITUTE(ADDRESS(1,MATCH(A734,INDIRECT("'"&amp;E734&amp;"'"&amp;"!A" &amp; $O$706 + 5 &amp; ":Z" &amp; $O$706+ 5),0),4),1,""),$O$706 + 10),"")</f>
        <v>L129</v>
      </c>
      <c r="C734" s="897" t="str">
        <f t="shared" ca="1" si="121"/>
        <v>L</v>
      </c>
      <c r="D734" s="897" t="s">
        <v>1374</v>
      </c>
      <c r="E734" s="897" t="s">
        <v>1535</v>
      </c>
      <c r="F734" s="1409"/>
      <c r="G734" s="1409"/>
      <c r="H734" s="1409"/>
      <c r="I734" s="857" t="str">
        <f t="shared" si="119"/>
        <v/>
      </c>
      <c r="J734" s="1409"/>
      <c r="K734" s="1409" t="str">
        <f t="shared" si="120"/>
        <v/>
      </c>
      <c r="L734" s="897" t="s">
        <v>1406</v>
      </c>
      <c r="M734" s="1410">
        <v>717</v>
      </c>
      <c r="N734" s="1409"/>
      <c r="O734" s="1408"/>
      <c r="P734" s="1408"/>
      <c r="Q734" s="1408"/>
      <c r="R734" s="1409" t="s">
        <v>1544</v>
      </c>
      <c r="S734" s="1408"/>
      <c r="T734" s="1409" t="str">
        <f t="shared" si="122"/>
        <v/>
      </c>
      <c r="U734" s="1408"/>
      <c r="V734" s="1408"/>
      <c r="W734" s="1408"/>
      <c r="X734" s="1408"/>
      <c r="Y734" s="1408"/>
      <c r="Z734" s="1408"/>
      <c r="AA734" s="1408"/>
    </row>
    <row r="735" spans="1:27" x14ac:dyDescent="0.25">
      <c r="A735" s="929" t="s">
        <v>1510</v>
      </c>
      <c r="B735" s="897" t="str">
        <f ca="1">IFERROR(_xlfn.CONCAT("C",MATCH(A735,INDIRECT("'"&amp;E735&amp;"'!C"&amp;$O$736&amp;":C"&amp;$O$738),0)+$O$736-1),"")</f>
        <v>C139</v>
      </c>
      <c r="C735" s="897" t="str">
        <f ca="1">IFERROR(_xlfn.CONCAT("D",MATCH(A735,INDIRECT("'"&amp;E735&amp;"'!C"&amp;$O$736&amp;":C"&amp;$O$738),0)+$O$736-1),"")</f>
        <v>D139</v>
      </c>
      <c r="D735" s="897" t="s">
        <v>1367</v>
      </c>
      <c r="E735" s="897" t="s">
        <v>1535</v>
      </c>
      <c r="F735" s="1409" t="s">
        <v>1510</v>
      </c>
      <c r="G735" s="1409" t="str">
        <f>IF(T735&lt;&gt;"","A","")</f>
        <v/>
      </c>
      <c r="H735" s="1409" t="s">
        <v>1926</v>
      </c>
      <c r="I735" s="857" t="str">
        <f t="shared" si="119"/>
        <v/>
      </c>
      <c r="J735" s="1409"/>
      <c r="K735" s="1409" t="str">
        <f t="shared" si="120"/>
        <v/>
      </c>
      <c r="L735" s="897" t="s">
        <v>1510</v>
      </c>
      <c r="M735" s="1410">
        <v>718</v>
      </c>
      <c r="N735" s="1409"/>
      <c r="O735" s="1408" t="s">
        <v>726</v>
      </c>
      <c r="P735" s="1408"/>
      <c r="Q735" s="1408"/>
      <c r="R735" s="1409" t="s">
        <v>1544</v>
      </c>
      <c r="S735" s="1408"/>
      <c r="T735" s="1409" t="str">
        <f t="shared" ref="T735:T764" si="123">IF(Q$736="Yes",10,"")</f>
        <v/>
      </c>
      <c r="U735" s="1408"/>
      <c r="V735" s="1408"/>
      <c r="W735" s="1408"/>
      <c r="X735" s="1408"/>
      <c r="Y735" s="1408"/>
      <c r="Z735" s="1408"/>
      <c r="AA735" s="1408"/>
    </row>
    <row r="736" spans="1:27" x14ac:dyDescent="0.25">
      <c r="A736" s="929" t="s">
        <v>1724</v>
      </c>
      <c r="B736" s="897" t="str">
        <f ca="1">_xlfn.CONCAT(IFERROR(SUBSTITUTE(ADDRESS(1,MATCH(A736,INDIRECT("'"&amp;E736&amp;"'"&amp;"!A" &amp; $O$736 + 12 &amp; ":Z" &amp; $O$736+ 12),0),4),1,""),""),$O$736 + 12)</f>
        <v>T147</v>
      </c>
      <c r="C736" s="897" t="str">
        <f ca="1">_xlfn.CONCAT(IFERROR(SUBSTITUTE(ADDRESS(1,MATCH(A736,INDIRECT("'"&amp;E736&amp;"'"&amp;"!A" &amp; $O$736 + 12 &amp; ":Z" &amp; $O$736+ 12),0),4),1,""),""),$O$736 + 13)</f>
        <v>T148</v>
      </c>
      <c r="D736" s="897" t="s">
        <v>1367</v>
      </c>
      <c r="E736" s="897" t="s">
        <v>1535</v>
      </c>
      <c r="F736" s="1409"/>
      <c r="G736" s="1409"/>
      <c r="H736" s="1409"/>
      <c r="I736" s="857" t="str">
        <f t="shared" si="119"/>
        <v/>
      </c>
      <c r="J736" s="1409" t="str">
        <f t="shared" ref="J736:J762" si="124">IF(M736&lt;&gt;"",IF($Q$736="Yes",Q$1&amp;M736,""))</f>
        <v/>
      </c>
      <c r="K736" s="1409" t="str">
        <f t="shared" si="120"/>
        <v/>
      </c>
      <c r="L736" s="897" t="s">
        <v>1724</v>
      </c>
      <c r="M736" s="1410">
        <v>719</v>
      </c>
      <c r="N736" s="1409"/>
      <c r="O736" s="1408">
        <f>'Configurable Tab'!H12</f>
        <v>135</v>
      </c>
      <c r="P736" s="1408">
        <f>'Configurable Tab'!J12</f>
        <v>0</v>
      </c>
      <c r="Q736" s="1408" t="s">
        <v>649</v>
      </c>
      <c r="R736" s="1409" t="s">
        <v>1544</v>
      </c>
      <c r="S736" s="1408"/>
      <c r="T736" s="1409" t="str">
        <f t="shared" si="123"/>
        <v/>
      </c>
      <c r="U736" s="1408"/>
      <c r="V736" s="1408"/>
      <c r="W736" s="1408"/>
      <c r="X736" s="1408"/>
      <c r="Y736" s="1408"/>
      <c r="Z736" s="1408"/>
      <c r="AA736" s="1408"/>
    </row>
    <row r="737" spans="1:27" x14ac:dyDescent="0.25">
      <c r="A737" s="929" t="s">
        <v>1400</v>
      </c>
      <c r="B737" s="897" t="str">
        <f ca="1">IFERROR(_xlfn.CONCAT("C",MATCH(A737,INDIRECT("'"&amp;E737&amp;"'!C"&amp;$O$736&amp;":C"&amp;$O$738),0)+$O$736-1),"")</f>
        <v>C137</v>
      </c>
      <c r="C737" s="897" t="str">
        <f ca="1">IFERROR(_xlfn.CONCAT("D",MATCH(A737,INDIRECT("'"&amp;E737&amp;"'!C"&amp;$O$736&amp;":C"&amp;$O$738),0)+$O$736-1),"")</f>
        <v>D137</v>
      </c>
      <c r="D737" s="897" t="s">
        <v>1367</v>
      </c>
      <c r="E737" s="897" t="s">
        <v>1535</v>
      </c>
      <c r="F737" s="1409" t="s">
        <v>1400</v>
      </c>
      <c r="G737" s="1409" t="str">
        <f>IF(T737&lt;&gt;"","B","")</f>
        <v/>
      </c>
      <c r="H737" s="1409" t="s">
        <v>1926</v>
      </c>
      <c r="I737" s="857" t="str">
        <f t="shared" si="119"/>
        <v/>
      </c>
      <c r="J737" s="1409"/>
      <c r="K737" s="1409" t="str">
        <f t="shared" si="120"/>
        <v/>
      </c>
      <c r="L737" s="897" t="s">
        <v>1400</v>
      </c>
      <c r="M737" s="1410">
        <v>720</v>
      </c>
      <c r="N737" s="1409"/>
      <c r="O737" s="1408" t="s">
        <v>727</v>
      </c>
      <c r="P737" s="1408"/>
      <c r="Q737" s="1408"/>
      <c r="R737" s="1409" t="s">
        <v>1544</v>
      </c>
      <c r="S737" s="1408"/>
      <c r="T737" s="1409" t="str">
        <f t="shared" si="123"/>
        <v/>
      </c>
      <c r="U737" s="1408"/>
      <c r="V737" s="1408"/>
      <c r="W737" s="1408"/>
      <c r="X737" s="1408"/>
      <c r="Y737" s="1408"/>
      <c r="Z737" s="1408"/>
      <c r="AA737" s="1408"/>
    </row>
    <row r="738" spans="1:27" x14ac:dyDescent="0.25">
      <c r="A738" s="929" t="s">
        <v>1397</v>
      </c>
      <c r="B738" s="897" t="str">
        <f t="shared" ref="B738:B744" ca="1" si="125">_xlfn.CONCAT(IFERROR(SUBSTITUTE(ADDRESS(1,MATCH(A738,INDIRECT("'"&amp;E738&amp;"'"&amp;"!A" &amp; $O$736 + 2 &amp; ":Z" &amp; $O$736+ 2),0),4),1,""),""),$O$736 + 2)</f>
        <v>H137</v>
      </c>
      <c r="C738" s="897" t="str">
        <f t="shared" ref="C738:C744" ca="1" si="126">_xlfn.CONCAT(IFERROR(SUBSTITUTE(ADDRESS(1,MATCH(A738,INDIRECT("'"&amp;E738&amp;"'"&amp;"!A" &amp; $O$736 + 2 &amp; ":Z" &amp; $O$736+ 2),0),4),1,""),""),$O$736 + 3)</f>
        <v>H138</v>
      </c>
      <c r="D738" s="897" t="s">
        <v>1367</v>
      </c>
      <c r="E738" s="897" t="s">
        <v>1535</v>
      </c>
      <c r="F738" s="1409" t="s">
        <v>1927</v>
      </c>
      <c r="G738" s="1409" t="str">
        <f>IF(T738&lt;&gt;"","E","")</f>
        <v/>
      </c>
      <c r="H738" s="1409" t="s">
        <v>1926</v>
      </c>
      <c r="I738" s="857" t="str">
        <f t="shared" si="119"/>
        <v/>
      </c>
      <c r="J738" s="1409" t="str">
        <f t="shared" si="124"/>
        <v/>
      </c>
      <c r="K738" s="1409" t="str">
        <f t="shared" si="120"/>
        <v/>
      </c>
      <c r="L738" s="897" t="s">
        <v>1397</v>
      </c>
      <c r="M738" s="1410">
        <v>721</v>
      </c>
      <c r="N738" s="1409"/>
      <c r="O738" s="1408">
        <f>'Configurable Tab'!I12</f>
        <v>150</v>
      </c>
      <c r="P738" s="1408"/>
      <c r="Q738" s="1408"/>
      <c r="R738" s="1409" t="s">
        <v>1544</v>
      </c>
      <c r="S738" s="1408"/>
      <c r="T738" s="1409" t="str">
        <f t="shared" si="123"/>
        <v/>
      </c>
      <c r="U738" s="1408"/>
      <c r="V738" s="1408"/>
      <c r="W738" s="1408"/>
      <c r="X738" s="1408"/>
      <c r="Y738" s="1408"/>
      <c r="Z738" s="1408"/>
      <c r="AA738" s="1408"/>
    </row>
    <row r="739" spans="1:27" x14ac:dyDescent="0.25">
      <c r="A739" s="929" t="s">
        <v>1398</v>
      </c>
      <c r="B739" s="897" t="str">
        <f t="shared" ca="1" si="125"/>
        <v>J137</v>
      </c>
      <c r="C739" s="897" t="str">
        <f t="shared" ca="1" si="126"/>
        <v>J138</v>
      </c>
      <c r="D739" s="897" t="s">
        <v>1367</v>
      </c>
      <c r="E739" s="897" t="s">
        <v>1535</v>
      </c>
      <c r="F739" s="1409" t="s">
        <v>1928</v>
      </c>
      <c r="G739" s="1409" t="str">
        <f>IF(T739&lt;&gt;"","I","")</f>
        <v/>
      </c>
      <c r="H739" s="1409" t="s">
        <v>1926</v>
      </c>
      <c r="I739" s="857" t="str">
        <f t="shared" si="119"/>
        <v/>
      </c>
      <c r="J739" s="1409" t="str">
        <f t="shared" si="124"/>
        <v/>
      </c>
      <c r="K739" s="1409" t="str">
        <f t="shared" si="120"/>
        <v/>
      </c>
      <c r="L739" s="897" t="s">
        <v>1398</v>
      </c>
      <c r="M739" s="1410">
        <v>722</v>
      </c>
      <c r="N739" s="1409"/>
      <c r="O739" s="1408" t="s">
        <v>1660</v>
      </c>
      <c r="P739" s="1408"/>
      <c r="Q739" s="1408"/>
      <c r="R739" s="1409" t="s">
        <v>1544</v>
      </c>
      <c r="S739" s="1408"/>
      <c r="T739" s="1409" t="str">
        <f t="shared" si="123"/>
        <v/>
      </c>
      <c r="U739" s="1408"/>
      <c r="V739" s="1408"/>
      <c r="W739" s="1408"/>
      <c r="X739" s="1408"/>
      <c r="Y739" s="1408"/>
      <c r="Z739" s="1408"/>
      <c r="AA739" s="1408"/>
    </row>
    <row r="740" spans="1:27" x14ac:dyDescent="0.25">
      <c r="A740" s="929" t="s">
        <v>1414</v>
      </c>
      <c r="B740" s="897" t="str">
        <f t="shared" ca="1" si="125"/>
        <v>L137</v>
      </c>
      <c r="C740" s="897" t="str">
        <f t="shared" ca="1" si="126"/>
        <v>L138</v>
      </c>
      <c r="D740" s="897" t="s">
        <v>1367</v>
      </c>
      <c r="E740" s="897" t="s">
        <v>1535</v>
      </c>
      <c r="F740" s="1409" t="s">
        <v>1929</v>
      </c>
      <c r="G740" s="1409" t="str">
        <f>IF(T740&lt;&gt;"","H","")</f>
        <v/>
      </c>
      <c r="H740" s="1409" t="s">
        <v>1926</v>
      </c>
      <c r="I740" s="857" t="str">
        <f t="shared" si="119"/>
        <v/>
      </c>
      <c r="J740" s="1409" t="str">
        <f t="shared" si="124"/>
        <v/>
      </c>
      <c r="K740" s="1409" t="str">
        <f t="shared" si="120"/>
        <v/>
      </c>
      <c r="L740" s="897" t="s">
        <v>1414</v>
      </c>
      <c r="M740" s="1410">
        <v>723</v>
      </c>
      <c r="N740" s="1409"/>
      <c r="O740" s="1408"/>
      <c r="P740" s="1408"/>
      <c r="Q740" s="1408"/>
      <c r="R740" s="1409" t="s">
        <v>1544</v>
      </c>
      <c r="S740" s="1408"/>
      <c r="T740" s="1409" t="str">
        <f t="shared" si="123"/>
        <v/>
      </c>
      <c r="U740" s="1408"/>
      <c r="V740" s="1408"/>
      <c r="W740" s="1408"/>
      <c r="X740" s="1408"/>
      <c r="Y740" s="1408"/>
      <c r="Z740" s="1408"/>
      <c r="AA740" s="1408"/>
    </row>
    <row r="741" spans="1:27" x14ac:dyDescent="0.25">
      <c r="A741" s="929" t="s">
        <v>1399</v>
      </c>
      <c r="B741" s="897" t="str">
        <f t="shared" ca="1" si="125"/>
        <v>N137</v>
      </c>
      <c r="C741" s="897" t="str">
        <f t="shared" ca="1" si="126"/>
        <v>N138</v>
      </c>
      <c r="D741" s="897" t="s">
        <v>1367</v>
      </c>
      <c r="E741" s="897" t="s">
        <v>1535</v>
      </c>
      <c r="F741" s="1409" t="s">
        <v>1399</v>
      </c>
      <c r="G741" s="1409" t="str">
        <f>IF(T741&lt;&gt;"",IF(Q739="Credit Memo","J",IF(Q739="Check","K","")),"")</f>
        <v/>
      </c>
      <c r="H741" s="1409" t="s">
        <v>1926</v>
      </c>
      <c r="I741" s="857" t="str">
        <f t="shared" si="119"/>
        <v/>
      </c>
      <c r="J741" s="1409" t="str">
        <f t="shared" si="124"/>
        <v/>
      </c>
      <c r="K741" s="1409" t="str">
        <f t="shared" si="120"/>
        <v/>
      </c>
      <c r="L741" s="897" t="s">
        <v>1399</v>
      </c>
      <c r="M741" s="1410">
        <v>724</v>
      </c>
      <c r="N741" s="1409"/>
      <c r="O741" s="1408"/>
      <c r="P741" s="1408"/>
      <c r="Q741" s="1408"/>
      <c r="R741" s="1409" t="s">
        <v>1544</v>
      </c>
      <c r="S741" s="1408"/>
      <c r="T741" s="1409" t="str">
        <f t="shared" si="123"/>
        <v/>
      </c>
      <c r="U741" s="1408"/>
      <c r="V741" s="1408"/>
      <c r="W741" s="1408"/>
      <c r="X741" s="1408"/>
      <c r="Y741" s="1408"/>
      <c r="Z741" s="1408"/>
      <c r="AA741" s="1408"/>
    </row>
    <row r="742" spans="1:27" x14ac:dyDescent="0.25">
      <c r="A742" s="929" t="s">
        <v>1505</v>
      </c>
      <c r="B742" s="897" t="str">
        <f t="shared" ca="1" si="125"/>
        <v>P137</v>
      </c>
      <c r="C742" s="897" t="str">
        <f t="shared" ca="1" si="126"/>
        <v>P138</v>
      </c>
      <c r="D742" s="897" t="s">
        <v>1367</v>
      </c>
      <c r="E742" s="897" t="s">
        <v>1535</v>
      </c>
      <c r="F742" s="1409" t="s">
        <v>1930</v>
      </c>
      <c r="G742" s="1409" t="str">
        <f>IF(T742&lt;&gt;"","F","")</f>
        <v/>
      </c>
      <c r="H742" s="1409" t="s">
        <v>1926</v>
      </c>
      <c r="I742" s="857" t="str">
        <f t="shared" si="119"/>
        <v/>
      </c>
      <c r="J742" s="1409" t="str">
        <f t="shared" si="124"/>
        <v/>
      </c>
      <c r="K742" s="1409" t="str">
        <f t="shared" si="120"/>
        <v/>
      </c>
      <c r="L742" s="897" t="s">
        <v>1505</v>
      </c>
      <c r="M742" s="1410">
        <v>725</v>
      </c>
      <c r="N742" s="1409"/>
      <c r="O742" s="1408"/>
      <c r="P742" s="1408"/>
      <c r="Q742" s="1408"/>
      <c r="R742" s="1409" t="s">
        <v>1544</v>
      </c>
      <c r="S742" s="1408"/>
      <c r="T742" s="1409" t="str">
        <f t="shared" si="123"/>
        <v/>
      </c>
      <c r="U742" s="1408"/>
      <c r="V742" s="1408"/>
      <c r="W742" s="1408"/>
      <c r="X742" s="1408"/>
      <c r="Y742" s="1408"/>
      <c r="Z742" s="1408"/>
      <c r="AA742" s="1408"/>
    </row>
    <row r="743" spans="1:27" x14ac:dyDescent="0.25">
      <c r="A743" s="929" t="s">
        <v>1506</v>
      </c>
      <c r="B743" s="897" t="str">
        <f t="shared" ca="1" si="125"/>
        <v>R137</v>
      </c>
      <c r="C743" s="897" t="str">
        <f t="shared" ca="1" si="126"/>
        <v>R138</v>
      </c>
      <c r="D743" s="897" t="s">
        <v>1367</v>
      </c>
      <c r="E743" s="897" t="s">
        <v>1535</v>
      </c>
      <c r="F743" s="1409" t="s">
        <v>1931</v>
      </c>
      <c r="G743" s="1409" t="str">
        <f>IF(T743&lt;&gt;"","G","")</f>
        <v/>
      </c>
      <c r="H743" s="1409" t="s">
        <v>1926</v>
      </c>
      <c r="I743" s="857" t="str">
        <f t="shared" si="119"/>
        <v/>
      </c>
      <c r="J743" s="1409" t="str">
        <f t="shared" si="124"/>
        <v/>
      </c>
      <c r="K743" s="1409" t="str">
        <f t="shared" si="120"/>
        <v/>
      </c>
      <c r="L743" s="897" t="s">
        <v>1506</v>
      </c>
      <c r="M743" s="1410">
        <v>726</v>
      </c>
      <c r="N743" s="1409"/>
      <c r="O743" s="1408"/>
      <c r="P743" s="1408"/>
      <c r="Q743" s="1408"/>
      <c r="R743" s="1409" t="s">
        <v>1544</v>
      </c>
      <c r="S743" s="1408"/>
      <c r="T743" s="1409" t="str">
        <f t="shared" si="123"/>
        <v/>
      </c>
      <c r="U743" s="1408"/>
      <c r="V743" s="1408"/>
      <c r="W743" s="1408"/>
      <c r="X743" s="1408"/>
      <c r="Y743" s="1408"/>
      <c r="Z743" s="1408"/>
      <c r="AA743" s="1408"/>
    </row>
    <row r="744" spans="1:27" x14ac:dyDescent="0.25">
      <c r="A744" s="929" t="s">
        <v>1507</v>
      </c>
      <c r="B744" s="897" t="str">
        <f t="shared" ca="1" si="125"/>
        <v>T137</v>
      </c>
      <c r="C744" s="897" t="str">
        <f t="shared" ca="1" si="126"/>
        <v>T138</v>
      </c>
      <c r="D744" s="897" t="s">
        <v>1367</v>
      </c>
      <c r="E744" s="897" t="s">
        <v>1535</v>
      </c>
      <c r="F744" s="919" t="s">
        <v>1507</v>
      </c>
      <c r="G744" s="1409" t="str">
        <f>IF(T744&lt;&gt;"","AW","")</f>
        <v/>
      </c>
      <c r="H744" s="1409" t="s">
        <v>1926</v>
      </c>
      <c r="I744" s="857" t="str">
        <f t="shared" si="119"/>
        <v/>
      </c>
      <c r="J744" s="1409" t="str">
        <f t="shared" si="124"/>
        <v/>
      </c>
      <c r="K744" s="1409" t="str">
        <f t="shared" si="120"/>
        <v/>
      </c>
      <c r="L744" s="897" t="s">
        <v>1507</v>
      </c>
      <c r="M744" s="1410">
        <v>727</v>
      </c>
      <c r="N744" s="1409"/>
      <c r="O744" s="1408"/>
      <c r="P744" s="1408"/>
      <c r="Q744" s="1408"/>
      <c r="R744" s="1409" t="s">
        <v>1544</v>
      </c>
      <c r="S744" s="1408"/>
      <c r="T744" s="1409" t="str">
        <f t="shared" si="123"/>
        <v/>
      </c>
      <c r="U744" s="1408"/>
      <c r="V744" s="1408"/>
      <c r="W744" s="1408"/>
      <c r="X744" s="1408"/>
      <c r="Y744" s="1408"/>
      <c r="Z744" s="1408"/>
      <c r="AA744" s="1408"/>
    </row>
    <row r="745" spans="1:27" x14ac:dyDescent="0.25">
      <c r="A745" s="929" t="s">
        <v>1402</v>
      </c>
      <c r="B745" s="897" t="str">
        <f ca="1">IFERROR(_xlfn.CONCAT("C",MATCH(A745,INDIRECT("'"&amp;E745&amp;"'!C"&amp;$O$736&amp;":C"&amp;$O$738),0)+$O$736-1),"")</f>
        <v>C141</v>
      </c>
      <c r="C745" s="897" t="str">
        <f ca="1">IFERROR(_xlfn.CONCAT("D",MATCH(A745,INDIRECT("'"&amp;E745&amp;"'!C"&amp;$O$736&amp;":C"&amp;$O$738),0)+$O$736-1),"")</f>
        <v>D141</v>
      </c>
      <c r="D745" s="897" t="s">
        <v>1367</v>
      </c>
      <c r="E745" s="897" t="s">
        <v>1535</v>
      </c>
      <c r="F745" s="1409" t="s">
        <v>1402</v>
      </c>
      <c r="G745" s="1409" t="str">
        <f>IF(T745&lt;&gt;"","C","")</f>
        <v/>
      </c>
      <c r="H745" s="1409" t="s">
        <v>1926</v>
      </c>
      <c r="I745" s="857" t="str">
        <f t="shared" si="119"/>
        <v/>
      </c>
      <c r="J745" s="1409"/>
      <c r="K745" s="1409" t="str">
        <f t="shared" si="120"/>
        <v/>
      </c>
      <c r="L745" s="897" t="s">
        <v>1402</v>
      </c>
      <c r="M745" s="1410">
        <v>728</v>
      </c>
      <c r="N745" s="1409"/>
      <c r="O745" s="1408"/>
      <c r="P745" s="1408"/>
      <c r="Q745" s="1408"/>
      <c r="R745" s="1409" t="s">
        <v>1544</v>
      </c>
      <c r="S745" s="1408"/>
      <c r="T745" s="1409" t="str">
        <f t="shared" si="123"/>
        <v/>
      </c>
      <c r="U745" s="1408"/>
      <c r="V745" s="1408"/>
      <c r="W745" s="1408"/>
      <c r="X745" s="1408"/>
      <c r="Y745" s="1408"/>
      <c r="Z745" s="1408"/>
      <c r="AA745" s="1408"/>
    </row>
    <row r="746" spans="1:27" x14ac:dyDescent="0.25">
      <c r="A746" s="929" t="s">
        <v>1403</v>
      </c>
      <c r="B746" s="897" t="str">
        <f ca="1">IFERROR(_xlfn.CONCAT("C",MATCH(A746,INDIRECT("'"&amp;E746&amp;"'!C"&amp;$O$736&amp;":C"&amp;$O$738),0)+$O$736-1),"")</f>
        <v>C143</v>
      </c>
      <c r="C746" s="897" t="str">
        <f ca="1">IFERROR(_xlfn.CONCAT("D",MATCH(A746,INDIRECT("'"&amp;E746&amp;"'!C"&amp;$O$736&amp;":C"&amp;$O$738),0)+$O$736-1),"")</f>
        <v>D143</v>
      </c>
      <c r="D746" s="897" t="s">
        <v>1367</v>
      </c>
      <c r="E746" s="897" t="s">
        <v>1535</v>
      </c>
      <c r="F746" s="1409" t="s">
        <v>1403</v>
      </c>
      <c r="G746" s="1409" t="str">
        <f>IF(T746&lt;&gt;"","D","")</f>
        <v/>
      </c>
      <c r="H746" s="1409" t="s">
        <v>1926</v>
      </c>
      <c r="I746" s="857" t="str">
        <f t="shared" si="119"/>
        <v/>
      </c>
      <c r="J746" s="1409"/>
      <c r="K746" s="1409" t="str">
        <f t="shared" si="120"/>
        <v/>
      </c>
      <c r="L746" s="897" t="s">
        <v>1403</v>
      </c>
      <c r="M746" s="1410">
        <v>729</v>
      </c>
      <c r="N746" s="1409"/>
      <c r="O746" s="1408"/>
      <c r="P746" s="1408"/>
      <c r="Q746" s="1408"/>
      <c r="R746" s="1409" t="s">
        <v>1544</v>
      </c>
      <c r="S746" s="1408"/>
      <c r="T746" s="1409" t="str">
        <f t="shared" si="123"/>
        <v/>
      </c>
      <c r="U746" s="1408"/>
      <c r="V746" s="1408"/>
      <c r="W746" s="1408"/>
      <c r="X746" s="1408"/>
      <c r="Y746" s="1408"/>
      <c r="Z746" s="1408"/>
      <c r="AA746" s="1408"/>
    </row>
    <row r="747" spans="1:27" x14ac:dyDescent="0.25">
      <c r="A747" s="929" t="s">
        <v>1514</v>
      </c>
      <c r="B747" s="897" t="str">
        <f ca="1">IFERROR(_xlfn.CONCAT("C",MATCH(A747,INDIRECT("'"&amp;E747&amp;"'!C"&amp;$O$736&amp;":C"&amp;$O$738),0)+$O$736-1),"")</f>
        <v>C147</v>
      </c>
      <c r="C747" s="897" t="str">
        <f ca="1">IFERROR(_xlfn.CONCAT("D",MATCH(A747,INDIRECT("'"&amp;E747&amp;"'!C"&amp;$O$736&amp;":C"&amp;$O$738),0)+$O$736-1),"")</f>
        <v>D147</v>
      </c>
      <c r="D747" s="897" t="s">
        <v>1367</v>
      </c>
      <c r="E747" s="897" t="s">
        <v>1535</v>
      </c>
      <c r="F747" s="1409" t="s">
        <v>1514</v>
      </c>
      <c r="G747" s="1409" t="str">
        <f>IF(T747&lt;&gt;"","AN","")</f>
        <v/>
      </c>
      <c r="H747" s="1409" t="s">
        <v>1926</v>
      </c>
      <c r="I747" s="857" t="str">
        <f t="shared" si="119"/>
        <v/>
      </c>
      <c r="J747" s="1409" t="str">
        <f t="shared" si="124"/>
        <v/>
      </c>
      <c r="K747" s="1409" t="str">
        <f t="shared" si="120"/>
        <v/>
      </c>
      <c r="L747" s="897" t="s">
        <v>1514</v>
      </c>
      <c r="M747" s="1410">
        <v>730</v>
      </c>
      <c r="N747" s="1409"/>
      <c r="O747" s="1408"/>
      <c r="P747" s="1409" t="str" cm="1">
        <f t="array" aca="1" ref="P747" ca="1">_xlfn.CONCAT("F",RIGHT(B747, LEN(B747) - MAX(IF(ISNUMBER(MID(B747, ROW(INDIRECT("1:"&amp;LEN(B747))), 1) *1)=FALSE, ROW(INDIRECT("1:"&amp;LEN(B747))), 0))))</f>
        <v>F147</v>
      </c>
      <c r="Q747" s="1409" t="str" cm="1">
        <f t="array" aca="1" ref="Q747" ca="1">_xlfn.CONCAT("E",RIGHT(C747, LEN(C747) - MAX(IF(ISNUMBER(MID(C747, ROW(INDIRECT("1:"&amp;LEN(C747))), 1) *1)=FALSE, ROW(INDIRECT("1:"&amp;LEN(C747))), 0))))</f>
        <v>E147</v>
      </c>
      <c r="R747" s="1409" t="s">
        <v>1544</v>
      </c>
      <c r="S747" s="1408"/>
      <c r="T747" s="1409" t="str">
        <f t="shared" si="123"/>
        <v/>
      </c>
      <c r="U747" s="1408"/>
      <c r="V747" s="1408"/>
      <c r="W747" s="1408"/>
      <c r="X747" s="1408"/>
      <c r="Y747" s="1408"/>
      <c r="Z747" s="1408"/>
      <c r="AA747" s="1408"/>
    </row>
    <row r="748" spans="1:27" x14ac:dyDescent="0.25">
      <c r="A748" s="929" t="s">
        <v>1511</v>
      </c>
      <c r="B748" s="897" t="str">
        <f ca="1">_xlfn.CONCAT(IFERROR(SUBSTITUTE(ADDRESS(1,MATCH(A748,INDIRECT("'"&amp;E748&amp;"'"&amp;"!A" &amp; $O$736 + 12 &amp; ":Z" &amp; $O$736+ 12),0),4),1,""),""),$O$736 + 12)</f>
        <v>H147</v>
      </c>
      <c r="C748" s="897" t="str">
        <f ca="1">_xlfn.CONCAT(IFERROR(SUBSTITUTE(ADDRESS(1,MATCH(A748,INDIRECT("'"&amp;E748&amp;"'"&amp;"!A" &amp; $O$736 + 12 &amp; ":Z" &amp; $O$736+ 12),0),4),1,""),""),$O$736 + 13)</f>
        <v>H148</v>
      </c>
      <c r="D748" s="897" t="s">
        <v>1367</v>
      </c>
      <c r="E748" s="897" t="s">
        <v>1535</v>
      </c>
      <c r="F748" s="1409" t="s">
        <v>1511</v>
      </c>
      <c r="G748" s="1409" t="str">
        <f>IF(T748&lt;&gt;"","AL","")</f>
        <v/>
      </c>
      <c r="H748" s="1409" t="s">
        <v>1926</v>
      </c>
      <c r="I748" s="857" t="str">
        <f t="shared" si="119"/>
        <v/>
      </c>
      <c r="J748" s="1409" t="str">
        <f t="shared" si="124"/>
        <v/>
      </c>
      <c r="K748" s="1409" t="str">
        <f t="shared" si="120"/>
        <v/>
      </c>
      <c r="L748" s="897" t="s">
        <v>1511</v>
      </c>
      <c r="M748" s="1410">
        <v>731</v>
      </c>
      <c r="N748" s="1409"/>
      <c r="O748" s="1408"/>
      <c r="P748" s="1408"/>
      <c r="Q748" s="1408"/>
      <c r="R748" s="1409" t="s">
        <v>1544</v>
      </c>
      <c r="S748" s="1408"/>
      <c r="T748" s="1409" t="str">
        <f t="shared" si="123"/>
        <v/>
      </c>
      <c r="U748" s="1408"/>
      <c r="V748" s="1408"/>
      <c r="W748" s="1408"/>
      <c r="X748" s="1408"/>
      <c r="Y748" s="1408"/>
      <c r="Z748" s="1408"/>
      <c r="AA748" s="1408"/>
    </row>
    <row r="749" spans="1:27" x14ac:dyDescent="0.25">
      <c r="A749" s="929" t="s">
        <v>1525</v>
      </c>
      <c r="B749" s="897" t="str">
        <f ca="1">_xlfn.CONCAT(IFERROR(SUBSTITUTE(ADDRESS(1,MATCH(A749,INDIRECT("'"&amp;E749&amp;"'"&amp;"!A" &amp; $O$736 + 12 &amp; ":Z" &amp; $O$736+ 12),0),4),1,""),""),$O$736 + 12)</f>
        <v>J147</v>
      </c>
      <c r="C749" s="897" t="str">
        <f ca="1">_xlfn.CONCAT(IFERROR(SUBSTITUTE(ADDRESS(1,MATCH(A749,INDIRECT("'"&amp;E749&amp;"'"&amp;"!A" &amp; $O$736 + 12 &amp; ":Z" &amp; $O$736+ 12),0),4),1,""),""),$O$736 + 13)</f>
        <v>J148</v>
      </c>
      <c r="D749" s="897" t="s">
        <v>1367</v>
      </c>
      <c r="E749" s="897" t="s">
        <v>1535</v>
      </c>
      <c r="F749" s="1409" t="s">
        <v>1932</v>
      </c>
      <c r="G749" s="1409" t="str">
        <f>IF(T749&lt;&gt;"","L","")</f>
        <v/>
      </c>
      <c r="H749" s="1409" t="s">
        <v>1926</v>
      </c>
      <c r="I749" s="857" t="str">
        <f t="shared" si="119"/>
        <v/>
      </c>
      <c r="J749" s="1409" t="str">
        <f t="shared" si="124"/>
        <v/>
      </c>
      <c r="K749" s="1409" t="str">
        <f t="shared" si="120"/>
        <v/>
      </c>
      <c r="L749" s="897" t="s">
        <v>1525</v>
      </c>
      <c r="M749" s="1410">
        <v>732</v>
      </c>
      <c r="N749" s="1409"/>
      <c r="O749" s="1408"/>
      <c r="P749" s="1408"/>
      <c r="Q749" s="1408"/>
      <c r="R749" s="1409" t="s">
        <v>1544</v>
      </c>
      <c r="S749" s="1408"/>
      <c r="T749" s="1409" t="str">
        <f t="shared" si="123"/>
        <v/>
      </c>
      <c r="U749" s="1408"/>
      <c r="V749" s="1408"/>
      <c r="W749" s="1408"/>
      <c r="X749" s="1408"/>
      <c r="Y749" s="1408"/>
      <c r="Z749" s="1408"/>
      <c r="AA749" s="1408"/>
    </row>
    <row r="750" spans="1:27" x14ac:dyDescent="0.25">
      <c r="A750" s="929" t="s">
        <v>1404</v>
      </c>
      <c r="B750" s="897" t="str">
        <f ca="1">_xlfn.IFNA(_xlfn.CONCAT(SUBSTITUTE(ADDRESS(1,MATCH(A750,INDIRECT("'"&amp;E750&amp;"'"&amp;"!A" &amp; $O$736 + 5 &amp; ":Z" &amp; $O$736+ 5),0),4),1,""),$O$736 + 6),"")</f>
        <v>H141</v>
      </c>
      <c r="C750" s="897" t="str">
        <f t="shared" ref="C750:C764" ca="1" si="127">_xlfn.IFNA(SUBSTITUTE(ADDRESS(1,MATCH(A750,INDIRECT("'"&amp;E750&amp;"'"&amp;"!A" &amp; $O$736 + 5 &amp; ":Z" &amp; $O$736+ 5),0),4),1,""),"")</f>
        <v>H</v>
      </c>
      <c r="D750" s="897" t="s">
        <v>1374</v>
      </c>
      <c r="E750" s="897" t="s">
        <v>1535</v>
      </c>
      <c r="F750" s="919"/>
      <c r="G750" s="1409"/>
      <c r="H750" s="1409"/>
      <c r="I750" s="857" t="str">
        <f t="shared" si="119"/>
        <v/>
      </c>
      <c r="J750" s="1409" t="str">
        <f t="shared" si="124"/>
        <v/>
      </c>
      <c r="K750" s="1409" t="str">
        <f t="shared" si="120"/>
        <v/>
      </c>
      <c r="L750" s="897" t="s">
        <v>1404</v>
      </c>
      <c r="M750" s="1410">
        <v>733</v>
      </c>
      <c r="N750" s="1409"/>
      <c r="O750" s="1408"/>
      <c r="P750" s="1408"/>
      <c r="Q750" s="1408"/>
      <c r="R750" s="1409" t="s">
        <v>1544</v>
      </c>
      <c r="S750" s="1408"/>
      <c r="T750" s="1409" t="str">
        <f t="shared" si="123"/>
        <v/>
      </c>
      <c r="U750" s="1408"/>
      <c r="V750" s="1408"/>
      <c r="W750" s="1408"/>
      <c r="X750" s="1408"/>
      <c r="Y750" s="1408"/>
      <c r="Z750" s="1408"/>
      <c r="AA750" s="1408"/>
    </row>
    <row r="751" spans="1:27" x14ac:dyDescent="0.25">
      <c r="A751" s="929" t="s">
        <v>1405</v>
      </c>
      <c r="B751" s="897" t="str">
        <f ca="1">_xlfn.IFNA(_xlfn.CONCAT(SUBSTITUTE(ADDRESS(1,MATCH(A751,INDIRECT("'"&amp;E751&amp;"'"&amp;"!A" &amp; $O$736 + 5 &amp; ":Z" &amp; $O$736+ 5),0),4),1,""),$O$736 + 6),"")</f>
        <v>J141</v>
      </c>
      <c r="C751" s="897" t="str">
        <f t="shared" ca="1" si="127"/>
        <v>J</v>
      </c>
      <c r="D751" s="897" t="s">
        <v>1374</v>
      </c>
      <c r="E751" s="897" t="s">
        <v>1535</v>
      </c>
      <c r="F751" s="919"/>
      <c r="G751" s="1409"/>
      <c r="H751" s="1409"/>
      <c r="I751" s="857" t="str">
        <f t="shared" si="119"/>
        <v/>
      </c>
      <c r="J751" s="1409"/>
      <c r="K751" s="1409" t="str">
        <f t="shared" si="120"/>
        <v/>
      </c>
      <c r="L751" s="897" t="s">
        <v>1405</v>
      </c>
      <c r="M751" s="1410">
        <v>734</v>
      </c>
      <c r="N751" s="1409"/>
      <c r="O751" s="1408"/>
      <c r="P751" s="1408"/>
      <c r="Q751" s="1408"/>
      <c r="R751" s="1409" t="s">
        <v>1544</v>
      </c>
      <c r="S751" s="1408"/>
      <c r="T751" s="1409" t="str">
        <f t="shared" si="123"/>
        <v/>
      </c>
      <c r="U751" s="1408"/>
      <c r="V751" s="1408"/>
      <c r="W751" s="1408"/>
      <c r="X751" s="1408"/>
      <c r="Y751" s="1408"/>
      <c r="Z751" s="1408"/>
      <c r="AA751" s="1408"/>
    </row>
    <row r="752" spans="1:27" x14ac:dyDescent="0.25">
      <c r="A752" s="929" t="s">
        <v>1406</v>
      </c>
      <c r="B752" s="897" t="str">
        <f ca="1">_xlfn.IFNA(_xlfn.CONCAT(SUBSTITUTE(ADDRESS(1,MATCH(A752,INDIRECT("'"&amp;E752&amp;"'"&amp;"!A" &amp; $O$736 + 5 &amp; ":Z" &amp; $O$736+ 5),0),4),1,""),$O$736 + 6),"")</f>
        <v>L141</v>
      </c>
      <c r="C752" s="897" t="str">
        <f t="shared" ca="1" si="127"/>
        <v>L</v>
      </c>
      <c r="D752" s="897" t="s">
        <v>1374</v>
      </c>
      <c r="E752" s="897" t="s">
        <v>1535</v>
      </c>
      <c r="F752" s="1424"/>
      <c r="G752" s="1409"/>
      <c r="H752" s="1409"/>
      <c r="I752" s="857" t="str">
        <f t="shared" si="119"/>
        <v/>
      </c>
      <c r="J752" s="1409"/>
      <c r="K752" s="1409" t="str">
        <f t="shared" si="120"/>
        <v/>
      </c>
      <c r="L752" s="897" t="s">
        <v>1406</v>
      </c>
      <c r="M752" s="1410">
        <v>735</v>
      </c>
      <c r="N752" s="1409"/>
      <c r="O752" s="1408"/>
      <c r="P752" s="1408"/>
      <c r="Q752" s="1408"/>
      <c r="R752" s="1409" t="s">
        <v>1544</v>
      </c>
      <c r="S752" s="1408"/>
      <c r="T752" s="1409" t="str">
        <f t="shared" si="123"/>
        <v/>
      </c>
      <c r="U752" s="1408"/>
      <c r="V752" s="1408"/>
      <c r="W752" s="1408"/>
      <c r="X752" s="1408"/>
      <c r="Y752" s="1408"/>
      <c r="Z752" s="1408"/>
      <c r="AA752" s="1408"/>
    </row>
    <row r="753" spans="1:27" x14ac:dyDescent="0.25">
      <c r="A753" s="929" t="s">
        <v>1404</v>
      </c>
      <c r="B753" s="897" t="str">
        <f ca="1">_xlfn.IFNA(_xlfn.CONCAT(SUBSTITUTE(ADDRESS(1,MATCH(A753,INDIRECT("'"&amp;E753&amp;"'"&amp;"!A" &amp; $O$736 + 5 &amp; ":Z" &amp; $O$736+ 5),0),4),1,""),$O$736 + 7),"")</f>
        <v>H142</v>
      </c>
      <c r="C753" s="897" t="str">
        <f t="shared" ca="1" si="127"/>
        <v>H</v>
      </c>
      <c r="D753" s="897" t="s">
        <v>1374</v>
      </c>
      <c r="E753" s="897" t="s">
        <v>1535</v>
      </c>
      <c r="F753" s="1409"/>
      <c r="G753" s="1409"/>
      <c r="H753" s="1409"/>
      <c r="I753" s="857" t="str">
        <f t="shared" si="119"/>
        <v/>
      </c>
      <c r="J753" s="1409" t="str">
        <f t="shared" si="124"/>
        <v/>
      </c>
      <c r="K753" s="1409" t="str">
        <f t="shared" si="120"/>
        <v/>
      </c>
      <c r="L753" s="897" t="s">
        <v>1404</v>
      </c>
      <c r="M753" s="1410">
        <v>736</v>
      </c>
      <c r="N753" s="1409"/>
      <c r="O753" s="1408"/>
      <c r="P753" s="1408"/>
      <c r="Q753" s="1408"/>
      <c r="R753" s="1409" t="s">
        <v>1544</v>
      </c>
      <c r="S753" s="1408"/>
      <c r="T753" s="1409" t="str">
        <f t="shared" si="123"/>
        <v/>
      </c>
      <c r="U753" s="1408"/>
      <c r="V753" s="1408"/>
      <c r="W753" s="1408"/>
      <c r="X753" s="1408"/>
      <c r="Y753" s="1408"/>
      <c r="Z753" s="1408"/>
      <c r="AA753" s="1408"/>
    </row>
    <row r="754" spans="1:27" x14ac:dyDescent="0.25">
      <c r="A754" s="929" t="s">
        <v>1405</v>
      </c>
      <c r="B754" s="897" t="str">
        <f ca="1">_xlfn.IFNA(_xlfn.CONCAT(SUBSTITUTE(ADDRESS(1,MATCH(A754,INDIRECT("'"&amp;E754&amp;"'"&amp;"!A" &amp; $O$736 + 5 &amp; ":Z" &amp; $O$736+ 5),0),4),1,""),$O$736 + 7),"")</f>
        <v>J142</v>
      </c>
      <c r="C754" s="897" t="str">
        <f t="shared" ca="1" si="127"/>
        <v>J</v>
      </c>
      <c r="D754" s="897" t="s">
        <v>1374</v>
      </c>
      <c r="E754" s="897" t="s">
        <v>1535</v>
      </c>
      <c r="F754" s="1409"/>
      <c r="G754" s="1409"/>
      <c r="H754" s="1409"/>
      <c r="I754" s="857" t="str">
        <f t="shared" si="119"/>
        <v/>
      </c>
      <c r="J754" s="1409"/>
      <c r="K754" s="1409" t="str">
        <f t="shared" si="120"/>
        <v/>
      </c>
      <c r="L754" s="897" t="s">
        <v>1405</v>
      </c>
      <c r="M754" s="1410">
        <v>737</v>
      </c>
      <c r="N754" s="1409"/>
      <c r="O754" s="1408"/>
      <c r="P754" s="1408"/>
      <c r="Q754" s="1408"/>
      <c r="R754" s="1409" t="s">
        <v>1544</v>
      </c>
      <c r="S754" s="1408"/>
      <c r="T754" s="1409" t="str">
        <f t="shared" si="123"/>
        <v/>
      </c>
      <c r="U754" s="1408"/>
      <c r="V754" s="1408"/>
      <c r="W754" s="1408"/>
      <c r="X754" s="1408"/>
      <c r="Y754" s="1408"/>
      <c r="Z754" s="1408"/>
      <c r="AA754" s="1408"/>
    </row>
    <row r="755" spans="1:27" x14ac:dyDescent="0.25">
      <c r="A755" s="929" t="s">
        <v>1406</v>
      </c>
      <c r="B755" s="897" t="str">
        <f ca="1">_xlfn.IFNA(_xlfn.CONCAT(SUBSTITUTE(ADDRESS(1,MATCH(A755,INDIRECT("'"&amp;E755&amp;"'"&amp;"!A" &amp; $O$736 + 5 &amp; ":Z" &amp; $O$736+ 5),0),4),1,""),$O$736 + 7),"")</f>
        <v>L142</v>
      </c>
      <c r="C755" s="897" t="str">
        <f t="shared" ca="1" si="127"/>
        <v>L</v>
      </c>
      <c r="D755" s="897" t="s">
        <v>1374</v>
      </c>
      <c r="E755" s="897" t="s">
        <v>1535</v>
      </c>
      <c r="F755" s="1409"/>
      <c r="G755" s="1409"/>
      <c r="H755" s="1409"/>
      <c r="I755" s="857" t="str">
        <f t="shared" si="119"/>
        <v/>
      </c>
      <c r="J755" s="1409"/>
      <c r="K755" s="1409" t="str">
        <f t="shared" si="120"/>
        <v/>
      </c>
      <c r="L755" s="897" t="s">
        <v>1406</v>
      </c>
      <c r="M755" s="1410">
        <v>738</v>
      </c>
      <c r="N755" s="1409"/>
      <c r="O755" s="1408"/>
      <c r="P755" s="1408"/>
      <c r="Q755" s="1408"/>
      <c r="R755" s="1409" t="s">
        <v>1544</v>
      </c>
      <c r="S755" s="1408"/>
      <c r="T755" s="1409" t="str">
        <f t="shared" si="123"/>
        <v/>
      </c>
      <c r="U755" s="1408"/>
      <c r="V755" s="1408"/>
      <c r="W755" s="1408"/>
      <c r="X755" s="1408"/>
      <c r="Y755" s="1408"/>
      <c r="Z755" s="1408"/>
      <c r="AA755" s="1408"/>
    </row>
    <row r="756" spans="1:27" x14ac:dyDescent="0.25">
      <c r="A756" s="929" t="s">
        <v>1404</v>
      </c>
      <c r="B756" s="897" t="str">
        <f ca="1">_xlfn.IFNA(_xlfn.CONCAT(SUBSTITUTE(ADDRESS(1,MATCH(A756,INDIRECT("'"&amp;E756&amp;"'"&amp;"!A" &amp; $O$736 + 5 &amp; ":Z" &amp; $O$736+ 5),0),4),1,""),$O$736 + 8),"")</f>
        <v>H143</v>
      </c>
      <c r="C756" s="897" t="str">
        <f t="shared" ca="1" si="127"/>
        <v>H</v>
      </c>
      <c r="D756" s="897" t="s">
        <v>1374</v>
      </c>
      <c r="E756" s="897" t="s">
        <v>1535</v>
      </c>
      <c r="F756" s="1409"/>
      <c r="G756" s="1409"/>
      <c r="H756" s="1409"/>
      <c r="I756" s="857" t="str">
        <f t="shared" si="119"/>
        <v/>
      </c>
      <c r="J756" s="1409" t="str">
        <f t="shared" si="124"/>
        <v/>
      </c>
      <c r="K756" s="1409" t="str">
        <f t="shared" si="120"/>
        <v/>
      </c>
      <c r="L756" s="897" t="s">
        <v>1404</v>
      </c>
      <c r="M756" s="1410">
        <v>739</v>
      </c>
      <c r="N756" s="1409"/>
      <c r="O756" s="1408"/>
      <c r="P756" s="1408"/>
      <c r="Q756" s="1408"/>
      <c r="R756" s="1409" t="s">
        <v>1544</v>
      </c>
      <c r="S756" s="1408"/>
      <c r="T756" s="1409" t="str">
        <f t="shared" si="123"/>
        <v/>
      </c>
      <c r="U756" s="1408"/>
      <c r="V756" s="1408"/>
      <c r="W756" s="1408"/>
      <c r="X756" s="1408"/>
      <c r="Y756" s="1408"/>
      <c r="Z756" s="1408"/>
      <c r="AA756" s="1408"/>
    </row>
    <row r="757" spans="1:27" x14ac:dyDescent="0.25">
      <c r="A757" s="929" t="s">
        <v>1405</v>
      </c>
      <c r="B757" s="897" t="str">
        <f ca="1">_xlfn.IFNA(_xlfn.CONCAT(SUBSTITUTE(ADDRESS(1,MATCH(A757,INDIRECT("'"&amp;E757&amp;"'"&amp;"!A" &amp; $O$736 + 5 &amp; ":Z" &amp; $O$736+ 5),0),4),1,""),$O$736 + 8),"")</f>
        <v>J143</v>
      </c>
      <c r="C757" s="897" t="str">
        <f t="shared" ca="1" si="127"/>
        <v>J</v>
      </c>
      <c r="D757" s="897" t="s">
        <v>1374</v>
      </c>
      <c r="E757" s="897" t="s">
        <v>1535</v>
      </c>
      <c r="F757" s="1409"/>
      <c r="G757" s="1409"/>
      <c r="H757" s="1409"/>
      <c r="I757" s="857" t="str">
        <f t="shared" si="119"/>
        <v/>
      </c>
      <c r="J757" s="1409"/>
      <c r="K757" s="1409" t="str">
        <f t="shared" si="120"/>
        <v/>
      </c>
      <c r="L757" s="897" t="s">
        <v>1405</v>
      </c>
      <c r="M757" s="1410">
        <v>740</v>
      </c>
      <c r="N757" s="1409"/>
      <c r="O757" s="1408"/>
      <c r="P757" s="1408"/>
      <c r="Q757" s="1408"/>
      <c r="R757" s="1409" t="s">
        <v>1544</v>
      </c>
      <c r="S757" s="1408"/>
      <c r="T757" s="1409" t="str">
        <f t="shared" si="123"/>
        <v/>
      </c>
      <c r="U757" s="1408"/>
      <c r="V757" s="1408"/>
      <c r="W757" s="1408"/>
      <c r="X757" s="1408"/>
      <c r="Y757" s="1408"/>
      <c r="Z757" s="1408"/>
      <c r="AA757" s="1408"/>
    </row>
    <row r="758" spans="1:27" x14ac:dyDescent="0.25">
      <c r="A758" s="929" t="s">
        <v>1406</v>
      </c>
      <c r="B758" s="897" t="str">
        <f ca="1">_xlfn.IFNA(_xlfn.CONCAT(SUBSTITUTE(ADDRESS(1,MATCH(A758,INDIRECT("'"&amp;E758&amp;"'"&amp;"!A" &amp; $O$736 + 5 &amp; ":Z" &amp; $O$736+ 5),0),4),1,""),$O$736 + 8),"")</f>
        <v>L143</v>
      </c>
      <c r="C758" s="897" t="str">
        <f t="shared" ca="1" si="127"/>
        <v>L</v>
      </c>
      <c r="D758" s="897" t="s">
        <v>1374</v>
      </c>
      <c r="E758" s="897" t="s">
        <v>1535</v>
      </c>
      <c r="F758" s="1409"/>
      <c r="G758" s="1409"/>
      <c r="H758" s="1409"/>
      <c r="I758" s="857" t="str">
        <f t="shared" si="119"/>
        <v/>
      </c>
      <c r="J758" s="1409"/>
      <c r="K758" s="1409" t="str">
        <f t="shared" si="120"/>
        <v/>
      </c>
      <c r="L758" s="897" t="s">
        <v>1406</v>
      </c>
      <c r="M758" s="1410">
        <v>741</v>
      </c>
      <c r="N758" s="1409"/>
      <c r="O758" s="1408"/>
      <c r="P758" s="1408"/>
      <c r="Q758" s="1408"/>
      <c r="R758" s="1409" t="s">
        <v>1544</v>
      </c>
      <c r="S758" s="1408"/>
      <c r="T758" s="1409" t="str">
        <f t="shared" si="123"/>
        <v/>
      </c>
      <c r="U758" s="1408"/>
      <c r="V758" s="1408"/>
      <c r="W758" s="1408"/>
      <c r="X758" s="1408"/>
      <c r="Y758" s="1408"/>
      <c r="Z758" s="1408"/>
      <c r="AA758" s="1408"/>
    </row>
    <row r="759" spans="1:27" x14ac:dyDescent="0.25">
      <c r="A759" s="929" t="s">
        <v>1404</v>
      </c>
      <c r="B759" s="897" t="str">
        <f ca="1">_xlfn.IFNA(_xlfn.CONCAT(SUBSTITUTE(ADDRESS(1,MATCH(A759,INDIRECT("'"&amp;E759&amp;"'"&amp;"!A" &amp; $O$736 + 5 &amp; ":Z" &amp; $O$736+ 5),0),4),1,""),$O$736 + 9),"")</f>
        <v>H144</v>
      </c>
      <c r="C759" s="897" t="str">
        <f t="shared" ca="1" si="127"/>
        <v>H</v>
      </c>
      <c r="D759" s="897" t="s">
        <v>1374</v>
      </c>
      <c r="E759" s="897" t="s">
        <v>1535</v>
      </c>
      <c r="F759" s="1409"/>
      <c r="G759" s="1409"/>
      <c r="H759" s="1409"/>
      <c r="I759" s="857" t="str">
        <f t="shared" si="119"/>
        <v/>
      </c>
      <c r="J759" s="1409" t="str">
        <f t="shared" si="124"/>
        <v/>
      </c>
      <c r="K759" s="1409" t="str">
        <f t="shared" si="120"/>
        <v/>
      </c>
      <c r="L759" s="897" t="s">
        <v>1404</v>
      </c>
      <c r="M759" s="1410">
        <v>742</v>
      </c>
      <c r="N759" s="1409"/>
      <c r="O759" s="1408"/>
      <c r="P759" s="1408"/>
      <c r="Q759" s="1408"/>
      <c r="R759" s="1409" t="s">
        <v>1544</v>
      </c>
      <c r="S759" s="1408"/>
      <c r="T759" s="1409" t="str">
        <f t="shared" si="123"/>
        <v/>
      </c>
      <c r="U759" s="1408"/>
      <c r="V759" s="1408"/>
      <c r="W759" s="1408"/>
      <c r="X759" s="1408"/>
      <c r="Y759" s="1408"/>
      <c r="Z759" s="1408"/>
      <c r="AA759" s="1408"/>
    </row>
    <row r="760" spans="1:27" x14ac:dyDescent="0.25">
      <c r="A760" s="929" t="s">
        <v>1405</v>
      </c>
      <c r="B760" s="897" t="str">
        <f ca="1">_xlfn.IFNA(_xlfn.CONCAT(SUBSTITUTE(ADDRESS(1,MATCH(A760,INDIRECT("'"&amp;E760&amp;"'"&amp;"!A" &amp; $O$736 + 5 &amp; ":Z" &amp; $O$736+ 5),0),4),1,""),$O$736 + 9),"")</f>
        <v>J144</v>
      </c>
      <c r="C760" s="897" t="str">
        <f t="shared" ca="1" si="127"/>
        <v>J</v>
      </c>
      <c r="D760" s="897" t="s">
        <v>1374</v>
      </c>
      <c r="E760" s="897" t="s">
        <v>1535</v>
      </c>
      <c r="F760" s="1409"/>
      <c r="G760" s="1409"/>
      <c r="H760" s="1409"/>
      <c r="I760" s="857" t="str">
        <f t="shared" si="119"/>
        <v/>
      </c>
      <c r="J760" s="1409"/>
      <c r="K760" s="1409" t="str">
        <f t="shared" si="120"/>
        <v/>
      </c>
      <c r="L760" s="897" t="s">
        <v>1405</v>
      </c>
      <c r="M760" s="1410">
        <v>743</v>
      </c>
      <c r="N760" s="1409"/>
      <c r="O760" s="1408"/>
      <c r="P760" s="1408"/>
      <c r="Q760" s="1408"/>
      <c r="R760" s="1409" t="s">
        <v>1544</v>
      </c>
      <c r="S760" s="1408"/>
      <c r="T760" s="1409" t="str">
        <f t="shared" si="123"/>
        <v/>
      </c>
      <c r="U760" s="1408"/>
      <c r="V760" s="1408"/>
      <c r="W760" s="1408"/>
      <c r="X760" s="1408"/>
      <c r="Y760" s="1408"/>
      <c r="Z760" s="1408"/>
      <c r="AA760" s="1408"/>
    </row>
    <row r="761" spans="1:27" x14ac:dyDescent="0.25">
      <c r="A761" s="929" t="s">
        <v>1406</v>
      </c>
      <c r="B761" s="897" t="str">
        <f ca="1">_xlfn.IFNA(_xlfn.CONCAT(SUBSTITUTE(ADDRESS(1,MATCH(A761,INDIRECT("'"&amp;E761&amp;"'"&amp;"!A" &amp; $O$736 + 5 &amp; ":Z" &amp; $O$736+ 5),0),4),1,""),$O$736 + 9),"")</f>
        <v>L144</v>
      </c>
      <c r="C761" s="897" t="str">
        <f t="shared" ca="1" si="127"/>
        <v>L</v>
      </c>
      <c r="D761" s="897" t="s">
        <v>1374</v>
      </c>
      <c r="E761" s="897" t="s">
        <v>1535</v>
      </c>
      <c r="F761" s="1409"/>
      <c r="G761" s="1409"/>
      <c r="H761" s="1409"/>
      <c r="I761" s="857" t="str">
        <f t="shared" si="119"/>
        <v/>
      </c>
      <c r="J761" s="1409"/>
      <c r="K761" s="1409" t="str">
        <f t="shared" si="120"/>
        <v/>
      </c>
      <c r="L761" s="897" t="s">
        <v>1406</v>
      </c>
      <c r="M761" s="1410">
        <v>744</v>
      </c>
      <c r="N761" s="1409"/>
      <c r="O761" s="1408"/>
      <c r="P761" s="1408"/>
      <c r="Q761" s="1408"/>
      <c r="R761" s="1409" t="s">
        <v>1544</v>
      </c>
      <c r="S761" s="1408"/>
      <c r="T761" s="1409" t="str">
        <f t="shared" si="123"/>
        <v/>
      </c>
      <c r="U761" s="1408"/>
      <c r="V761" s="1408"/>
      <c r="W761" s="1408"/>
      <c r="X761" s="1408"/>
      <c r="Y761" s="1408"/>
      <c r="Z761" s="1408"/>
      <c r="AA761" s="1408"/>
    </row>
    <row r="762" spans="1:27" x14ac:dyDescent="0.25">
      <c r="A762" s="929" t="s">
        <v>1404</v>
      </c>
      <c r="B762" s="897" t="str">
        <f ca="1">_xlfn.IFNA(_xlfn.CONCAT(SUBSTITUTE(ADDRESS(1,MATCH(A762,INDIRECT("'"&amp;E762&amp;"'"&amp;"!A" &amp; $O$736 + 5 &amp; ":Z" &amp; $O$736+ 5),0),4),1,""),$O$736 + 10),"")</f>
        <v>H145</v>
      </c>
      <c r="C762" s="897" t="str">
        <f t="shared" ca="1" si="127"/>
        <v>H</v>
      </c>
      <c r="D762" s="897" t="s">
        <v>1374</v>
      </c>
      <c r="E762" s="897" t="s">
        <v>1535</v>
      </c>
      <c r="F762" s="1409"/>
      <c r="G762" s="1409"/>
      <c r="H762" s="1409"/>
      <c r="I762" s="857" t="str">
        <f t="shared" si="119"/>
        <v/>
      </c>
      <c r="J762" s="1409" t="str">
        <f t="shared" si="124"/>
        <v/>
      </c>
      <c r="K762" s="1409" t="str">
        <f t="shared" si="120"/>
        <v/>
      </c>
      <c r="L762" s="897" t="s">
        <v>1404</v>
      </c>
      <c r="M762" s="1410">
        <v>745</v>
      </c>
      <c r="N762" s="1409"/>
      <c r="O762" s="1408"/>
      <c r="P762" s="1408"/>
      <c r="Q762" s="1408"/>
      <c r="R762" s="1409" t="s">
        <v>1544</v>
      </c>
      <c r="S762" s="1408"/>
      <c r="T762" s="1409" t="str">
        <f t="shared" si="123"/>
        <v/>
      </c>
      <c r="U762" s="1408"/>
      <c r="V762" s="1408"/>
      <c r="W762" s="1408"/>
      <c r="X762" s="1408"/>
      <c r="Y762" s="1408"/>
      <c r="Z762" s="1408"/>
      <c r="AA762" s="1408"/>
    </row>
    <row r="763" spans="1:27" x14ac:dyDescent="0.25">
      <c r="A763" s="929" t="s">
        <v>1405</v>
      </c>
      <c r="B763" s="897" t="str">
        <f ca="1">_xlfn.IFNA(_xlfn.CONCAT(SUBSTITUTE(ADDRESS(1,MATCH(A763,INDIRECT("'"&amp;E763&amp;"'"&amp;"!A" &amp; $O$736 + 5 &amp; ":Z" &amp; $O$736+ 5),0),4),1,""),$O$736 + 10),"")</f>
        <v>J145</v>
      </c>
      <c r="C763" s="897" t="str">
        <f t="shared" ca="1" si="127"/>
        <v>J</v>
      </c>
      <c r="D763" s="897" t="s">
        <v>1374</v>
      </c>
      <c r="E763" s="897" t="s">
        <v>1535</v>
      </c>
      <c r="F763" s="1409"/>
      <c r="G763" s="1409"/>
      <c r="H763" s="1409"/>
      <c r="I763" s="857" t="str">
        <f t="shared" si="119"/>
        <v/>
      </c>
      <c r="J763" s="1409"/>
      <c r="K763" s="1409" t="str">
        <f t="shared" si="120"/>
        <v/>
      </c>
      <c r="L763" s="897" t="s">
        <v>1405</v>
      </c>
      <c r="M763" s="1410">
        <v>746</v>
      </c>
      <c r="N763" s="1409"/>
      <c r="O763" s="1408"/>
      <c r="P763" s="1408"/>
      <c r="Q763" s="1408"/>
      <c r="R763" s="1409" t="s">
        <v>1544</v>
      </c>
      <c r="S763" s="1408"/>
      <c r="T763" s="1409" t="str">
        <f t="shared" si="123"/>
        <v/>
      </c>
      <c r="U763" s="1408"/>
      <c r="V763" s="1408"/>
      <c r="W763" s="1408"/>
      <c r="X763" s="1408"/>
      <c r="Y763" s="1408"/>
      <c r="Z763" s="1408"/>
      <c r="AA763" s="1408"/>
    </row>
    <row r="764" spans="1:27" x14ac:dyDescent="0.25">
      <c r="A764" s="929" t="s">
        <v>1406</v>
      </c>
      <c r="B764" s="897" t="str">
        <f ca="1">_xlfn.IFNA(_xlfn.CONCAT(SUBSTITUTE(ADDRESS(1,MATCH(A764,INDIRECT("'"&amp;E764&amp;"'"&amp;"!A" &amp; $O$736 + 5 &amp; ":Z" &amp; $O$736+ 5),0),4),1,""),$O$736 + 10),"")</f>
        <v>L145</v>
      </c>
      <c r="C764" s="897" t="str">
        <f t="shared" ca="1" si="127"/>
        <v>L</v>
      </c>
      <c r="D764" s="897" t="s">
        <v>1374</v>
      </c>
      <c r="E764" s="897" t="s">
        <v>1535</v>
      </c>
      <c r="F764" s="1409"/>
      <c r="G764" s="1409"/>
      <c r="H764" s="1409"/>
      <c r="I764" s="857" t="str">
        <f t="shared" si="119"/>
        <v/>
      </c>
      <c r="J764" s="1409"/>
      <c r="K764" s="1409" t="str">
        <f t="shared" si="120"/>
        <v/>
      </c>
      <c r="L764" s="897" t="s">
        <v>1406</v>
      </c>
      <c r="M764" s="1410">
        <v>747</v>
      </c>
      <c r="N764" s="1409"/>
      <c r="O764" s="1408"/>
      <c r="P764" s="1408"/>
      <c r="Q764" s="1408"/>
      <c r="R764" s="1409" t="s">
        <v>1544</v>
      </c>
      <c r="S764" s="1408"/>
      <c r="T764" s="1409" t="str">
        <f t="shared" si="123"/>
        <v/>
      </c>
      <c r="U764" s="1408"/>
      <c r="V764" s="1408"/>
      <c r="W764" s="1408"/>
      <c r="X764" s="1408"/>
      <c r="Y764" s="1408"/>
      <c r="Z764" s="1408"/>
      <c r="AA764" s="1408"/>
    </row>
    <row r="765" spans="1:27" x14ac:dyDescent="0.25">
      <c r="A765" s="926" t="s">
        <v>1510</v>
      </c>
      <c r="B765" s="897" t="str">
        <f ca="1">IFERROR(_xlfn.CONCAT("C",MATCH(A765,INDIRECT("'"&amp;E765&amp;"'!C"&amp;$O$766&amp;":C"&amp;$O$768),0)+$O$766-1),"")</f>
        <v>C155</v>
      </c>
      <c r="C765" s="897" t="str">
        <f ca="1">IFERROR(_xlfn.CONCAT("D",MATCH(A765,INDIRECT("'"&amp;E765&amp;"'!C"&amp;$O$766&amp;":C"&amp;$O$768),0)+$O$766-1),"")</f>
        <v>D155</v>
      </c>
      <c r="D765" s="897" t="s">
        <v>1367</v>
      </c>
      <c r="E765" s="897" t="s">
        <v>1535</v>
      </c>
      <c r="F765" s="1409" t="s">
        <v>1510</v>
      </c>
      <c r="G765" s="1409" t="str">
        <f>IF(T765&lt;&gt;"","A","")</f>
        <v/>
      </c>
      <c r="H765" s="1409" t="s">
        <v>1926</v>
      </c>
      <c r="I765" s="857" t="str">
        <f t="shared" si="119"/>
        <v/>
      </c>
      <c r="J765" s="1409"/>
      <c r="K765" s="1409" t="str">
        <f t="shared" si="120"/>
        <v/>
      </c>
      <c r="L765" s="897" t="s">
        <v>1510</v>
      </c>
      <c r="M765" s="1410">
        <v>748</v>
      </c>
      <c r="N765" s="1409"/>
      <c r="O765" s="1408" t="s">
        <v>726</v>
      </c>
      <c r="P765" s="1408"/>
      <c r="Q765" s="1408"/>
      <c r="R765" s="1409" t="s">
        <v>1550</v>
      </c>
      <c r="S765" s="1408"/>
      <c r="T765" s="1409" t="str">
        <f t="shared" ref="T765:T778" si="128">IF(Q$766="Yes",11,"")</f>
        <v/>
      </c>
      <c r="U765" s="1408"/>
      <c r="V765" s="1408"/>
      <c r="W765" s="1408"/>
      <c r="X765" s="1408"/>
      <c r="Y765" s="1408"/>
      <c r="Z765" s="1408"/>
      <c r="AA765" s="1408"/>
    </row>
    <row r="766" spans="1:27" x14ac:dyDescent="0.25">
      <c r="A766" s="926" t="s">
        <v>1724</v>
      </c>
      <c r="B766" s="897" t="str">
        <f ca="1">_xlfn.CONCAT(IFERROR(SUBSTITUTE(ADDRESS(1,MATCH(A766,INDIRECT("'"&amp;E766&amp;"'"&amp;"!A" &amp; $O$766 + 11 &amp; ":Z" &amp; $O$766+ 11),0),4),1,""),""),$O$766 + 11)</f>
        <v>T162</v>
      </c>
      <c r="C766" s="897" t="str">
        <f ca="1">_xlfn.CONCAT(IFERROR(SUBSTITUTE(ADDRESS(1,MATCH(A766,INDIRECT("'"&amp;E766&amp;"'"&amp;"!A" &amp; $O$766 + 11 &amp; ":Z" &amp; $O$766+ 11),0),4),1,""),""),$O$766 + 12)</f>
        <v>T163</v>
      </c>
      <c r="D766" s="897" t="s">
        <v>1367</v>
      </c>
      <c r="E766" s="897" t="s">
        <v>1535</v>
      </c>
      <c r="F766" s="1409"/>
      <c r="G766" s="1409"/>
      <c r="H766" s="1409"/>
      <c r="I766" s="857" t="str">
        <f t="shared" si="119"/>
        <v/>
      </c>
      <c r="J766" s="1409" t="str">
        <f t="shared" ref="J766:J778" si="129">IF(M766&lt;&gt;"",IF($Q$766="Yes",Q$1&amp;M766,""))</f>
        <v/>
      </c>
      <c r="K766" s="1409" t="str">
        <f t="shared" si="120"/>
        <v/>
      </c>
      <c r="L766" s="897" t="s">
        <v>1724</v>
      </c>
      <c r="M766" s="1410">
        <v>749</v>
      </c>
      <c r="N766" s="1409"/>
      <c r="O766" s="1408">
        <f>'Configurable Tab'!H13</f>
        <v>151</v>
      </c>
      <c r="P766" s="1408">
        <f>'Configurable Tab'!J13</f>
        <v>0</v>
      </c>
      <c r="Q766" s="1408" t="s">
        <v>649</v>
      </c>
      <c r="R766" s="1409" t="s">
        <v>1550</v>
      </c>
      <c r="S766" s="1408"/>
      <c r="T766" s="1409" t="str">
        <f t="shared" si="128"/>
        <v/>
      </c>
      <c r="U766" s="1408"/>
      <c r="V766" s="1408"/>
      <c r="W766" s="1408"/>
      <c r="X766" s="1408"/>
      <c r="Y766" s="1408"/>
      <c r="Z766" s="1408"/>
      <c r="AA766" s="1408"/>
    </row>
    <row r="767" spans="1:27" x14ac:dyDescent="0.25">
      <c r="A767" s="926" t="s">
        <v>1400</v>
      </c>
      <c r="B767" s="897" t="str">
        <f ca="1">IFERROR(_xlfn.CONCAT("C",MATCH(A767,INDIRECT("'"&amp;E767&amp;"'!C"&amp;$O$766&amp;":C"&amp;$O$768),0)+$O$766-1),"")</f>
        <v>C153</v>
      </c>
      <c r="C767" s="897" t="str">
        <f ca="1">IFERROR(_xlfn.CONCAT("D",MATCH(A767,INDIRECT("'"&amp;E767&amp;"'!C"&amp;$O$766&amp;":C"&amp;$O$768),0)+$O$766-1),"")</f>
        <v>D153</v>
      </c>
      <c r="D767" s="897" t="s">
        <v>1367</v>
      </c>
      <c r="E767" s="897" t="s">
        <v>1535</v>
      </c>
      <c r="F767" s="1409" t="s">
        <v>1400</v>
      </c>
      <c r="G767" s="1409" t="str">
        <f>IF(T767&lt;&gt;"","B","")</f>
        <v/>
      </c>
      <c r="H767" s="1409" t="s">
        <v>1926</v>
      </c>
      <c r="I767" s="857" t="str">
        <f t="shared" si="119"/>
        <v/>
      </c>
      <c r="J767" s="1409"/>
      <c r="K767" s="1409" t="str">
        <f t="shared" si="120"/>
        <v/>
      </c>
      <c r="L767" s="897" t="s">
        <v>1400</v>
      </c>
      <c r="M767" s="1410">
        <v>750</v>
      </c>
      <c r="N767" s="1409"/>
      <c r="O767" s="1408" t="s">
        <v>727</v>
      </c>
      <c r="P767" s="1408"/>
      <c r="Q767" s="1408"/>
      <c r="R767" s="1409" t="s">
        <v>1550</v>
      </c>
      <c r="S767" s="1408"/>
      <c r="T767" s="1409" t="str">
        <f t="shared" si="128"/>
        <v/>
      </c>
      <c r="U767" s="1408"/>
      <c r="V767" s="1408"/>
      <c r="W767" s="1408"/>
      <c r="X767" s="1408"/>
      <c r="Y767" s="1408"/>
      <c r="Z767" s="1408"/>
      <c r="AA767" s="1408"/>
    </row>
    <row r="768" spans="1:27" x14ac:dyDescent="0.25">
      <c r="A768" s="926" t="s">
        <v>1397</v>
      </c>
      <c r="B768" s="897" t="str">
        <f t="shared" ref="B768:B774" ca="1" si="130">_xlfn.CONCAT(IFERROR(SUBSTITUTE(ADDRESS(1,MATCH(A768,INDIRECT("'"&amp;E768&amp;"'"&amp;"!A" &amp; $O$766 + 2 &amp; ":Z" &amp; $O$766+ 2),0),4),1,""),""),$O$766 + 2)</f>
        <v>H153</v>
      </c>
      <c r="C768" s="897" t="str">
        <f t="shared" ref="C768:C774" ca="1" si="131">_xlfn.CONCAT(IFERROR(SUBSTITUTE(ADDRESS(1,MATCH(A768,INDIRECT("'"&amp;E768&amp;"'"&amp;"!A" &amp; $O$766 + 2 &amp; ":Z" &amp; $O$766+ 2),0),4),1,""),""),$O$766 + 3)</f>
        <v>H154</v>
      </c>
      <c r="D768" s="897" t="s">
        <v>1367</v>
      </c>
      <c r="E768" s="897" t="s">
        <v>1535</v>
      </c>
      <c r="F768" s="1409" t="s">
        <v>1927</v>
      </c>
      <c r="G768" s="1409" t="str">
        <f>IF(T768&lt;&gt;"","E","")</f>
        <v/>
      </c>
      <c r="H768" s="1409" t="s">
        <v>1926</v>
      </c>
      <c r="I768" s="857" t="str">
        <f t="shared" si="119"/>
        <v/>
      </c>
      <c r="J768" s="1409" t="str">
        <f t="shared" si="129"/>
        <v/>
      </c>
      <c r="K768" s="1409" t="str">
        <f t="shared" si="120"/>
        <v/>
      </c>
      <c r="L768" s="897" t="s">
        <v>1397</v>
      </c>
      <c r="M768" s="1410">
        <v>751</v>
      </c>
      <c r="N768" s="1409"/>
      <c r="O768" s="1408">
        <f>'Configurable Tab'!I13</f>
        <v>164</v>
      </c>
      <c r="P768" s="1408"/>
      <c r="Q768" s="1408"/>
      <c r="R768" s="1409" t="s">
        <v>1550</v>
      </c>
      <c r="S768" s="1408"/>
      <c r="T768" s="1409" t="str">
        <f t="shared" si="128"/>
        <v/>
      </c>
      <c r="U768" s="1408"/>
      <c r="V768" s="1408"/>
      <c r="W768" s="1408"/>
      <c r="X768" s="1408"/>
      <c r="Y768" s="1408"/>
      <c r="Z768" s="1408"/>
      <c r="AA768" s="1408"/>
    </row>
    <row r="769" spans="1:27" x14ac:dyDescent="0.25">
      <c r="A769" s="926" t="s">
        <v>1398</v>
      </c>
      <c r="B769" s="897" t="str">
        <f t="shared" ca="1" si="130"/>
        <v>J153</v>
      </c>
      <c r="C769" s="897" t="str">
        <f t="shared" ca="1" si="131"/>
        <v>J154</v>
      </c>
      <c r="D769" s="897" t="s">
        <v>1367</v>
      </c>
      <c r="E769" s="897" t="s">
        <v>1535</v>
      </c>
      <c r="F769" s="1409" t="s">
        <v>1928</v>
      </c>
      <c r="G769" s="1409" t="str">
        <f>IF(T769&lt;&gt;"","I","")</f>
        <v/>
      </c>
      <c r="H769" s="1409" t="s">
        <v>1926</v>
      </c>
      <c r="I769" s="857" t="str">
        <f t="shared" si="119"/>
        <v/>
      </c>
      <c r="J769" s="1409" t="str">
        <f t="shared" si="129"/>
        <v/>
      </c>
      <c r="K769" s="1409" t="str">
        <f t="shared" si="120"/>
        <v/>
      </c>
      <c r="L769" s="897" t="s">
        <v>1398</v>
      </c>
      <c r="M769" s="1410">
        <v>752</v>
      </c>
      <c r="N769" s="1409"/>
      <c r="O769" s="1408" t="s">
        <v>1661</v>
      </c>
      <c r="P769" s="1408"/>
      <c r="Q769" s="1408"/>
      <c r="R769" s="1409" t="s">
        <v>1550</v>
      </c>
      <c r="S769" s="1408"/>
      <c r="T769" s="1409" t="str">
        <f t="shared" si="128"/>
        <v/>
      </c>
      <c r="U769" s="1408"/>
      <c r="V769" s="1408"/>
      <c r="W769" s="1408"/>
      <c r="X769" s="1408"/>
      <c r="Y769" s="1408"/>
      <c r="Z769" s="1408"/>
      <c r="AA769" s="1408"/>
    </row>
    <row r="770" spans="1:27" x14ac:dyDescent="0.25">
      <c r="A770" s="926" t="s">
        <v>1414</v>
      </c>
      <c r="B770" s="897" t="str">
        <f t="shared" ca="1" si="130"/>
        <v>L153</v>
      </c>
      <c r="C770" s="897" t="str">
        <f t="shared" ca="1" si="131"/>
        <v>L154</v>
      </c>
      <c r="D770" s="897" t="s">
        <v>1367</v>
      </c>
      <c r="E770" s="897" t="s">
        <v>1535</v>
      </c>
      <c r="F770" s="1409" t="s">
        <v>1929</v>
      </c>
      <c r="G770" s="1409" t="str">
        <f>IF(T770&lt;&gt;"","H","")</f>
        <v/>
      </c>
      <c r="H770" s="1409" t="s">
        <v>1926</v>
      </c>
      <c r="I770" s="857" t="str">
        <f t="shared" si="119"/>
        <v/>
      </c>
      <c r="J770" s="1409" t="str">
        <f t="shared" si="129"/>
        <v/>
      </c>
      <c r="K770" s="1409" t="str">
        <f t="shared" si="120"/>
        <v/>
      </c>
      <c r="L770" s="897" t="s">
        <v>1414</v>
      </c>
      <c r="M770" s="1410">
        <v>753</v>
      </c>
      <c r="N770" s="1409"/>
      <c r="O770" s="1408"/>
      <c r="P770" s="1408"/>
      <c r="Q770" s="1408"/>
      <c r="R770" s="1409" t="s">
        <v>1550</v>
      </c>
      <c r="S770" s="1408"/>
      <c r="T770" s="1409" t="str">
        <f t="shared" si="128"/>
        <v/>
      </c>
      <c r="U770" s="1408"/>
      <c r="V770" s="1408"/>
      <c r="W770" s="1408"/>
      <c r="X770" s="1408"/>
      <c r="Y770" s="1408"/>
      <c r="Z770" s="1408"/>
      <c r="AA770" s="1408"/>
    </row>
    <row r="771" spans="1:27" x14ac:dyDescent="0.25">
      <c r="A771" s="926" t="s">
        <v>1399</v>
      </c>
      <c r="B771" s="897" t="str">
        <f t="shared" ca="1" si="130"/>
        <v>N153</v>
      </c>
      <c r="C771" s="897" t="str">
        <f t="shared" ca="1" si="131"/>
        <v>N154</v>
      </c>
      <c r="D771" s="897" t="s">
        <v>1367</v>
      </c>
      <c r="E771" s="897" t="s">
        <v>1535</v>
      </c>
      <c r="F771" s="1409" t="s">
        <v>1399</v>
      </c>
      <c r="G771" s="1409" t="str">
        <f>IF(T771&lt;&gt;"",IF(Q769="Credit Memo","J",IF(Q769="Check","K","")),"")</f>
        <v/>
      </c>
      <c r="H771" s="1409" t="s">
        <v>1926</v>
      </c>
      <c r="I771" s="857" t="str">
        <f t="shared" si="119"/>
        <v/>
      </c>
      <c r="J771" s="1409" t="str">
        <f t="shared" si="129"/>
        <v/>
      </c>
      <c r="K771" s="1409" t="str">
        <f t="shared" si="120"/>
        <v/>
      </c>
      <c r="L771" s="897" t="s">
        <v>1399</v>
      </c>
      <c r="M771" s="1410">
        <v>754</v>
      </c>
      <c r="N771" s="1409"/>
      <c r="O771" s="1408"/>
      <c r="P771" s="1408"/>
      <c r="Q771" s="1408"/>
      <c r="R771" s="1409" t="s">
        <v>1550</v>
      </c>
      <c r="S771" s="1408"/>
      <c r="T771" s="1409" t="str">
        <f t="shared" si="128"/>
        <v/>
      </c>
      <c r="U771" s="1408"/>
      <c r="V771" s="1408"/>
      <c r="W771" s="1408"/>
      <c r="X771" s="1408"/>
      <c r="Y771" s="1408"/>
      <c r="Z771" s="1408"/>
      <c r="AA771" s="1408"/>
    </row>
    <row r="772" spans="1:27" x14ac:dyDescent="0.25">
      <c r="A772" s="926" t="s">
        <v>1505</v>
      </c>
      <c r="B772" s="897" t="str">
        <f t="shared" ca="1" si="130"/>
        <v>P153</v>
      </c>
      <c r="C772" s="897" t="str">
        <f t="shared" ca="1" si="131"/>
        <v>P154</v>
      </c>
      <c r="D772" s="897" t="s">
        <v>1367</v>
      </c>
      <c r="E772" s="897" t="s">
        <v>1535</v>
      </c>
      <c r="F772" s="1409" t="s">
        <v>1930</v>
      </c>
      <c r="G772" s="1409" t="str">
        <f>IF(T772&lt;&gt;"","F","")</f>
        <v/>
      </c>
      <c r="H772" s="1409" t="s">
        <v>1926</v>
      </c>
      <c r="I772" s="857" t="str">
        <f t="shared" ref="I772:I835" si="132">IF(J772&lt;&gt;"",A772,"")</f>
        <v/>
      </c>
      <c r="J772" s="1409" t="str">
        <f t="shared" si="129"/>
        <v/>
      </c>
      <c r="K772" s="1409" t="str">
        <f t="shared" ref="K772:K835" si="133">IF(J772&lt;&gt;"",E772,"")</f>
        <v/>
      </c>
      <c r="L772" s="897" t="s">
        <v>1505</v>
      </c>
      <c r="M772" s="1410">
        <v>755</v>
      </c>
      <c r="N772" s="1409"/>
      <c r="O772" s="1408"/>
      <c r="P772" s="1408"/>
      <c r="Q772" s="1408"/>
      <c r="R772" s="1409" t="s">
        <v>1550</v>
      </c>
      <c r="S772" s="1408"/>
      <c r="T772" s="1409" t="str">
        <f t="shared" si="128"/>
        <v/>
      </c>
      <c r="U772" s="1408"/>
      <c r="V772" s="1408"/>
      <c r="W772" s="1408"/>
      <c r="X772" s="1408"/>
      <c r="Y772" s="1408"/>
      <c r="Z772" s="1408"/>
      <c r="AA772" s="1408"/>
    </row>
    <row r="773" spans="1:27" x14ac:dyDescent="0.25">
      <c r="A773" s="926" t="s">
        <v>1506</v>
      </c>
      <c r="B773" s="897" t="str">
        <f t="shared" ca="1" si="130"/>
        <v>R153</v>
      </c>
      <c r="C773" s="897" t="str">
        <f t="shared" ca="1" si="131"/>
        <v>R154</v>
      </c>
      <c r="D773" s="897" t="s">
        <v>1367</v>
      </c>
      <c r="E773" s="897" t="s">
        <v>1535</v>
      </c>
      <c r="F773" s="1409" t="s">
        <v>1931</v>
      </c>
      <c r="G773" s="1409" t="str">
        <f>IF(T773&lt;&gt;"","G","")</f>
        <v/>
      </c>
      <c r="H773" s="1409" t="s">
        <v>1926</v>
      </c>
      <c r="I773" s="857" t="str">
        <f t="shared" si="132"/>
        <v/>
      </c>
      <c r="J773" s="1409" t="str">
        <f t="shared" si="129"/>
        <v/>
      </c>
      <c r="K773" s="1409" t="str">
        <f t="shared" si="133"/>
        <v/>
      </c>
      <c r="L773" s="897" t="s">
        <v>1506</v>
      </c>
      <c r="M773" s="1410">
        <v>756</v>
      </c>
      <c r="N773" s="1409"/>
      <c r="O773" s="1408"/>
      <c r="P773" s="1408"/>
      <c r="Q773" s="1408"/>
      <c r="R773" s="1409" t="s">
        <v>1550</v>
      </c>
      <c r="S773" s="1408"/>
      <c r="T773" s="1409" t="str">
        <f t="shared" si="128"/>
        <v/>
      </c>
      <c r="U773" s="1408"/>
      <c r="V773" s="1408"/>
      <c r="W773" s="1408"/>
      <c r="X773" s="1408"/>
      <c r="Y773" s="1408"/>
      <c r="Z773" s="1408"/>
      <c r="AA773" s="1408"/>
    </row>
    <row r="774" spans="1:27" x14ac:dyDescent="0.25">
      <c r="A774" s="926" t="s">
        <v>1507</v>
      </c>
      <c r="B774" s="897" t="str">
        <f t="shared" ca="1" si="130"/>
        <v>T153</v>
      </c>
      <c r="C774" s="897" t="str">
        <f t="shared" ca="1" si="131"/>
        <v>T154</v>
      </c>
      <c r="D774" s="897" t="s">
        <v>1367</v>
      </c>
      <c r="E774" s="897" t="s">
        <v>1535</v>
      </c>
      <c r="F774" s="919" t="s">
        <v>1507</v>
      </c>
      <c r="G774" s="1409" t="str">
        <f>IF(T774&lt;&gt;"","AW","")</f>
        <v/>
      </c>
      <c r="H774" s="1409" t="s">
        <v>1926</v>
      </c>
      <c r="I774" s="857" t="str">
        <f t="shared" si="132"/>
        <v/>
      </c>
      <c r="J774" s="1409" t="str">
        <f t="shared" si="129"/>
        <v/>
      </c>
      <c r="K774" s="1409" t="str">
        <f t="shared" si="133"/>
        <v/>
      </c>
      <c r="L774" s="897" t="s">
        <v>1507</v>
      </c>
      <c r="M774" s="1410">
        <v>757</v>
      </c>
      <c r="N774" s="1409"/>
      <c r="O774" s="1408"/>
      <c r="P774" s="1408"/>
      <c r="Q774" s="1408"/>
      <c r="R774" s="1409" t="s">
        <v>1550</v>
      </c>
      <c r="S774" s="1408"/>
      <c r="T774" s="1409" t="str">
        <f t="shared" si="128"/>
        <v/>
      </c>
      <c r="U774" s="1408"/>
      <c r="V774" s="1408"/>
      <c r="W774" s="1408"/>
      <c r="X774" s="1408"/>
      <c r="Y774" s="1408"/>
      <c r="Z774" s="1408"/>
      <c r="AA774" s="1408"/>
    </row>
    <row r="775" spans="1:27" x14ac:dyDescent="0.25">
      <c r="A775" s="926" t="s">
        <v>1402</v>
      </c>
      <c r="B775" s="897" t="str">
        <f ca="1">IFERROR(_xlfn.CONCAT("C",MATCH(A775,INDIRECT("'"&amp;E775&amp;"'!C"&amp;$O$766&amp;":C"&amp;$O$768),0)+$O$766-1),"")</f>
        <v>C157</v>
      </c>
      <c r="C775" s="897" t="str">
        <f ca="1">IFERROR(_xlfn.CONCAT("D",MATCH(A775,INDIRECT("'"&amp;E775&amp;"'!C"&amp;$O$766&amp;":C"&amp;$O$768),0)+$O$766-1),"")</f>
        <v>D157</v>
      </c>
      <c r="D775" s="897" t="s">
        <v>1367</v>
      </c>
      <c r="E775" s="897" t="s">
        <v>1535</v>
      </c>
      <c r="F775" s="1409" t="s">
        <v>1402</v>
      </c>
      <c r="G775" s="1409" t="str">
        <f>IF(T775&lt;&gt;"","C","")</f>
        <v/>
      </c>
      <c r="H775" s="1409" t="s">
        <v>1926</v>
      </c>
      <c r="I775" s="857" t="str">
        <f t="shared" si="132"/>
        <v/>
      </c>
      <c r="J775" s="1409"/>
      <c r="K775" s="1409" t="str">
        <f t="shared" si="133"/>
        <v/>
      </c>
      <c r="L775" s="897" t="s">
        <v>1402</v>
      </c>
      <c r="M775" s="1410">
        <v>758</v>
      </c>
      <c r="N775" s="1409"/>
      <c r="O775" s="1408"/>
      <c r="P775" s="1408"/>
      <c r="Q775" s="1408"/>
      <c r="R775" s="1409" t="s">
        <v>1550</v>
      </c>
      <c r="S775" s="1408"/>
      <c r="T775" s="1409" t="str">
        <f t="shared" si="128"/>
        <v/>
      </c>
      <c r="U775" s="1408"/>
      <c r="V775" s="1408"/>
      <c r="W775" s="1408"/>
      <c r="X775" s="1408"/>
      <c r="Y775" s="1408"/>
      <c r="Z775" s="1408"/>
      <c r="AA775" s="1408"/>
    </row>
    <row r="776" spans="1:27" x14ac:dyDescent="0.25">
      <c r="A776" s="926" t="s">
        <v>1403</v>
      </c>
      <c r="B776" s="897" t="str">
        <f ca="1">IFERROR(_xlfn.CONCAT("C",MATCH(A776,INDIRECT("'"&amp;E776&amp;"'!C"&amp;$O$766&amp;":C"&amp;$O$768),0)+$O$766-1),"")</f>
        <v>C159</v>
      </c>
      <c r="C776" s="897" t="str">
        <f ca="1">IFERROR(_xlfn.CONCAT("D",MATCH(A776,INDIRECT("'"&amp;E776&amp;"'!C"&amp;$O$766&amp;":C"&amp;$O$768),0)+$O$766-1),"")</f>
        <v>D159</v>
      </c>
      <c r="D776" s="897" t="s">
        <v>1367</v>
      </c>
      <c r="E776" s="897" t="s">
        <v>1535</v>
      </c>
      <c r="F776" s="1409" t="s">
        <v>1403</v>
      </c>
      <c r="G776" s="1409" t="str">
        <f>IF(T776&lt;&gt;"","D","")</f>
        <v/>
      </c>
      <c r="H776" s="1409" t="s">
        <v>1926</v>
      </c>
      <c r="I776" s="857" t="str">
        <f t="shared" si="132"/>
        <v/>
      </c>
      <c r="J776" s="1409"/>
      <c r="K776" s="1409" t="str">
        <f t="shared" si="133"/>
        <v/>
      </c>
      <c r="L776" s="897" t="s">
        <v>1403</v>
      </c>
      <c r="M776" s="1410">
        <v>759</v>
      </c>
      <c r="N776" s="1409"/>
      <c r="O776" s="1408"/>
      <c r="P776" s="1408"/>
      <c r="Q776" s="1408"/>
      <c r="R776" s="1409" t="s">
        <v>1550</v>
      </c>
      <c r="S776" s="1408"/>
      <c r="T776" s="1409" t="str">
        <f t="shared" si="128"/>
        <v/>
      </c>
      <c r="U776" s="1408"/>
      <c r="V776" s="1408"/>
      <c r="W776" s="1408"/>
      <c r="X776" s="1408"/>
      <c r="Y776" s="1408"/>
      <c r="Z776" s="1408"/>
      <c r="AA776" s="1408"/>
    </row>
    <row r="777" spans="1:27" x14ac:dyDescent="0.25">
      <c r="A777" s="926" t="s">
        <v>1514</v>
      </c>
      <c r="B777" s="897" t="str">
        <f ca="1">IFERROR(_xlfn.CONCAT("C",MATCH(A777,INDIRECT("'"&amp;E777&amp;"'!C"&amp;$O$766&amp;":C"&amp;$O$768),0)+$O$766-1),"")</f>
        <v>C161</v>
      </c>
      <c r="C777" s="897" t="str">
        <f ca="1">IFERROR(_xlfn.CONCAT("D",MATCH(A777,INDIRECT("'"&amp;E777&amp;"'!C"&amp;$O$766&amp;":C"&amp;$O$768),0)+$O$766-1),"")</f>
        <v>D161</v>
      </c>
      <c r="D777" s="897" t="s">
        <v>1367</v>
      </c>
      <c r="E777" s="897" t="s">
        <v>1535</v>
      </c>
      <c r="F777" s="1409" t="s">
        <v>1514</v>
      </c>
      <c r="G777" s="1409" t="str">
        <f>IF(T777&lt;&gt;"","AN","")</f>
        <v/>
      </c>
      <c r="H777" s="1409" t="s">
        <v>1926</v>
      </c>
      <c r="I777" s="857" t="str">
        <f t="shared" si="132"/>
        <v/>
      </c>
      <c r="J777" s="1409" t="str">
        <f t="shared" si="129"/>
        <v/>
      </c>
      <c r="K777" s="1409" t="str">
        <f t="shared" si="133"/>
        <v/>
      </c>
      <c r="L777" s="897" t="s">
        <v>1514</v>
      </c>
      <c r="M777" s="1410">
        <v>760</v>
      </c>
      <c r="N777" s="1409"/>
      <c r="O777" s="1408"/>
      <c r="P777" s="1409" t="str" cm="1">
        <f t="array" aca="1" ref="P777" ca="1">_xlfn.CONCAT("F",RIGHT(B777, LEN(B777) - MAX(IF(ISNUMBER(MID(B777, ROW(INDIRECT("1:"&amp;LEN(B777))), 1) *1)=FALSE, ROW(INDIRECT("1:"&amp;LEN(B777))), 0))))</f>
        <v>F161</v>
      </c>
      <c r="Q777" s="1409" t="str" cm="1">
        <f t="array" aca="1" ref="Q777" ca="1">_xlfn.CONCAT("E",RIGHT(C777, LEN(C777) - MAX(IF(ISNUMBER(MID(C777, ROW(INDIRECT("1:"&amp;LEN(C777))), 1) *1)=FALSE, ROW(INDIRECT("1:"&amp;LEN(C777))), 0))))</f>
        <v>E161</v>
      </c>
      <c r="R777" s="1409" t="s">
        <v>1550</v>
      </c>
      <c r="S777" s="1408"/>
      <c r="T777" s="1409" t="str">
        <f t="shared" si="128"/>
        <v/>
      </c>
      <c r="U777" s="1408"/>
      <c r="V777" s="1408"/>
      <c r="W777" s="1408"/>
      <c r="X777" s="1408"/>
      <c r="Y777" s="1408"/>
      <c r="Z777" s="1408"/>
      <c r="AA777" s="1408"/>
    </row>
    <row r="778" spans="1:27" x14ac:dyDescent="0.25">
      <c r="A778" s="926" t="s">
        <v>1511</v>
      </c>
      <c r="B778" s="897" t="str">
        <f ca="1">_xlfn.CONCAT(IFERROR(SUBSTITUTE(ADDRESS(1,MATCH(A778,INDIRECT("'"&amp;E778&amp;"'"&amp;"!A" &amp; $O$766 + 8 &amp; ":Z" &amp; $O$766+ 8),0),4),1,""),""),$O$766 + 8)</f>
        <v>H159</v>
      </c>
      <c r="C778" s="897" t="str">
        <f ca="1">_xlfn.CONCAT(IFERROR(SUBSTITUTE(ADDRESS(1,MATCH(A778,INDIRECT("'"&amp;E778&amp;"'"&amp;"!A" &amp; $O$766 + 8 &amp; ":Z" &amp; $O$766+ 8),0),4),1,""),""),$O$766 + 9)</f>
        <v>H160</v>
      </c>
      <c r="D778" s="897" t="s">
        <v>1367</v>
      </c>
      <c r="E778" s="897" t="s">
        <v>1535</v>
      </c>
      <c r="F778" s="1409" t="s">
        <v>1511</v>
      </c>
      <c r="G778" s="1409" t="str">
        <f>IF(T778&lt;&gt;"","AL","")</f>
        <v/>
      </c>
      <c r="H778" s="1409" t="s">
        <v>1926</v>
      </c>
      <c r="I778" s="857" t="str">
        <f t="shared" si="132"/>
        <v/>
      </c>
      <c r="J778" s="1409" t="str">
        <f t="shared" si="129"/>
        <v/>
      </c>
      <c r="K778" s="1409" t="str">
        <f t="shared" si="133"/>
        <v/>
      </c>
      <c r="L778" s="897" t="s">
        <v>1511</v>
      </c>
      <c r="M778" s="1410">
        <v>761</v>
      </c>
      <c r="N778" s="1409"/>
      <c r="O778" s="1408"/>
      <c r="P778" s="1408"/>
      <c r="Q778" s="1408"/>
      <c r="R778" s="1409" t="s">
        <v>1550</v>
      </c>
      <c r="S778" s="1408"/>
      <c r="T778" s="1409" t="str">
        <f t="shared" si="128"/>
        <v/>
      </c>
      <c r="U778" s="1408"/>
      <c r="V778" s="1408"/>
      <c r="W778" s="1408"/>
      <c r="X778" s="1408"/>
      <c r="Y778" s="1408"/>
      <c r="Z778" s="1408"/>
      <c r="AA778" s="1408"/>
    </row>
    <row r="779" spans="1:27" x14ac:dyDescent="0.25">
      <c r="A779" s="926" t="s">
        <v>1406</v>
      </c>
      <c r="B779" s="897" t="str">
        <f ca="1">_xlfn.CONCAT(IFERROR(SUBSTITUTE(ADDRESS(1,MATCH(A779,INDIRECT("'"&amp;E779&amp;"'"&amp;"!A" &amp; $O$766 + 5 &amp; ":Z" &amp; $O$766+ 5),0),4),1,""),""),$O$766 + 5)</f>
        <v>L156</v>
      </c>
      <c r="C779" s="897" t="str">
        <f ca="1">_xlfn.CONCAT(IFERROR(SUBSTITUTE(ADDRESS(1,MATCH(A779,INDIRECT("'"&amp;E779&amp;"'"&amp;"!A" &amp; $O$766 + 5 &amp; ":Z" &amp; $O$766+ 5),0),4),1,""),""),$O$766 + 6)</f>
        <v>L157</v>
      </c>
      <c r="D779" s="897" t="s">
        <v>1367</v>
      </c>
      <c r="E779" s="897" t="s">
        <v>1535</v>
      </c>
      <c r="F779" s="1409" t="s">
        <v>1896</v>
      </c>
      <c r="G779" s="1409" t="str">
        <f>IF(T779&lt;&gt;"","O","")</f>
        <v/>
      </c>
      <c r="H779" s="1409" t="s">
        <v>1926</v>
      </c>
      <c r="I779" s="857" t="str">
        <f t="shared" si="132"/>
        <v/>
      </c>
      <c r="J779" s="1409"/>
      <c r="K779" s="1409" t="str">
        <f t="shared" si="133"/>
        <v/>
      </c>
      <c r="L779" s="897" t="s">
        <v>1406</v>
      </c>
      <c r="M779" s="1410">
        <v>762</v>
      </c>
      <c r="N779" s="1409"/>
      <c r="O779" s="1408"/>
      <c r="P779" s="1408"/>
      <c r="Q779" s="1408"/>
      <c r="R779" s="1409" t="s">
        <v>1550</v>
      </c>
      <c r="S779" s="1408"/>
      <c r="T779" s="1409" t="str">
        <f>IF(Q$766="Yes",11,"")</f>
        <v/>
      </c>
      <c r="U779" s="1408"/>
      <c r="V779" s="1408"/>
      <c r="W779" s="1408"/>
      <c r="X779" s="1408"/>
      <c r="Y779" s="1408"/>
      <c r="Z779" s="1408"/>
      <c r="AA779" s="1408"/>
    </row>
    <row r="780" spans="1:27" x14ac:dyDescent="0.25">
      <c r="A780" s="929" t="s">
        <v>1510</v>
      </c>
      <c r="B780" s="897" t="str">
        <f ca="1">IFERROR(_xlfn.CONCAT("C",MATCH(A780,INDIRECT("'"&amp;E780&amp;"'!C"&amp;$O$781&amp;":C"&amp;$O$783),0)+$O$781-1),"")</f>
        <v>C169</v>
      </c>
      <c r="C780" s="897" t="str">
        <f ca="1">IFERROR(_xlfn.CONCAT("D",MATCH(A780,INDIRECT("'"&amp;E780&amp;"'!C"&amp;$O$781&amp;":C"&amp;$O$783),0)+$O$781-1),"")</f>
        <v>D169</v>
      </c>
      <c r="D780" s="897" t="s">
        <v>1367</v>
      </c>
      <c r="E780" s="897" t="s">
        <v>1535</v>
      </c>
      <c r="F780" s="1409" t="s">
        <v>1510</v>
      </c>
      <c r="G780" s="1409" t="str">
        <f>IF(T780&lt;&gt;"","A","")</f>
        <v/>
      </c>
      <c r="H780" s="1409" t="s">
        <v>1926</v>
      </c>
      <c r="I780" s="857" t="str">
        <f t="shared" si="132"/>
        <v/>
      </c>
      <c r="J780" s="1409"/>
      <c r="K780" s="1409" t="str">
        <f t="shared" si="133"/>
        <v/>
      </c>
      <c r="L780" s="897" t="s">
        <v>1510</v>
      </c>
      <c r="M780" s="1410">
        <v>763</v>
      </c>
      <c r="N780" s="1409"/>
      <c r="O780" s="1408" t="s">
        <v>726</v>
      </c>
      <c r="P780" s="1408"/>
      <c r="Q780" s="1408"/>
      <c r="R780" s="1409" t="s">
        <v>1550</v>
      </c>
      <c r="S780" s="1408"/>
      <c r="T780" s="1409" t="str">
        <f t="shared" ref="T780:T793" si="134">IF(Q$781="Yes",12,"")</f>
        <v/>
      </c>
      <c r="U780" s="1408"/>
      <c r="V780" s="1408"/>
      <c r="W780" s="1408"/>
      <c r="X780" s="1408"/>
      <c r="Y780" s="1408"/>
      <c r="Z780" s="1408"/>
      <c r="AA780" s="1408"/>
    </row>
    <row r="781" spans="1:27" x14ac:dyDescent="0.25">
      <c r="A781" s="929" t="s">
        <v>1724</v>
      </c>
      <c r="B781" s="897" t="str">
        <f ca="1">_xlfn.CONCAT(IFERROR(SUBSTITUTE(ADDRESS(1,MATCH(A781,INDIRECT("'"&amp;E781&amp;"'"&amp;"!A" &amp; $O$781 + 11 &amp; ":Z" &amp; $O$781+ 11),0),4),1,""),""),$O$781 + 11)</f>
        <v>T176</v>
      </c>
      <c r="C781" s="897" t="str">
        <f ca="1">_xlfn.CONCAT(IFERROR(SUBSTITUTE(ADDRESS(1,MATCH(A781,INDIRECT("'"&amp;E781&amp;"'"&amp;"!A" &amp; $O$781 + 11 &amp; ":Z" &amp; $O$781+ 11),0),4),1,""),""),$O$781 + 12)</f>
        <v>T177</v>
      </c>
      <c r="D781" s="897" t="s">
        <v>1367</v>
      </c>
      <c r="E781" s="897" t="s">
        <v>1535</v>
      </c>
      <c r="F781" s="1409"/>
      <c r="G781" s="1409"/>
      <c r="H781" s="1409"/>
      <c r="I781" s="857" t="str">
        <f t="shared" si="132"/>
        <v/>
      </c>
      <c r="J781" s="1409" t="str">
        <f t="shared" ref="J781:J793" si="135">IF(M781&lt;&gt;"",IF($Q$781="Yes",Q$1&amp;M781,""))</f>
        <v/>
      </c>
      <c r="K781" s="1409" t="str">
        <f t="shared" si="133"/>
        <v/>
      </c>
      <c r="L781" s="897" t="s">
        <v>1724</v>
      </c>
      <c r="M781" s="1410">
        <v>764</v>
      </c>
      <c r="N781" s="1409"/>
      <c r="O781" s="1408">
        <f>'Configurable Tab'!H14</f>
        <v>165</v>
      </c>
      <c r="P781" s="1408">
        <f>'Configurable Tab'!J14</f>
        <v>0</v>
      </c>
      <c r="Q781" s="1408" t="s">
        <v>649</v>
      </c>
      <c r="R781" s="1409" t="s">
        <v>1550</v>
      </c>
      <c r="S781" s="1408"/>
      <c r="T781" s="1409" t="str">
        <f t="shared" si="134"/>
        <v/>
      </c>
      <c r="U781" s="1408"/>
      <c r="V781" s="1408"/>
      <c r="W781" s="1408"/>
      <c r="X781" s="1408"/>
      <c r="Y781" s="1408"/>
      <c r="Z781" s="1408"/>
      <c r="AA781" s="1408"/>
    </row>
    <row r="782" spans="1:27" x14ac:dyDescent="0.25">
      <c r="A782" s="929" t="s">
        <v>1400</v>
      </c>
      <c r="B782" s="897" t="str">
        <f ca="1">IFERROR(_xlfn.CONCAT("C",MATCH(A782,INDIRECT("'"&amp;E782&amp;"'!C"&amp;$O$781&amp;":C"&amp;$O$783),0)+$O$781-1),"")</f>
        <v>C167</v>
      </c>
      <c r="C782" s="897" t="str">
        <f ca="1">IFERROR(_xlfn.CONCAT("D",MATCH(A782,INDIRECT("'"&amp;E782&amp;"'!C"&amp;$O$781&amp;":C"&amp;$O$783),0)+$O$781-1),"")</f>
        <v>D167</v>
      </c>
      <c r="D782" s="897" t="s">
        <v>1367</v>
      </c>
      <c r="E782" s="897" t="s">
        <v>1535</v>
      </c>
      <c r="F782" s="1409" t="s">
        <v>1400</v>
      </c>
      <c r="G782" s="1409" t="str">
        <f>IF(T782&lt;&gt;"","B","")</f>
        <v/>
      </c>
      <c r="H782" s="1409" t="s">
        <v>1926</v>
      </c>
      <c r="I782" s="857" t="str">
        <f t="shared" si="132"/>
        <v/>
      </c>
      <c r="J782" s="1409"/>
      <c r="K782" s="1409" t="str">
        <f t="shared" si="133"/>
        <v/>
      </c>
      <c r="L782" s="897" t="s">
        <v>1400</v>
      </c>
      <c r="M782" s="1410">
        <v>765</v>
      </c>
      <c r="N782" s="1409"/>
      <c r="O782" s="1408" t="s">
        <v>727</v>
      </c>
      <c r="P782" s="1408"/>
      <c r="Q782" s="1408"/>
      <c r="R782" s="1409" t="s">
        <v>1550</v>
      </c>
      <c r="S782" s="1408"/>
      <c r="T782" s="1409" t="str">
        <f t="shared" si="134"/>
        <v/>
      </c>
      <c r="U782" s="1408"/>
      <c r="V782" s="1408"/>
      <c r="W782" s="1408"/>
      <c r="X782" s="1408"/>
      <c r="Y782" s="1408"/>
      <c r="Z782" s="1408"/>
      <c r="AA782" s="1408"/>
    </row>
    <row r="783" spans="1:27" x14ac:dyDescent="0.25">
      <c r="A783" s="929" t="s">
        <v>1397</v>
      </c>
      <c r="B783" s="897" t="str">
        <f t="shared" ref="B783:B789" ca="1" si="136">_xlfn.CONCAT(IFERROR(SUBSTITUTE(ADDRESS(1,MATCH(A783,INDIRECT("'"&amp;E783&amp;"'"&amp;"!A" &amp; $O$781 + 2 &amp; ":Z" &amp; $O$781+ 2),0),4),1,""),""),$O$781 + 2)</f>
        <v>H167</v>
      </c>
      <c r="C783" s="897" t="str">
        <f t="shared" ref="C783:C789" ca="1" si="137">_xlfn.CONCAT(IFERROR(SUBSTITUTE(ADDRESS(1,MATCH(A783,INDIRECT("'"&amp;E783&amp;"'"&amp;"!A" &amp; $O$781 + 2 &amp; ":Z" &amp; $O$781+ 2),0),4),1,""),""),$O$781 + 3)</f>
        <v>H168</v>
      </c>
      <c r="D783" s="897" t="s">
        <v>1367</v>
      </c>
      <c r="E783" s="897" t="s">
        <v>1535</v>
      </c>
      <c r="F783" s="1409" t="s">
        <v>1927</v>
      </c>
      <c r="G783" s="1409" t="str">
        <f>IF(T783&lt;&gt;"","E","")</f>
        <v/>
      </c>
      <c r="H783" s="1409" t="s">
        <v>1926</v>
      </c>
      <c r="I783" s="857" t="str">
        <f t="shared" si="132"/>
        <v/>
      </c>
      <c r="J783" s="1409" t="str">
        <f t="shared" si="135"/>
        <v/>
      </c>
      <c r="K783" s="1409" t="str">
        <f t="shared" si="133"/>
        <v/>
      </c>
      <c r="L783" s="897" t="s">
        <v>1397</v>
      </c>
      <c r="M783" s="1410">
        <v>766</v>
      </c>
      <c r="N783" s="1409"/>
      <c r="O783" s="1408">
        <f>'Configurable Tab'!I14</f>
        <v>178</v>
      </c>
      <c r="P783" s="1408"/>
      <c r="Q783" s="1408"/>
      <c r="R783" s="1409" t="s">
        <v>1550</v>
      </c>
      <c r="S783" s="1408"/>
      <c r="T783" s="1409" t="str">
        <f t="shared" si="134"/>
        <v/>
      </c>
      <c r="U783" s="1408"/>
      <c r="V783" s="1408"/>
      <c r="W783" s="1408"/>
      <c r="X783" s="1408"/>
      <c r="Y783" s="1408"/>
      <c r="Z783" s="1408"/>
      <c r="AA783" s="1408"/>
    </row>
    <row r="784" spans="1:27" x14ac:dyDescent="0.25">
      <c r="A784" s="929" t="s">
        <v>1398</v>
      </c>
      <c r="B784" s="897" t="str">
        <f t="shared" ca="1" si="136"/>
        <v>J167</v>
      </c>
      <c r="C784" s="897" t="str">
        <f t="shared" ca="1" si="137"/>
        <v>J168</v>
      </c>
      <c r="D784" s="897" t="s">
        <v>1367</v>
      </c>
      <c r="E784" s="897" t="s">
        <v>1535</v>
      </c>
      <c r="F784" s="1409" t="s">
        <v>1928</v>
      </c>
      <c r="G784" s="1409" t="str">
        <f>IF(T784&lt;&gt;"","I","")</f>
        <v/>
      </c>
      <c r="H784" s="1409" t="s">
        <v>1926</v>
      </c>
      <c r="I784" s="857" t="str">
        <f t="shared" si="132"/>
        <v/>
      </c>
      <c r="J784" s="1409" t="str">
        <f t="shared" si="135"/>
        <v/>
      </c>
      <c r="K784" s="1409" t="str">
        <f t="shared" si="133"/>
        <v/>
      </c>
      <c r="L784" s="897" t="s">
        <v>1398</v>
      </c>
      <c r="M784" s="1410">
        <v>767</v>
      </c>
      <c r="N784" s="1409"/>
      <c r="O784" s="1408" t="s">
        <v>1662</v>
      </c>
      <c r="P784" s="1408"/>
      <c r="Q784" s="1408"/>
      <c r="R784" s="1409" t="s">
        <v>1550</v>
      </c>
      <c r="S784" s="1408"/>
      <c r="T784" s="1409" t="str">
        <f t="shared" si="134"/>
        <v/>
      </c>
      <c r="U784" s="1408"/>
      <c r="V784" s="1408"/>
      <c r="W784" s="1408"/>
      <c r="X784" s="1408"/>
      <c r="Y784" s="1408"/>
      <c r="Z784" s="1408"/>
      <c r="AA784" s="1408"/>
    </row>
    <row r="785" spans="1:27" x14ac:dyDescent="0.25">
      <c r="A785" s="929" t="s">
        <v>1414</v>
      </c>
      <c r="B785" s="897" t="str">
        <f t="shared" ca="1" si="136"/>
        <v>L167</v>
      </c>
      <c r="C785" s="897" t="str">
        <f t="shared" ca="1" si="137"/>
        <v>L168</v>
      </c>
      <c r="D785" s="897" t="s">
        <v>1367</v>
      </c>
      <c r="E785" s="897" t="s">
        <v>1535</v>
      </c>
      <c r="F785" s="1409" t="s">
        <v>1929</v>
      </c>
      <c r="G785" s="1409" t="str">
        <f>IF(T785&lt;&gt;"","H","")</f>
        <v/>
      </c>
      <c r="H785" s="1409" t="s">
        <v>1926</v>
      </c>
      <c r="I785" s="857" t="str">
        <f t="shared" si="132"/>
        <v/>
      </c>
      <c r="J785" s="1409" t="str">
        <f t="shared" si="135"/>
        <v/>
      </c>
      <c r="K785" s="1409" t="str">
        <f t="shared" si="133"/>
        <v/>
      </c>
      <c r="L785" s="897" t="s">
        <v>1414</v>
      </c>
      <c r="M785" s="1410">
        <v>768</v>
      </c>
      <c r="N785" s="1409"/>
      <c r="O785" s="1408"/>
      <c r="P785" s="1408"/>
      <c r="Q785" s="1408"/>
      <c r="R785" s="1409" t="s">
        <v>1550</v>
      </c>
      <c r="S785" s="1408"/>
      <c r="T785" s="1409" t="str">
        <f t="shared" si="134"/>
        <v/>
      </c>
      <c r="U785" s="1408"/>
      <c r="V785" s="1408"/>
      <c r="W785" s="1408"/>
      <c r="X785" s="1408"/>
      <c r="Y785" s="1408"/>
      <c r="Z785" s="1408"/>
      <c r="AA785" s="1408"/>
    </row>
    <row r="786" spans="1:27" x14ac:dyDescent="0.25">
      <c r="A786" s="929" t="s">
        <v>1399</v>
      </c>
      <c r="B786" s="897" t="str">
        <f t="shared" ca="1" si="136"/>
        <v>N167</v>
      </c>
      <c r="C786" s="897" t="str">
        <f t="shared" ca="1" si="137"/>
        <v>N168</v>
      </c>
      <c r="D786" s="897" t="s">
        <v>1367</v>
      </c>
      <c r="E786" s="897" t="s">
        <v>1535</v>
      </c>
      <c r="F786" s="1409" t="s">
        <v>1399</v>
      </c>
      <c r="G786" s="1409" t="str">
        <f>IF(T786&lt;&gt;"",IF(Q784="Credit Memo","J",IF(Q784="Check","K","")),"")</f>
        <v/>
      </c>
      <c r="H786" s="1409" t="s">
        <v>1926</v>
      </c>
      <c r="I786" s="857" t="str">
        <f t="shared" si="132"/>
        <v/>
      </c>
      <c r="J786" s="1409" t="str">
        <f t="shared" si="135"/>
        <v/>
      </c>
      <c r="K786" s="1409" t="str">
        <f t="shared" si="133"/>
        <v/>
      </c>
      <c r="L786" s="897" t="s">
        <v>1399</v>
      </c>
      <c r="M786" s="1410">
        <v>769</v>
      </c>
      <c r="N786" s="1409"/>
      <c r="O786" s="1408"/>
      <c r="P786" s="1408"/>
      <c r="Q786" s="1408"/>
      <c r="R786" s="1409" t="s">
        <v>1550</v>
      </c>
      <c r="S786" s="1408"/>
      <c r="T786" s="1409" t="str">
        <f t="shared" si="134"/>
        <v/>
      </c>
      <c r="U786" s="1408"/>
      <c r="V786" s="1408"/>
      <c r="W786" s="1408"/>
      <c r="X786" s="1408"/>
      <c r="Y786" s="1408"/>
      <c r="Z786" s="1408"/>
      <c r="AA786" s="1408"/>
    </row>
    <row r="787" spans="1:27" x14ac:dyDescent="0.25">
      <c r="A787" s="929" t="s">
        <v>1505</v>
      </c>
      <c r="B787" s="897" t="str">
        <f t="shared" ca="1" si="136"/>
        <v>P167</v>
      </c>
      <c r="C787" s="897" t="str">
        <f t="shared" ca="1" si="137"/>
        <v>P168</v>
      </c>
      <c r="D787" s="897" t="s">
        <v>1367</v>
      </c>
      <c r="E787" s="897" t="s">
        <v>1535</v>
      </c>
      <c r="F787" s="1409" t="s">
        <v>1930</v>
      </c>
      <c r="G787" s="1409" t="str">
        <f>IF(T787&lt;&gt;"","F","")</f>
        <v/>
      </c>
      <c r="H787" s="1409" t="s">
        <v>1926</v>
      </c>
      <c r="I787" s="857" t="str">
        <f t="shared" si="132"/>
        <v/>
      </c>
      <c r="J787" s="1409" t="str">
        <f t="shared" si="135"/>
        <v/>
      </c>
      <c r="K787" s="1409" t="str">
        <f t="shared" si="133"/>
        <v/>
      </c>
      <c r="L787" s="897" t="s">
        <v>1505</v>
      </c>
      <c r="M787" s="1410">
        <v>770</v>
      </c>
      <c r="N787" s="1409"/>
      <c r="O787" s="1408"/>
      <c r="P787" s="1408"/>
      <c r="Q787" s="1408"/>
      <c r="R787" s="1409" t="s">
        <v>1550</v>
      </c>
      <c r="S787" s="1408"/>
      <c r="T787" s="1409" t="str">
        <f t="shared" si="134"/>
        <v/>
      </c>
      <c r="U787" s="1408"/>
      <c r="V787" s="1408"/>
      <c r="W787" s="1408"/>
      <c r="X787" s="1408"/>
      <c r="Y787" s="1408"/>
      <c r="Z787" s="1408"/>
      <c r="AA787" s="1408"/>
    </row>
    <row r="788" spans="1:27" x14ac:dyDescent="0.25">
      <c r="A788" s="929" t="s">
        <v>1506</v>
      </c>
      <c r="B788" s="897" t="str">
        <f t="shared" ca="1" si="136"/>
        <v>R167</v>
      </c>
      <c r="C788" s="897" t="str">
        <f t="shared" ca="1" si="137"/>
        <v>R168</v>
      </c>
      <c r="D788" s="897" t="s">
        <v>1367</v>
      </c>
      <c r="E788" s="897" t="s">
        <v>1535</v>
      </c>
      <c r="F788" s="1409" t="s">
        <v>1931</v>
      </c>
      <c r="G788" s="1409" t="str">
        <f>IF(T788&lt;&gt;"","G","")</f>
        <v/>
      </c>
      <c r="H788" s="1409" t="s">
        <v>1926</v>
      </c>
      <c r="I788" s="857" t="str">
        <f t="shared" si="132"/>
        <v/>
      </c>
      <c r="J788" s="1409" t="str">
        <f t="shared" si="135"/>
        <v/>
      </c>
      <c r="K788" s="1409" t="str">
        <f t="shared" si="133"/>
        <v/>
      </c>
      <c r="L788" s="897" t="s">
        <v>1506</v>
      </c>
      <c r="M788" s="1410">
        <v>771</v>
      </c>
      <c r="N788" s="1409"/>
      <c r="O788" s="1408"/>
      <c r="P788" s="1408"/>
      <c r="Q788" s="1408"/>
      <c r="R788" s="1409" t="s">
        <v>1550</v>
      </c>
      <c r="S788" s="1408"/>
      <c r="T788" s="1409" t="str">
        <f t="shared" si="134"/>
        <v/>
      </c>
      <c r="U788" s="1408"/>
      <c r="V788" s="1408"/>
      <c r="W788" s="1408"/>
      <c r="X788" s="1408"/>
      <c r="Y788" s="1408"/>
      <c r="Z788" s="1408"/>
      <c r="AA788" s="1408"/>
    </row>
    <row r="789" spans="1:27" x14ac:dyDescent="0.25">
      <c r="A789" s="929" t="s">
        <v>1507</v>
      </c>
      <c r="B789" s="897" t="str">
        <f t="shared" ca="1" si="136"/>
        <v>T167</v>
      </c>
      <c r="C789" s="897" t="str">
        <f t="shared" ca="1" si="137"/>
        <v>T168</v>
      </c>
      <c r="D789" s="897" t="s">
        <v>1367</v>
      </c>
      <c r="E789" s="897" t="s">
        <v>1535</v>
      </c>
      <c r="F789" s="919" t="s">
        <v>1507</v>
      </c>
      <c r="G789" s="1409" t="str">
        <f>IF(T789&lt;&gt;"","AW","")</f>
        <v/>
      </c>
      <c r="H789" s="1409" t="s">
        <v>1926</v>
      </c>
      <c r="I789" s="857" t="str">
        <f t="shared" si="132"/>
        <v/>
      </c>
      <c r="J789" s="1409" t="str">
        <f t="shared" si="135"/>
        <v/>
      </c>
      <c r="K789" s="1409" t="str">
        <f t="shared" si="133"/>
        <v/>
      </c>
      <c r="L789" s="897" t="s">
        <v>1507</v>
      </c>
      <c r="M789" s="1410">
        <v>772</v>
      </c>
      <c r="N789" s="1409"/>
      <c r="O789" s="1408"/>
      <c r="P789" s="1408"/>
      <c r="Q789" s="1408"/>
      <c r="R789" s="1409" t="s">
        <v>1550</v>
      </c>
      <c r="S789" s="1408"/>
      <c r="T789" s="1409" t="str">
        <f t="shared" si="134"/>
        <v/>
      </c>
      <c r="U789" s="1408"/>
      <c r="V789" s="1408"/>
      <c r="W789" s="1408"/>
      <c r="X789" s="1408"/>
      <c r="Y789" s="1408"/>
      <c r="Z789" s="1408"/>
      <c r="AA789" s="1408"/>
    </row>
    <row r="790" spans="1:27" x14ac:dyDescent="0.25">
      <c r="A790" s="929" t="s">
        <v>1402</v>
      </c>
      <c r="B790" s="897" t="str">
        <f ca="1">IFERROR(_xlfn.CONCAT("C",MATCH(A790,INDIRECT("'"&amp;E790&amp;"'!C"&amp;$O$781&amp;":C"&amp;$O$783),0)+$O$781-1),"")</f>
        <v>C171</v>
      </c>
      <c r="C790" s="897" t="str">
        <f ca="1">IFERROR(_xlfn.CONCAT("D",MATCH(A790,INDIRECT("'"&amp;E790&amp;"'!C"&amp;$O$781&amp;":C"&amp;$O$783),0)+$O$781-1),"")</f>
        <v>D171</v>
      </c>
      <c r="D790" s="897" t="s">
        <v>1367</v>
      </c>
      <c r="E790" s="897" t="s">
        <v>1535</v>
      </c>
      <c r="F790" s="1409" t="s">
        <v>1402</v>
      </c>
      <c r="G790" s="1409" t="str">
        <f>IF(T790&lt;&gt;"","C","")</f>
        <v/>
      </c>
      <c r="H790" s="1409" t="s">
        <v>1926</v>
      </c>
      <c r="I790" s="857" t="str">
        <f t="shared" si="132"/>
        <v/>
      </c>
      <c r="J790" s="1409"/>
      <c r="K790" s="1409" t="str">
        <f t="shared" si="133"/>
        <v/>
      </c>
      <c r="L790" s="897" t="s">
        <v>1402</v>
      </c>
      <c r="M790" s="1410">
        <v>773</v>
      </c>
      <c r="N790" s="1409"/>
      <c r="O790" s="1408"/>
      <c r="P790" s="1408"/>
      <c r="Q790" s="1408"/>
      <c r="R790" s="1409" t="s">
        <v>1550</v>
      </c>
      <c r="S790" s="1408"/>
      <c r="T790" s="1409" t="str">
        <f t="shared" si="134"/>
        <v/>
      </c>
      <c r="U790" s="1408"/>
      <c r="V790" s="1408"/>
      <c r="W790" s="1408"/>
      <c r="X790" s="1408"/>
      <c r="Y790" s="1408"/>
      <c r="Z790" s="1408"/>
      <c r="AA790" s="1408"/>
    </row>
    <row r="791" spans="1:27" x14ac:dyDescent="0.25">
      <c r="A791" s="929" t="s">
        <v>1403</v>
      </c>
      <c r="B791" s="897" t="str">
        <f ca="1">IFERROR(_xlfn.CONCAT("C",MATCH(A791,INDIRECT("'"&amp;E791&amp;"'!C"&amp;$O$781&amp;":C"&amp;$O$783),0)+$O$781-1),"")</f>
        <v>C173</v>
      </c>
      <c r="C791" s="897" t="str">
        <f ca="1">IFERROR(_xlfn.CONCAT("D",MATCH(A791,INDIRECT("'"&amp;E791&amp;"'!C"&amp;$O$781&amp;":C"&amp;$O$783),0)+$O$781-1),"")</f>
        <v>D173</v>
      </c>
      <c r="D791" s="897" t="s">
        <v>1367</v>
      </c>
      <c r="E791" s="897" t="s">
        <v>1535</v>
      </c>
      <c r="F791" s="1409" t="s">
        <v>1403</v>
      </c>
      <c r="G791" s="1409" t="str">
        <f>IF(T791&lt;&gt;"","D","")</f>
        <v/>
      </c>
      <c r="H791" s="1409" t="s">
        <v>1926</v>
      </c>
      <c r="I791" s="857" t="str">
        <f t="shared" si="132"/>
        <v/>
      </c>
      <c r="J791" s="1409"/>
      <c r="K791" s="1409" t="str">
        <f t="shared" si="133"/>
        <v/>
      </c>
      <c r="L791" s="897" t="s">
        <v>1403</v>
      </c>
      <c r="M791" s="1410">
        <v>774</v>
      </c>
      <c r="N791" s="1409"/>
      <c r="O791" s="1408"/>
      <c r="P791" s="1408"/>
      <c r="Q791" s="1408"/>
      <c r="R791" s="1409" t="s">
        <v>1550</v>
      </c>
      <c r="S791" s="1408"/>
      <c r="T791" s="1409" t="str">
        <f t="shared" si="134"/>
        <v/>
      </c>
      <c r="U791" s="1408"/>
      <c r="V791" s="1408"/>
      <c r="W791" s="1408"/>
      <c r="X791" s="1408"/>
      <c r="Y791" s="1408"/>
      <c r="Z791" s="1408"/>
      <c r="AA791" s="1408"/>
    </row>
    <row r="792" spans="1:27" x14ac:dyDescent="0.25">
      <c r="A792" s="929" t="s">
        <v>1514</v>
      </c>
      <c r="B792" s="897" t="str">
        <f ca="1">IFERROR(_xlfn.CONCAT("C",MATCH(A792,INDIRECT("'"&amp;E792&amp;"'!C"&amp;$O$781&amp;":C"&amp;$O$783),0)+$O$781-1),"")</f>
        <v>C175</v>
      </c>
      <c r="C792" s="897" t="str">
        <f ca="1">IFERROR(_xlfn.CONCAT("D",MATCH(A792,INDIRECT("'"&amp;E792&amp;"'!C"&amp;$O$781&amp;":C"&amp;$O$783),0)+$O$781-1),"")</f>
        <v>D175</v>
      </c>
      <c r="D792" s="897" t="s">
        <v>1367</v>
      </c>
      <c r="E792" s="897" t="s">
        <v>1535</v>
      </c>
      <c r="F792" s="1409" t="s">
        <v>1514</v>
      </c>
      <c r="G792" s="1409" t="str">
        <f>IF(T792&lt;&gt;"","AN","")</f>
        <v/>
      </c>
      <c r="H792" s="1409" t="s">
        <v>1926</v>
      </c>
      <c r="I792" s="857" t="str">
        <f t="shared" si="132"/>
        <v/>
      </c>
      <c r="J792" s="1409" t="str">
        <f t="shared" si="135"/>
        <v/>
      </c>
      <c r="K792" s="1409" t="str">
        <f t="shared" si="133"/>
        <v/>
      </c>
      <c r="L792" s="897" t="s">
        <v>1514</v>
      </c>
      <c r="M792" s="1410">
        <v>775</v>
      </c>
      <c r="N792" s="1409"/>
      <c r="O792" s="1408"/>
      <c r="P792" s="1409" t="str" cm="1">
        <f t="array" aca="1" ref="P792" ca="1">_xlfn.CONCAT("F",RIGHT(B792, LEN(B792) - MAX(IF(ISNUMBER(MID(B792, ROW(INDIRECT("1:"&amp;LEN(B792))), 1) *1)=FALSE, ROW(INDIRECT("1:"&amp;LEN(B792))), 0))))</f>
        <v>F175</v>
      </c>
      <c r="Q792" s="1409" t="str" cm="1">
        <f t="array" aca="1" ref="Q792" ca="1">_xlfn.CONCAT("E",RIGHT(C792, LEN(C792) - MAX(IF(ISNUMBER(MID(C792, ROW(INDIRECT("1:"&amp;LEN(C792))), 1) *1)=FALSE, ROW(INDIRECT("1:"&amp;LEN(C792))), 0))))</f>
        <v>E175</v>
      </c>
      <c r="R792" s="1409" t="s">
        <v>1550</v>
      </c>
      <c r="S792" s="1408"/>
      <c r="T792" s="1409" t="str">
        <f t="shared" si="134"/>
        <v/>
      </c>
      <c r="U792" s="1408"/>
      <c r="V792" s="1408"/>
      <c r="W792" s="1408"/>
      <c r="X792" s="1408"/>
      <c r="Y792" s="1408"/>
      <c r="Z792" s="1408"/>
      <c r="AA792" s="1408"/>
    </row>
    <row r="793" spans="1:27" x14ac:dyDescent="0.25">
      <c r="A793" s="929" t="s">
        <v>1511</v>
      </c>
      <c r="B793" s="897" t="str">
        <f ca="1">_xlfn.CONCAT(IFERROR(SUBSTITUTE(ADDRESS(1,MATCH(A793,INDIRECT("'"&amp;E793&amp;"'"&amp;"!A" &amp; $O$781 + 8 &amp; ":Z" &amp; $O$781+ 8),0),4),1,""),""),$O$781 + 8)</f>
        <v>H173</v>
      </c>
      <c r="C793" s="897" t="str">
        <f ca="1">_xlfn.CONCAT(IFERROR(SUBSTITUTE(ADDRESS(1,MATCH(A793,INDIRECT("'"&amp;E793&amp;"'"&amp;"!A" &amp; $O$781 + 8 &amp; ":Z" &amp; $O$781+ 8),0),4),1,""),""),$O$781 + 9)</f>
        <v>H174</v>
      </c>
      <c r="D793" s="897" t="s">
        <v>1367</v>
      </c>
      <c r="E793" s="897" t="s">
        <v>1535</v>
      </c>
      <c r="F793" s="1409" t="s">
        <v>1511</v>
      </c>
      <c r="G793" s="1409" t="str">
        <f>IF(T793&lt;&gt;"","AL","")</f>
        <v/>
      </c>
      <c r="H793" s="1409" t="s">
        <v>1926</v>
      </c>
      <c r="I793" s="857" t="str">
        <f t="shared" si="132"/>
        <v/>
      </c>
      <c r="J793" s="1409" t="str">
        <f t="shared" si="135"/>
        <v/>
      </c>
      <c r="K793" s="1409" t="str">
        <f t="shared" si="133"/>
        <v/>
      </c>
      <c r="L793" s="897" t="s">
        <v>1511</v>
      </c>
      <c r="M793" s="1410">
        <v>776</v>
      </c>
      <c r="N793" s="1409"/>
      <c r="O793" s="1408"/>
      <c r="P793" s="1408"/>
      <c r="Q793" s="1408"/>
      <c r="R793" s="1409" t="s">
        <v>1550</v>
      </c>
      <c r="S793" s="1408"/>
      <c r="T793" s="1409" t="str">
        <f t="shared" si="134"/>
        <v/>
      </c>
      <c r="U793" s="1408"/>
      <c r="V793" s="1408"/>
      <c r="W793" s="1408"/>
      <c r="X793" s="1408"/>
      <c r="Y793" s="1408"/>
      <c r="Z793" s="1408"/>
      <c r="AA793" s="1408"/>
    </row>
    <row r="794" spans="1:27" x14ac:dyDescent="0.25">
      <c r="A794" s="929" t="s">
        <v>1406</v>
      </c>
      <c r="B794" s="897" t="str">
        <f ca="1">_xlfn.CONCAT(IFERROR(SUBSTITUTE(ADDRESS(1,MATCH(A794,INDIRECT("'"&amp;E794&amp;"'"&amp;"!A" &amp; $O$781 + 5 &amp; ":Z" &amp; $O$781+ 5),0),4),1,""),""),$O$781 + 5)</f>
        <v>L170</v>
      </c>
      <c r="C794" s="897" t="str">
        <f ca="1">_xlfn.CONCAT(IFERROR(SUBSTITUTE(ADDRESS(1,MATCH(A794,INDIRECT("'"&amp;E794&amp;"'"&amp;"!A" &amp; $O$781 + 5 &amp; ":Z" &amp; $O$781+ 5),0),4),1,""),""),$O$781 + 6)</f>
        <v>L171</v>
      </c>
      <c r="D794" s="897" t="s">
        <v>1367</v>
      </c>
      <c r="E794" s="897" t="s">
        <v>1535</v>
      </c>
      <c r="F794" s="1409" t="s">
        <v>1896</v>
      </c>
      <c r="G794" s="1409" t="str">
        <f>IF(T794&lt;&gt;"","O","")</f>
        <v/>
      </c>
      <c r="H794" s="1409" t="s">
        <v>1926</v>
      </c>
      <c r="I794" s="857" t="str">
        <f t="shared" si="132"/>
        <v/>
      </c>
      <c r="J794" s="1409"/>
      <c r="K794" s="1409" t="str">
        <f t="shared" si="133"/>
        <v/>
      </c>
      <c r="L794" s="897" t="s">
        <v>1406</v>
      </c>
      <c r="M794" s="1410">
        <v>777</v>
      </c>
      <c r="N794" s="1409"/>
      <c r="O794" s="1408"/>
      <c r="P794" s="1408"/>
      <c r="Q794" s="1408"/>
      <c r="R794" s="1409" t="s">
        <v>1550</v>
      </c>
      <c r="S794" s="1408"/>
      <c r="T794" s="1409" t="str">
        <f>IF(Q$781="Yes",12,"")</f>
        <v/>
      </c>
      <c r="U794" s="1408"/>
      <c r="V794" s="1408"/>
      <c r="W794" s="1408"/>
      <c r="X794" s="1408"/>
      <c r="Y794" s="1408"/>
      <c r="Z794" s="1408"/>
      <c r="AA794" s="1408"/>
    </row>
    <row r="795" spans="1:27" x14ac:dyDescent="0.25">
      <c r="A795" s="926" t="s">
        <v>1510</v>
      </c>
      <c r="B795" s="897" t="str">
        <f ca="1">IFERROR(_xlfn.CONCAT("C",MATCH(A795,INDIRECT("'"&amp;E795&amp;"'!C"&amp;$O$796&amp;":C"&amp;$O$798),0)+$O$796-1),"")</f>
        <v>C183</v>
      </c>
      <c r="C795" s="897" t="str">
        <f ca="1">IFERROR(_xlfn.CONCAT("D",MATCH(A795,INDIRECT("'"&amp;E795&amp;"'!C"&amp;$O$796&amp;":C"&amp;$O$798),0)+$O$796-1),"")</f>
        <v>D183</v>
      </c>
      <c r="D795" s="897" t="s">
        <v>1367</v>
      </c>
      <c r="E795" s="897" t="s">
        <v>1535</v>
      </c>
      <c r="F795" s="1409" t="s">
        <v>1510</v>
      </c>
      <c r="G795" s="1409" t="str">
        <f>IF(T795&lt;&gt;"","A","")</f>
        <v/>
      </c>
      <c r="H795" s="1409" t="s">
        <v>1926</v>
      </c>
      <c r="I795" s="857" t="str">
        <f t="shared" si="132"/>
        <v/>
      </c>
      <c r="J795" s="1409"/>
      <c r="K795" s="1409" t="str">
        <f t="shared" si="133"/>
        <v/>
      </c>
      <c r="L795" s="897" t="s">
        <v>1510</v>
      </c>
      <c r="M795" s="1410">
        <v>778</v>
      </c>
      <c r="N795" s="1409"/>
      <c r="O795" s="1408" t="s">
        <v>726</v>
      </c>
      <c r="P795" s="1408"/>
      <c r="Q795" s="1408"/>
      <c r="R795" s="1409" t="s">
        <v>1550</v>
      </c>
      <c r="S795" s="1408"/>
      <c r="T795" s="1409" t="str">
        <f t="shared" ref="T795:T812" si="138">IF(Q$796="Yes",13,"")</f>
        <v/>
      </c>
      <c r="U795" s="1408"/>
      <c r="V795" s="1408"/>
      <c r="W795" s="1408"/>
      <c r="X795" s="1408"/>
      <c r="Y795" s="1408"/>
      <c r="Z795" s="1408"/>
      <c r="AA795" s="1408"/>
    </row>
    <row r="796" spans="1:27" x14ac:dyDescent="0.25">
      <c r="A796" s="926" t="s">
        <v>1724</v>
      </c>
      <c r="B796" s="897" t="str">
        <f ca="1">_xlfn.CONCAT(IFERROR(SUBSTITUTE(ADDRESS(1,MATCH(A796,INDIRECT("'"&amp;E796&amp;"'"&amp;"!A" &amp; $O$796 + 11 &amp; ":Z" &amp; $O$796+ 11),0),4),1,""),""),$O$796 + 11)</f>
        <v>T190</v>
      </c>
      <c r="C796" s="897" t="str">
        <f ca="1">_xlfn.CONCAT(IFERROR(SUBSTITUTE(ADDRESS(1,MATCH(A796,INDIRECT("'"&amp;E796&amp;"'"&amp;"!A" &amp; $O$796 + 11 &amp; ":Z" &amp; $O$796+ 11),0),4),1,""),""),$O$796 + 12)</f>
        <v>T191</v>
      </c>
      <c r="D796" s="897" t="s">
        <v>1367</v>
      </c>
      <c r="E796" s="897" t="s">
        <v>1535</v>
      </c>
      <c r="F796" s="1409"/>
      <c r="G796" s="1409"/>
      <c r="H796" s="1409"/>
      <c r="I796" s="857" t="str">
        <f t="shared" si="132"/>
        <v/>
      </c>
      <c r="J796" s="1409" t="str">
        <f t="shared" ref="J796:J810" si="139">IF(M796&lt;&gt;"",IF($Q$796="Yes",Q$1&amp;M796,""))</f>
        <v/>
      </c>
      <c r="K796" s="1409" t="str">
        <f t="shared" si="133"/>
        <v/>
      </c>
      <c r="L796" s="897" t="s">
        <v>1724</v>
      </c>
      <c r="M796" s="1410">
        <v>779</v>
      </c>
      <c r="N796" s="1409"/>
      <c r="O796" s="1408">
        <f>'Configurable Tab'!H15</f>
        <v>179</v>
      </c>
      <c r="P796" s="1408">
        <f>'Configurable Tab'!J15</f>
        <v>0</v>
      </c>
      <c r="Q796" s="1408" t="s">
        <v>649</v>
      </c>
      <c r="R796" s="1409" t="s">
        <v>1550</v>
      </c>
      <c r="S796" s="1408"/>
      <c r="T796" s="1409" t="str">
        <f t="shared" si="138"/>
        <v/>
      </c>
      <c r="U796" s="1408"/>
      <c r="V796" s="1408"/>
      <c r="W796" s="1408"/>
      <c r="X796" s="1408"/>
      <c r="Y796" s="1408"/>
      <c r="Z796" s="1408"/>
      <c r="AA796" s="1408"/>
    </row>
    <row r="797" spans="1:27" x14ac:dyDescent="0.25">
      <c r="A797" s="926" t="s">
        <v>1400</v>
      </c>
      <c r="B797" s="897" t="str">
        <f t="shared" ref="B797" ca="1" si="140">IFERROR(_xlfn.CONCAT("C",MATCH(A797,INDIRECT("'"&amp;E797&amp;"'!C"&amp;$O$796&amp;":C"&amp;$O$798),0)+$O$796-1),"")</f>
        <v>C181</v>
      </c>
      <c r="C797" s="897" t="str">
        <f t="shared" ref="C797" ca="1" si="141">IFERROR(_xlfn.CONCAT("D",MATCH(A797,INDIRECT("'"&amp;E797&amp;"'!C"&amp;$O$796&amp;":C"&amp;$O$798),0)+$O$796-1),"")</f>
        <v>D181</v>
      </c>
      <c r="D797" s="897" t="s">
        <v>1367</v>
      </c>
      <c r="E797" s="897" t="s">
        <v>1535</v>
      </c>
      <c r="F797" s="1409" t="s">
        <v>1400</v>
      </c>
      <c r="G797" s="1409" t="str">
        <f>IF(T797&lt;&gt;"","B","")</f>
        <v/>
      </c>
      <c r="H797" s="1409" t="s">
        <v>1926</v>
      </c>
      <c r="I797" s="857" t="str">
        <f t="shared" si="132"/>
        <v/>
      </c>
      <c r="J797" s="1409"/>
      <c r="K797" s="1409" t="str">
        <f t="shared" si="133"/>
        <v/>
      </c>
      <c r="L797" s="897" t="s">
        <v>1400</v>
      </c>
      <c r="M797" s="1410">
        <v>780</v>
      </c>
      <c r="N797" s="1409"/>
      <c r="O797" s="1408" t="s">
        <v>727</v>
      </c>
      <c r="P797" s="1408"/>
      <c r="Q797" s="1408"/>
      <c r="R797" s="1409" t="s">
        <v>1550</v>
      </c>
      <c r="S797" s="1408"/>
      <c r="T797" s="1409" t="str">
        <f t="shared" si="138"/>
        <v/>
      </c>
      <c r="U797" s="1408"/>
      <c r="V797" s="1408"/>
      <c r="W797" s="1408"/>
      <c r="X797" s="1408"/>
      <c r="Y797" s="1408"/>
      <c r="Z797" s="1408"/>
      <c r="AA797" s="1408"/>
    </row>
    <row r="798" spans="1:27" x14ac:dyDescent="0.25">
      <c r="A798" s="926" t="s">
        <v>1397</v>
      </c>
      <c r="B798" s="897" t="str">
        <f t="shared" ref="B798:B804" ca="1" si="142">_xlfn.CONCAT(IFERROR(SUBSTITUTE(ADDRESS(1,MATCH(A798,INDIRECT("'"&amp;E798&amp;"'"&amp;"!A" &amp; $O$796 + 2 &amp; ":Z" &amp; $O$796+ 2),0),4),1,""),""),$O$796 + 2)</f>
        <v>H181</v>
      </c>
      <c r="C798" s="897" t="str">
        <f t="shared" ref="C798:C804" ca="1" si="143">_xlfn.CONCAT(IFERROR(SUBSTITUTE(ADDRESS(1,MATCH(A798,INDIRECT("'"&amp;E798&amp;"'"&amp;"!A" &amp; $O$796 + 2 &amp; ":Z" &amp; $O$796+ 2),0),4),1,""),""),$O$796 + 3)</f>
        <v>H182</v>
      </c>
      <c r="D798" s="897" t="s">
        <v>1367</v>
      </c>
      <c r="E798" s="897" t="s">
        <v>1535</v>
      </c>
      <c r="F798" s="1409" t="s">
        <v>1927</v>
      </c>
      <c r="G798" s="1409" t="str">
        <f>IF(T798&lt;&gt;"","E","")</f>
        <v/>
      </c>
      <c r="H798" s="1409" t="s">
        <v>1926</v>
      </c>
      <c r="I798" s="857" t="str">
        <f t="shared" si="132"/>
        <v/>
      </c>
      <c r="J798" s="1409" t="str">
        <f t="shared" si="139"/>
        <v/>
      </c>
      <c r="K798" s="1409" t="str">
        <f t="shared" si="133"/>
        <v/>
      </c>
      <c r="L798" s="897" t="s">
        <v>1397</v>
      </c>
      <c r="M798" s="1410">
        <v>781</v>
      </c>
      <c r="N798" s="1409"/>
      <c r="O798" s="1408">
        <f>'Configurable Tab'!I15</f>
        <v>192</v>
      </c>
      <c r="P798" s="1408"/>
      <c r="Q798" s="1408"/>
      <c r="R798" s="1409" t="s">
        <v>1550</v>
      </c>
      <c r="S798" s="1408"/>
      <c r="T798" s="1409" t="str">
        <f t="shared" si="138"/>
        <v/>
      </c>
      <c r="U798" s="1408"/>
      <c r="V798" s="1408"/>
      <c r="W798" s="1408"/>
      <c r="X798" s="1408"/>
      <c r="Y798" s="1408"/>
      <c r="Z798" s="1408"/>
      <c r="AA798" s="1408"/>
    </row>
    <row r="799" spans="1:27" x14ac:dyDescent="0.25">
      <c r="A799" s="926" t="s">
        <v>1398</v>
      </c>
      <c r="B799" s="897" t="str">
        <f t="shared" ca="1" si="142"/>
        <v>J181</v>
      </c>
      <c r="C799" s="897" t="str">
        <f t="shared" ca="1" si="143"/>
        <v>J182</v>
      </c>
      <c r="D799" s="897" t="s">
        <v>1367</v>
      </c>
      <c r="E799" s="897" t="s">
        <v>1535</v>
      </c>
      <c r="F799" s="1409" t="s">
        <v>1928</v>
      </c>
      <c r="G799" s="1409" t="str">
        <f>IF(T799&lt;&gt;"","I","")</f>
        <v/>
      </c>
      <c r="H799" s="1409" t="s">
        <v>1926</v>
      </c>
      <c r="I799" s="857" t="str">
        <f t="shared" si="132"/>
        <v/>
      </c>
      <c r="J799" s="1409" t="str">
        <f t="shared" si="139"/>
        <v/>
      </c>
      <c r="K799" s="1409" t="str">
        <f t="shared" si="133"/>
        <v/>
      </c>
      <c r="L799" s="897" t="s">
        <v>1398</v>
      </c>
      <c r="M799" s="1410">
        <v>782</v>
      </c>
      <c r="N799" s="1409"/>
      <c r="O799" s="1408" t="s">
        <v>1663</v>
      </c>
      <c r="P799" s="1408"/>
      <c r="Q799" s="1408" t="s">
        <v>482</v>
      </c>
      <c r="R799" s="1409" t="s">
        <v>1550</v>
      </c>
      <c r="S799" s="1408"/>
      <c r="T799" s="1409" t="str">
        <f t="shared" si="138"/>
        <v/>
      </c>
      <c r="U799" s="1408"/>
      <c r="V799" s="1408"/>
      <c r="W799" s="1408"/>
      <c r="X799" s="1408"/>
      <c r="Y799" s="1408"/>
      <c r="Z799" s="1408"/>
      <c r="AA799" s="1408"/>
    </row>
    <row r="800" spans="1:27" x14ac:dyDescent="0.25">
      <c r="A800" s="926" t="s">
        <v>1414</v>
      </c>
      <c r="B800" s="897" t="str">
        <f t="shared" ca="1" si="142"/>
        <v>L181</v>
      </c>
      <c r="C800" s="897" t="str">
        <f t="shared" ca="1" si="143"/>
        <v>L182</v>
      </c>
      <c r="D800" s="897" t="s">
        <v>1367</v>
      </c>
      <c r="E800" s="897" t="s">
        <v>1535</v>
      </c>
      <c r="F800" s="1409" t="s">
        <v>1929</v>
      </c>
      <c r="G800" s="1409" t="str">
        <f>IF(T800&lt;&gt;"","H","")</f>
        <v/>
      </c>
      <c r="H800" s="1409" t="s">
        <v>1926</v>
      </c>
      <c r="I800" s="857" t="str">
        <f t="shared" si="132"/>
        <v/>
      </c>
      <c r="J800" s="1409" t="str">
        <f t="shared" si="139"/>
        <v/>
      </c>
      <c r="K800" s="1409" t="str">
        <f t="shared" si="133"/>
        <v/>
      </c>
      <c r="L800" s="897" t="s">
        <v>1414</v>
      </c>
      <c r="M800" s="1410">
        <v>783</v>
      </c>
      <c r="N800" s="1409"/>
      <c r="O800" s="1408"/>
      <c r="P800" s="1408"/>
      <c r="Q800" s="1408"/>
      <c r="R800" s="1409" t="s">
        <v>1550</v>
      </c>
      <c r="S800" s="1408"/>
      <c r="T800" s="1409" t="str">
        <f t="shared" si="138"/>
        <v/>
      </c>
      <c r="U800" s="1408"/>
      <c r="V800" s="1408"/>
      <c r="W800" s="1408"/>
      <c r="X800" s="1408"/>
      <c r="Y800" s="1408"/>
      <c r="Z800" s="1408"/>
      <c r="AA800" s="1408"/>
    </row>
    <row r="801" spans="1:27" x14ac:dyDescent="0.25">
      <c r="A801" s="926" t="s">
        <v>1399</v>
      </c>
      <c r="B801" s="897" t="str">
        <f t="shared" ca="1" si="142"/>
        <v>N181</v>
      </c>
      <c r="C801" s="897" t="str">
        <f t="shared" ca="1" si="143"/>
        <v>N182</v>
      </c>
      <c r="D801" s="897" t="s">
        <v>1367</v>
      </c>
      <c r="E801" s="897" t="s">
        <v>1535</v>
      </c>
      <c r="F801" s="1409" t="s">
        <v>1399</v>
      </c>
      <c r="G801" s="1409" t="str">
        <f>IF(T801&lt;&gt;"",IF(Q799="Credit Memo","J",IF(Q799="Check","K","")),"")</f>
        <v/>
      </c>
      <c r="H801" s="1409" t="s">
        <v>1926</v>
      </c>
      <c r="I801" s="857" t="str">
        <f t="shared" si="132"/>
        <v/>
      </c>
      <c r="J801" s="1409" t="str">
        <f t="shared" si="139"/>
        <v/>
      </c>
      <c r="K801" s="1409" t="str">
        <f t="shared" si="133"/>
        <v/>
      </c>
      <c r="L801" s="897" t="s">
        <v>1399</v>
      </c>
      <c r="M801" s="1410">
        <v>784</v>
      </c>
      <c r="N801" s="1409"/>
      <c r="O801" s="1408"/>
      <c r="P801" s="1408"/>
      <c r="Q801" s="1408"/>
      <c r="R801" s="1409" t="s">
        <v>1550</v>
      </c>
      <c r="S801" s="1408"/>
      <c r="T801" s="1409" t="str">
        <f t="shared" si="138"/>
        <v/>
      </c>
      <c r="U801" s="1408"/>
      <c r="V801" s="1408"/>
      <c r="W801" s="1408"/>
      <c r="X801" s="1408"/>
      <c r="Y801" s="1408"/>
      <c r="Z801" s="1408"/>
      <c r="AA801" s="1408"/>
    </row>
    <row r="802" spans="1:27" x14ac:dyDescent="0.25">
      <c r="A802" s="926" t="s">
        <v>1505</v>
      </c>
      <c r="B802" s="897" t="str">
        <f t="shared" ca="1" si="142"/>
        <v>P181</v>
      </c>
      <c r="C802" s="897" t="str">
        <f t="shared" ca="1" si="143"/>
        <v>P182</v>
      </c>
      <c r="D802" s="897" t="s">
        <v>1367</v>
      </c>
      <c r="E802" s="897" t="s">
        <v>1535</v>
      </c>
      <c r="F802" s="1409" t="s">
        <v>1930</v>
      </c>
      <c r="G802" s="1409" t="str">
        <f>IF(T802&lt;&gt;"","F","")</f>
        <v/>
      </c>
      <c r="H802" s="1409" t="s">
        <v>1926</v>
      </c>
      <c r="I802" s="857" t="str">
        <f t="shared" si="132"/>
        <v/>
      </c>
      <c r="J802" s="1409" t="str">
        <f t="shared" si="139"/>
        <v/>
      </c>
      <c r="K802" s="1409" t="str">
        <f t="shared" si="133"/>
        <v/>
      </c>
      <c r="L802" s="897" t="s">
        <v>1505</v>
      </c>
      <c r="M802" s="1410">
        <v>785</v>
      </c>
      <c r="N802" s="1409"/>
      <c r="O802" s="1408"/>
      <c r="P802" s="1408"/>
      <c r="Q802" s="1408"/>
      <c r="R802" s="1409" t="s">
        <v>1550</v>
      </c>
      <c r="S802" s="1408"/>
      <c r="T802" s="1409" t="str">
        <f t="shared" si="138"/>
        <v/>
      </c>
      <c r="U802" s="1408"/>
      <c r="V802" s="1408"/>
      <c r="W802" s="1408"/>
      <c r="X802" s="1408"/>
      <c r="Y802" s="1408"/>
      <c r="Z802" s="1408"/>
      <c r="AA802" s="1408"/>
    </row>
    <row r="803" spans="1:27" x14ac:dyDescent="0.25">
      <c r="A803" s="926" t="s">
        <v>1506</v>
      </c>
      <c r="B803" s="897" t="str">
        <f t="shared" ca="1" si="142"/>
        <v>R181</v>
      </c>
      <c r="C803" s="897" t="str">
        <f t="shared" ca="1" si="143"/>
        <v>R182</v>
      </c>
      <c r="D803" s="897" t="s">
        <v>1367</v>
      </c>
      <c r="E803" s="897" t="s">
        <v>1535</v>
      </c>
      <c r="F803" s="1409" t="s">
        <v>1931</v>
      </c>
      <c r="G803" s="1409" t="str">
        <f>IF(T803&lt;&gt;"","G","")</f>
        <v/>
      </c>
      <c r="H803" s="1409" t="s">
        <v>1926</v>
      </c>
      <c r="I803" s="857" t="str">
        <f t="shared" si="132"/>
        <v/>
      </c>
      <c r="J803" s="1409" t="str">
        <f t="shared" si="139"/>
        <v/>
      </c>
      <c r="K803" s="1409" t="str">
        <f t="shared" si="133"/>
        <v/>
      </c>
      <c r="L803" s="897" t="s">
        <v>1506</v>
      </c>
      <c r="M803" s="1410">
        <v>786</v>
      </c>
      <c r="N803" s="1409"/>
      <c r="O803" s="1408"/>
      <c r="P803" s="1408"/>
      <c r="Q803" s="1408"/>
      <c r="R803" s="1409" t="s">
        <v>1550</v>
      </c>
      <c r="S803" s="1408"/>
      <c r="T803" s="1409" t="str">
        <f t="shared" si="138"/>
        <v/>
      </c>
      <c r="U803" s="1408"/>
      <c r="V803" s="1408"/>
      <c r="W803" s="1408"/>
      <c r="X803" s="1408"/>
      <c r="Y803" s="1408"/>
      <c r="Z803" s="1408"/>
      <c r="AA803" s="1408"/>
    </row>
    <row r="804" spans="1:27" x14ac:dyDescent="0.25">
      <c r="A804" s="926" t="s">
        <v>1507</v>
      </c>
      <c r="B804" s="897" t="str">
        <f t="shared" ca="1" si="142"/>
        <v>T181</v>
      </c>
      <c r="C804" s="897" t="str">
        <f t="shared" ca="1" si="143"/>
        <v>T182</v>
      </c>
      <c r="D804" s="897" t="s">
        <v>1367</v>
      </c>
      <c r="E804" s="897" t="s">
        <v>1535</v>
      </c>
      <c r="F804" s="919" t="s">
        <v>1507</v>
      </c>
      <c r="G804" s="1409" t="str">
        <f>IF(T804&lt;&gt;"","AW","")</f>
        <v/>
      </c>
      <c r="H804" s="1409" t="s">
        <v>1926</v>
      </c>
      <c r="I804" s="857" t="str">
        <f t="shared" si="132"/>
        <v/>
      </c>
      <c r="J804" s="1409" t="str">
        <f t="shared" si="139"/>
        <v/>
      </c>
      <c r="K804" s="1409" t="str">
        <f t="shared" si="133"/>
        <v/>
      </c>
      <c r="L804" s="897" t="s">
        <v>1507</v>
      </c>
      <c r="M804" s="1410">
        <v>787</v>
      </c>
      <c r="N804" s="1409"/>
      <c r="O804" s="1408"/>
      <c r="P804" s="1408"/>
      <c r="Q804" s="1408"/>
      <c r="R804" s="1409" t="s">
        <v>1550</v>
      </c>
      <c r="S804" s="1408"/>
      <c r="T804" s="1409" t="str">
        <f t="shared" si="138"/>
        <v/>
      </c>
      <c r="U804" s="1408"/>
      <c r="V804" s="1408"/>
      <c r="W804" s="1408"/>
      <c r="X804" s="1408"/>
      <c r="Y804" s="1408"/>
      <c r="Z804" s="1408"/>
      <c r="AA804" s="1408"/>
    </row>
    <row r="805" spans="1:27" x14ac:dyDescent="0.25">
      <c r="A805" s="926" t="s">
        <v>1402</v>
      </c>
      <c r="B805" s="897" t="str">
        <f ca="1">IFERROR(_xlfn.CONCAT("C",MATCH(A805,INDIRECT("'"&amp;E805&amp;"'!C"&amp;$O$796&amp;":C"&amp;$O$798),0)+$O$796-1),"")</f>
        <v>C185</v>
      </c>
      <c r="C805" s="897" t="str">
        <f ca="1">IFERROR(_xlfn.CONCAT("D",MATCH(A805,INDIRECT("'"&amp;E805&amp;"'!C"&amp;$O$796&amp;":C"&amp;$O$798),0)+$O$796-1),"")</f>
        <v>D185</v>
      </c>
      <c r="D805" s="897" t="s">
        <v>1367</v>
      </c>
      <c r="E805" s="897" t="s">
        <v>1535</v>
      </c>
      <c r="F805" s="1409" t="s">
        <v>1402</v>
      </c>
      <c r="G805" s="1409" t="str">
        <f>IF(T805&lt;&gt;"","C","")</f>
        <v/>
      </c>
      <c r="H805" s="1409" t="s">
        <v>1926</v>
      </c>
      <c r="I805" s="857" t="str">
        <f t="shared" si="132"/>
        <v/>
      </c>
      <c r="J805" s="1409"/>
      <c r="K805" s="1409" t="str">
        <f t="shared" si="133"/>
        <v/>
      </c>
      <c r="L805" s="897" t="s">
        <v>1402</v>
      </c>
      <c r="M805" s="1410">
        <v>788</v>
      </c>
      <c r="N805" s="1409"/>
      <c r="O805" s="1408"/>
      <c r="P805" s="1408"/>
      <c r="Q805" s="1408"/>
      <c r="R805" s="1409" t="s">
        <v>1550</v>
      </c>
      <c r="S805" s="1408"/>
      <c r="T805" s="1409" t="str">
        <f t="shared" si="138"/>
        <v/>
      </c>
      <c r="U805" s="1408"/>
      <c r="V805" s="1408"/>
      <c r="W805" s="1408"/>
      <c r="X805" s="1408"/>
      <c r="Y805" s="1408"/>
      <c r="Z805" s="1408"/>
      <c r="AA805" s="1408"/>
    </row>
    <row r="806" spans="1:27" x14ac:dyDescent="0.25">
      <c r="A806" s="926" t="s">
        <v>1403</v>
      </c>
      <c r="B806" s="897" t="str">
        <f t="shared" ref="B806:B807" ca="1" si="144">IFERROR(_xlfn.CONCAT("C",MATCH(A806,INDIRECT("'"&amp;E806&amp;"'!C"&amp;$O$796&amp;":C"&amp;$O$798),0)+$O$796-1),"")</f>
        <v>C187</v>
      </c>
      <c r="C806" s="897" t="str">
        <f t="shared" ref="C806:C807" ca="1" si="145">IFERROR(_xlfn.CONCAT("D",MATCH(A806,INDIRECT("'"&amp;E806&amp;"'!C"&amp;$O$796&amp;":C"&amp;$O$798),0)+$O$796-1),"")</f>
        <v>D187</v>
      </c>
      <c r="D806" s="897" t="s">
        <v>1367</v>
      </c>
      <c r="E806" s="897" t="s">
        <v>1535</v>
      </c>
      <c r="F806" s="1409" t="s">
        <v>1403</v>
      </c>
      <c r="G806" s="1409" t="str">
        <f>IF(T806&lt;&gt;"","D","")</f>
        <v/>
      </c>
      <c r="H806" s="1409" t="s">
        <v>1926</v>
      </c>
      <c r="I806" s="857" t="str">
        <f t="shared" si="132"/>
        <v/>
      </c>
      <c r="J806" s="1409"/>
      <c r="K806" s="1409" t="str">
        <f t="shared" si="133"/>
        <v/>
      </c>
      <c r="L806" s="897" t="s">
        <v>1403</v>
      </c>
      <c r="M806" s="1410">
        <v>789</v>
      </c>
      <c r="N806" s="1409"/>
      <c r="O806" s="1408"/>
      <c r="P806" s="1408"/>
      <c r="Q806" s="1408"/>
      <c r="R806" s="1409" t="s">
        <v>1550</v>
      </c>
      <c r="S806" s="1408"/>
      <c r="T806" s="1409" t="str">
        <f t="shared" si="138"/>
        <v/>
      </c>
      <c r="U806" s="1408"/>
      <c r="V806" s="1408"/>
      <c r="W806" s="1408"/>
      <c r="X806" s="1408"/>
      <c r="Y806" s="1408"/>
      <c r="Z806" s="1408"/>
      <c r="AA806" s="1408"/>
    </row>
    <row r="807" spans="1:27" x14ac:dyDescent="0.25">
      <c r="A807" s="926" t="s">
        <v>1514</v>
      </c>
      <c r="B807" s="897" t="str">
        <f t="shared" ca="1" si="144"/>
        <v>C189</v>
      </c>
      <c r="C807" s="897" t="str">
        <f t="shared" ca="1" si="145"/>
        <v>D189</v>
      </c>
      <c r="D807" s="897" t="s">
        <v>1367</v>
      </c>
      <c r="E807" s="897" t="s">
        <v>1535</v>
      </c>
      <c r="F807" s="1409" t="s">
        <v>1514</v>
      </c>
      <c r="G807" s="1409" t="str">
        <f>IF(T807&lt;&gt;"","AN","")</f>
        <v/>
      </c>
      <c r="H807" s="1409" t="s">
        <v>1926</v>
      </c>
      <c r="I807" s="857" t="str">
        <f t="shared" si="132"/>
        <v/>
      </c>
      <c r="J807" s="1409" t="str">
        <f t="shared" si="139"/>
        <v/>
      </c>
      <c r="K807" s="1409" t="str">
        <f t="shared" si="133"/>
        <v/>
      </c>
      <c r="L807" s="897" t="s">
        <v>1514</v>
      </c>
      <c r="M807" s="1410">
        <v>790</v>
      </c>
      <c r="N807" s="1409"/>
      <c r="O807" s="1408"/>
      <c r="P807" s="1409" t="str" cm="1">
        <f t="array" aca="1" ref="P807" ca="1">_xlfn.CONCAT("F",RIGHT(B807, LEN(B807) - MAX(IF(ISNUMBER(MID(B807, ROW(INDIRECT("1:"&amp;LEN(B807))), 1) *1)=FALSE, ROW(INDIRECT("1:"&amp;LEN(B807))), 0))))</f>
        <v>F189</v>
      </c>
      <c r="Q807" s="1409" t="str" cm="1">
        <f t="array" aca="1" ref="Q807" ca="1">_xlfn.CONCAT("E",RIGHT(C807, LEN(C807) - MAX(IF(ISNUMBER(MID(C807, ROW(INDIRECT("1:"&amp;LEN(C807))), 1) *1)=FALSE, ROW(INDIRECT("1:"&amp;LEN(C807))), 0))))</f>
        <v>E189</v>
      </c>
      <c r="R807" s="1409" t="s">
        <v>1550</v>
      </c>
      <c r="S807" s="1408"/>
      <c r="T807" s="1409" t="str">
        <f t="shared" si="138"/>
        <v/>
      </c>
      <c r="U807" s="1408"/>
      <c r="V807" s="1408"/>
      <c r="W807" s="1408"/>
      <c r="X807" s="1408"/>
      <c r="Y807" s="1408"/>
      <c r="Z807" s="1408"/>
      <c r="AA807" s="1408"/>
    </row>
    <row r="808" spans="1:27" x14ac:dyDescent="0.25">
      <c r="A808" s="926" t="s">
        <v>1511</v>
      </c>
      <c r="B808" s="897" t="str">
        <f ca="1">_xlfn.CONCAT(IFERROR(SUBSTITUTE(ADDRESS(1,MATCH(A808,INDIRECT("'"&amp;E808&amp;"'"&amp;"!A" &amp; $O$796 + 8 &amp; ":Z" &amp; $O$796+ 8),0),4),1,""),""),$O$796 + 8)</f>
        <v>H187</v>
      </c>
      <c r="C808" s="897" t="str">
        <f ca="1">_xlfn.CONCAT(IFERROR(SUBSTITUTE(ADDRESS(1,MATCH(A808,INDIRECT("'"&amp;E808&amp;"'"&amp;"!A" &amp; $O$796 + 8 &amp; ":Z" &amp; $O$796+ 8),0),4),1,""),""),$O$796 + 9)</f>
        <v>H188</v>
      </c>
      <c r="D808" s="897" t="s">
        <v>1367</v>
      </c>
      <c r="E808" s="897" t="s">
        <v>1535</v>
      </c>
      <c r="F808" s="1409" t="s">
        <v>1511</v>
      </c>
      <c r="G808" s="1409" t="str">
        <f>IF(T808&lt;&gt;"","AL","")</f>
        <v/>
      </c>
      <c r="H808" s="1409" t="s">
        <v>1926</v>
      </c>
      <c r="I808" s="857" t="str">
        <f t="shared" si="132"/>
        <v/>
      </c>
      <c r="J808" s="1409" t="str">
        <f t="shared" si="139"/>
        <v/>
      </c>
      <c r="K808" s="1409" t="str">
        <f t="shared" si="133"/>
        <v/>
      </c>
      <c r="L808" s="897" t="s">
        <v>1511</v>
      </c>
      <c r="M808" s="1410">
        <v>791</v>
      </c>
      <c r="N808" s="1409"/>
      <c r="O808" s="1408"/>
      <c r="P808" s="1408"/>
      <c r="Q808" s="1408"/>
      <c r="R808" s="1409" t="s">
        <v>1550</v>
      </c>
      <c r="S808" s="1408"/>
      <c r="T808" s="1409" t="str">
        <f t="shared" si="138"/>
        <v/>
      </c>
      <c r="U808" s="1408"/>
      <c r="V808" s="1408"/>
      <c r="W808" s="1408"/>
      <c r="X808" s="1408"/>
      <c r="Y808" s="1408"/>
      <c r="Z808" s="1408"/>
      <c r="AA808" s="1408"/>
    </row>
    <row r="809" spans="1:27" x14ac:dyDescent="0.25">
      <c r="A809" s="926" t="s">
        <v>1525</v>
      </c>
      <c r="B809" s="897" t="str">
        <f ca="1">_xlfn.CONCAT(IFERROR(SUBSTITUTE(ADDRESS(1,MATCH(A809,INDIRECT("'"&amp;E809&amp;"'"&amp;"!A" &amp; $O$796 + 8 &amp; ":Z" &amp; $O$796+ 8),0),4),1,""),""),$O$796 + 8)</f>
        <v>J187</v>
      </c>
      <c r="C809" s="897" t="str">
        <f ca="1">_xlfn.CONCAT(IFERROR(SUBSTITUTE(ADDRESS(1,MATCH(A809,INDIRECT("'"&amp;E809&amp;"'"&amp;"!A" &amp; $O$796 + 8 &amp; ":Z" &amp; $O$796+ 8),0),4),1,""),""),$O$796 + 9)</f>
        <v>J188</v>
      </c>
      <c r="D809" s="897" t="s">
        <v>1367</v>
      </c>
      <c r="E809" s="897" t="s">
        <v>1535</v>
      </c>
      <c r="F809" s="1409" t="s">
        <v>1932</v>
      </c>
      <c r="G809" s="1409" t="str">
        <f>IF(T809&lt;&gt;"","L","")</f>
        <v/>
      </c>
      <c r="H809" s="1409" t="s">
        <v>1926</v>
      </c>
      <c r="I809" s="857" t="str">
        <f t="shared" si="132"/>
        <v/>
      </c>
      <c r="J809" s="1409" t="str">
        <f t="shared" si="139"/>
        <v/>
      </c>
      <c r="K809" s="1409" t="str">
        <f t="shared" si="133"/>
        <v/>
      </c>
      <c r="L809" s="897" t="s">
        <v>1525</v>
      </c>
      <c r="M809" s="1410">
        <v>792</v>
      </c>
      <c r="N809" s="1409"/>
      <c r="O809" s="1408"/>
      <c r="P809" s="1408"/>
      <c r="Q809" s="1408"/>
      <c r="R809" s="1409" t="s">
        <v>1550</v>
      </c>
      <c r="S809" s="1408"/>
      <c r="T809" s="1409" t="str">
        <f t="shared" si="138"/>
        <v/>
      </c>
      <c r="U809" s="1408"/>
      <c r="V809" s="1408"/>
      <c r="W809" s="1408"/>
      <c r="X809" s="1408"/>
      <c r="Y809" s="1408"/>
      <c r="Z809" s="1408"/>
      <c r="AA809" s="1408"/>
    </row>
    <row r="810" spans="1:27" x14ac:dyDescent="0.25">
      <c r="A810" s="926" t="s">
        <v>1404</v>
      </c>
      <c r="B810" s="897" t="str">
        <f ca="1">_xlfn.CONCAT(IFERROR(SUBSTITUTE(ADDRESS(1,MATCH(A810,INDIRECT("'"&amp;E810&amp;"'"&amp;"!A" &amp; $O$796 + 5 &amp; ":Z" &amp; $O$796+ 5),0),4),1,""),""),$O$796 + 5)</f>
        <v>H184</v>
      </c>
      <c r="C810" s="897" t="str">
        <f ca="1">_xlfn.CONCAT(IFERROR(SUBSTITUTE(ADDRESS(1,MATCH(A810,INDIRECT("'"&amp;E810&amp;"'"&amp;"!A" &amp; $O$796 + 5 &amp; ":Z" &amp; $O$796+ 5),0),4),1,""),""),$O$796 + 6)</f>
        <v>H185</v>
      </c>
      <c r="D810" s="897" t="s">
        <v>1367</v>
      </c>
      <c r="E810" s="897" t="s">
        <v>1535</v>
      </c>
      <c r="F810" s="919" t="s">
        <v>1404</v>
      </c>
      <c r="G810" s="1409" t="str">
        <f>IF(T810&lt;&gt;"","AH","")</f>
        <v/>
      </c>
      <c r="H810" s="1409" t="s">
        <v>1926</v>
      </c>
      <c r="I810" s="857" t="str">
        <f t="shared" si="132"/>
        <v/>
      </c>
      <c r="J810" s="1409" t="str">
        <f t="shared" si="139"/>
        <v/>
      </c>
      <c r="K810" s="1409" t="str">
        <f t="shared" si="133"/>
        <v/>
      </c>
      <c r="L810" s="897" t="s">
        <v>1404</v>
      </c>
      <c r="M810" s="1410">
        <v>793</v>
      </c>
      <c r="N810" s="1409"/>
      <c r="O810" s="1408"/>
      <c r="P810" s="1408"/>
      <c r="Q810" s="1408"/>
      <c r="R810" s="1409" t="s">
        <v>1550</v>
      </c>
      <c r="S810" s="1408"/>
      <c r="T810" s="1409" t="str">
        <f t="shared" si="138"/>
        <v/>
      </c>
      <c r="U810" s="1408"/>
      <c r="V810" s="1408"/>
      <c r="W810" s="1408"/>
      <c r="X810" s="1408"/>
      <c r="Y810" s="1408"/>
      <c r="Z810" s="1408"/>
      <c r="AA810" s="1408"/>
    </row>
    <row r="811" spans="1:27" x14ac:dyDescent="0.25">
      <c r="A811" s="926" t="s">
        <v>1405</v>
      </c>
      <c r="B811" s="897" t="str">
        <f ca="1">_xlfn.CONCAT(IFERROR(SUBSTITUTE(ADDRESS(1,MATCH(A811,INDIRECT("'"&amp;E811&amp;"'"&amp;"!A" &amp; $O$796 + 5 &amp; ":Z" &amp; $O$796+ 5),0),4),1,""),""),$O$796 + 5)</f>
        <v>J184</v>
      </c>
      <c r="C811" s="897" t="str">
        <f ca="1">_xlfn.CONCAT(IFERROR(SUBSTITUTE(ADDRESS(1,MATCH(A811,INDIRECT("'"&amp;E811&amp;"'"&amp;"!A" &amp; $O$796 + 5 &amp; ":Z" &amp; $O$796+ 5),0),4),1,""),""),$O$796 + 6)</f>
        <v>J185</v>
      </c>
      <c r="D811" s="897" t="s">
        <v>1367</v>
      </c>
      <c r="E811" s="897" t="s">
        <v>1535</v>
      </c>
      <c r="F811" s="919"/>
      <c r="G811" s="1409"/>
      <c r="H811" s="1409"/>
      <c r="I811" s="857" t="str">
        <f t="shared" si="132"/>
        <v/>
      </c>
      <c r="J811" s="1409"/>
      <c r="K811" s="1409" t="str">
        <f t="shared" si="133"/>
        <v/>
      </c>
      <c r="L811" s="897" t="s">
        <v>1405</v>
      </c>
      <c r="M811" s="1410">
        <v>794</v>
      </c>
      <c r="N811" s="1409"/>
      <c r="O811" s="1408"/>
      <c r="P811" s="1408"/>
      <c r="Q811" s="1408"/>
      <c r="R811" s="1409" t="s">
        <v>1550</v>
      </c>
      <c r="S811" s="1408"/>
      <c r="T811" s="1409" t="str">
        <f t="shared" si="138"/>
        <v/>
      </c>
      <c r="U811" s="1408"/>
      <c r="V811" s="1408"/>
      <c r="W811" s="1408"/>
      <c r="X811" s="1408"/>
      <c r="Y811" s="1408"/>
      <c r="Z811" s="1408"/>
      <c r="AA811" s="1408"/>
    </row>
    <row r="812" spans="1:27" x14ac:dyDescent="0.25">
      <c r="A812" s="926" t="s">
        <v>1406</v>
      </c>
      <c r="B812" s="897" t="str">
        <f ca="1">_xlfn.CONCAT(IFERROR(SUBSTITUTE(ADDRESS(1,MATCH(A812,INDIRECT("'"&amp;E812&amp;"'"&amp;"!A" &amp; $O$796 + 5 &amp; ":Z" &amp; $O$796+ 5),0),4),1,""),""),$O$796 + 5)</f>
        <v>L184</v>
      </c>
      <c r="C812" s="897" t="str">
        <f ca="1">_xlfn.CONCAT(IFERROR(SUBSTITUTE(ADDRESS(1,MATCH(A812,INDIRECT("'"&amp;E812&amp;"'"&amp;"!A" &amp; $O$796 + 5 &amp; ":Z" &amp; $O$796+ 5),0),4),1,""),""),$O$796 + 6)</f>
        <v>L185</v>
      </c>
      <c r="D812" s="897" t="s">
        <v>1367</v>
      </c>
      <c r="E812" s="897" t="s">
        <v>1535</v>
      </c>
      <c r="F812" s="1409" t="s">
        <v>1896</v>
      </c>
      <c r="G812" s="1409" t="str">
        <f>IF(T812&lt;&gt;"","AI","")</f>
        <v/>
      </c>
      <c r="H812" s="1409" t="s">
        <v>1926</v>
      </c>
      <c r="I812" s="857" t="str">
        <f t="shared" si="132"/>
        <v/>
      </c>
      <c r="J812" s="1409"/>
      <c r="K812" s="1409" t="str">
        <f t="shared" si="133"/>
        <v/>
      </c>
      <c r="L812" s="897" t="s">
        <v>1406</v>
      </c>
      <c r="M812" s="1410">
        <v>795</v>
      </c>
      <c r="N812" s="1409"/>
      <c r="O812" s="1408"/>
      <c r="P812" s="1408"/>
      <c r="Q812" s="1408"/>
      <c r="R812" s="1409" t="s">
        <v>1550</v>
      </c>
      <c r="S812" s="1408"/>
      <c r="T812" s="1409" t="str">
        <f t="shared" si="138"/>
        <v/>
      </c>
      <c r="U812" s="1408"/>
      <c r="V812" s="1408"/>
      <c r="W812" s="1408"/>
      <c r="X812" s="1408"/>
      <c r="Y812" s="1408"/>
      <c r="Z812" s="1408"/>
      <c r="AA812" s="1408"/>
    </row>
    <row r="813" spans="1:27" x14ac:dyDescent="0.25">
      <c r="A813" s="929" t="s">
        <v>1510</v>
      </c>
      <c r="B813" s="897" t="str">
        <f ca="1">IFERROR(_xlfn.CONCAT("C",MATCH(A813,INDIRECT("'"&amp;E813&amp;"'!C"&amp;$O$814&amp;":C"&amp;$O$816),0)+$O$814-1),"")</f>
        <v>C197</v>
      </c>
      <c r="C813" s="897" t="str">
        <f ca="1">IFERROR(_xlfn.CONCAT("D",MATCH(A813,INDIRECT("'"&amp;E813&amp;"'!C"&amp;$O$814&amp;":C"&amp;$O$816),0)+$O$814-1),"")</f>
        <v>D197</v>
      </c>
      <c r="D813" s="897" t="s">
        <v>1367</v>
      </c>
      <c r="E813" s="897" t="s">
        <v>1535</v>
      </c>
      <c r="F813" s="1409" t="s">
        <v>1510</v>
      </c>
      <c r="G813" s="1409" t="str">
        <f>IF(T813&lt;&gt;"","A","")</f>
        <v/>
      </c>
      <c r="H813" s="1409" t="s">
        <v>1926</v>
      </c>
      <c r="I813" s="857" t="str">
        <f t="shared" si="132"/>
        <v/>
      </c>
      <c r="J813" s="1409"/>
      <c r="K813" s="1409" t="str">
        <f t="shared" si="133"/>
        <v/>
      </c>
      <c r="L813" s="897" t="s">
        <v>1510</v>
      </c>
      <c r="M813" s="1410">
        <v>796</v>
      </c>
      <c r="N813" s="1409"/>
      <c r="O813" s="1408" t="s">
        <v>726</v>
      </c>
      <c r="P813" s="1408"/>
      <c r="Q813" s="1408"/>
      <c r="R813" s="1409" t="s">
        <v>1550</v>
      </c>
      <c r="S813" s="1408"/>
      <c r="T813" s="1409" t="str">
        <f t="shared" ref="T813:T830" si="146">IF(Q$814="Yes",14,"")</f>
        <v/>
      </c>
      <c r="U813" s="1408"/>
      <c r="V813" s="1408"/>
      <c r="W813" s="1408"/>
      <c r="X813" s="1408"/>
      <c r="Y813" s="1408"/>
      <c r="Z813" s="1408"/>
      <c r="AA813" s="1408"/>
    </row>
    <row r="814" spans="1:27" x14ac:dyDescent="0.25">
      <c r="A814" s="929" t="s">
        <v>1724</v>
      </c>
      <c r="B814" s="897" t="str">
        <f ca="1">_xlfn.CONCAT(IFERROR(SUBSTITUTE(ADDRESS(1,MATCH(A814,INDIRECT("'"&amp;E814&amp;"'"&amp;"!A" &amp; $O$814 + 11 &amp; ":Z" &amp; $O$814+ 11),0),4),1,""),""),$O$814 + 11)</f>
        <v>T204</v>
      </c>
      <c r="C814" s="897" t="str">
        <f ca="1">_xlfn.CONCAT(IFERROR(SUBSTITUTE(ADDRESS(1,MATCH(A814,INDIRECT("'"&amp;E814&amp;"'"&amp;"!A" &amp; $O$814 + 11 &amp; ":Z" &amp; $O$814+ 11),0),4),1,""),""),$O$814 + 12)</f>
        <v>T205</v>
      </c>
      <c r="D814" s="897" t="s">
        <v>1367</v>
      </c>
      <c r="E814" s="897" t="s">
        <v>1535</v>
      </c>
      <c r="F814" s="1409"/>
      <c r="G814" s="1409"/>
      <c r="H814" s="1409"/>
      <c r="I814" s="857" t="str">
        <f t="shared" si="132"/>
        <v/>
      </c>
      <c r="J814" s="1409" t="str">
        <f t="shared" ref="J814:J828" si="147">IF(M814&lt;&gt;"",IF($Q$814="Yes",Q$1&amp;M814,""))</f>
        <v/>
      </c>
      <c r="K814" s="1409" t="str">
        <f t="shared" si="133"/>
        <v/>
      </c>
      <c r="L814" s="897" t="s">
        <v>1724</v>
      </c>
      <c r="M814" s="1410">
        <v>797</v>
      </c>
      <c r="N814" s="1409"/>
      <c r="O814" s="1408">
        <f>'Configurable Tab'!H16</f>
        <v>193</v>
      </c>
      <c r="P814" s="1408">
        <f>'Configurable Tab'!J16</f>
        <v>0</v>
      </c>
      <c r="Q814" s="1408" t="s">
        <v>649</v>
      </c>
      <c r="R814" s="1409" t="s">
        <v>1550</v>
      </c>
      <c r="S814" s="1408"/>
      <c r="T814" s="1409" t="str">
        <f t="shared" si="146"/>
        <v/>
      </c>
      <c r="U814" s="1408"/>
      <c r="V814" s="1408"/>
      <c r="W814" s="1408"/>
      <c r="X814" s="1408"/>
      <c r="Y814" s="1408"/>
      <c r="Z814" s="1408"/>
      <c r="AA814" s="1408"/>
    </row>
    <row r="815" spans="1:27" x14ac:dyDescent="0.25">
      <c r="A815" s="929" t="s">
        <v>1400</v>
      </c>
      <c r="B815" s="897" t="str">
        <f ca="1">IFERROR(_xlfn.CONCAT("C",MATCH(A815,INDIRECT("'"&amp;E815&amp;"'!C"&amp;$O$814&amp;":C"&amp;$O$816),0)+$O$814-1),"")</f>
        <v>C195</v>
      </c>
      <c r="C815" s="897" t="str">
        <f ca="1">IFERROR(_xlfn.CONCAT("D",MATCH(A815,INDIRECT("'"&amp;E815&amp;"'!C"&amp;$O$814&amp;":C"&amp;$O$816),0)+$O$814-1),"")</f>
        <v>D195</v>
      </c>
      <c r="D815" s="897" t="s">
        <v>1367</v>
      </c>
      <c r="E815" s="897" t="s">
        <v>1535</v>
      </c>
      <c r="F815" s="1409" t="s">
        <v>1400</v>
      </c>
      <c r="G815" s="1409" t="str">
        <f>IF(T815&lt;&gt;"","B","")</f>
        <v/>
      </c>
      <c r="H815" s="1409" t="s">
        <v>1926</v>
      </c>
      <c r="I815" s="857" t="str">
        <f t="shared" si="132"/>
        <v/>
      </c>
      <c r="J815" s="1409"/>
      <c r="K815" s="1409" t="str">
        <f t="shared" si="133"/>
        <v/>
      </c>
      <c r="L815" s="897" t="s">
        <v>1400</v>
      </c>
      <c r="M815" s="1410">
        <v>798</v>
      </c>
      <c r="N815" s="1409"/>
      <c r="O815" s="1408" t="s">
        <v>727</v>
      </c>
      <c r="P815" s="1408"/>
      <c r="Q815" s="1408"/>
      <c r="R815" s="1409" t="s">
        <v>1550</v>
      </c>
      <c r="S815" s="1408"/>
      <c r="T815" s="1409" t="str">
        <f t="shared" si="146"/>
        <v/>
      </c>
      <c r="U815" s="1408"/>
      <c r="V815" s="1408"/>
      <c r="W815" s="1408"/>
      <c r="X815" s="1408"/>
      <c r="Y815" s="1408"/>
      <c r="Z815" s="1408"/>
      <c r="AA815" s="1408"/>
    </row>
    <row r="816" spans="1:27" x14ac:dyDescent="0.25">
      <c r="A816" s="929" t="s">
        <v>1397</v>
      </c>
      <c r="B816" s="897" t="str">
        <f t="shared" ref="B816:B822" ca="1" si="148">_xlfn.CONCAT(IFERROR(SUBSTITUTE(ADDRESS(1,MATCH(A816,INDIRECT("'"&amp;E816&amp;"'"&amp;"!A" &amp; $O$814 + 2 &amp; ":Z" &amp; $O$814+ 2),0),4),1,""),""),$O$814 + 2)</f>
        <v>H195</v>
      </c>
      <c r="C816" s="897" t="str">
        <f t="shared" ref="C816:C822" ca="1" si="149">_xlfn.CONCAT(IFERROR(SUBSTITUTE(ADDRESS(1,MATCH(A816,INDIRECT("'"&amp;E816&amp;"'"&amp;"!A" &amp; $O$814 + 2 &amp; ":Z" &amp; $O$814+ 2),0),4),1,""),""),$O$814 + 3)</f>
        <v>H196</v>
      </c>
      <c r="D816" s="897" t="s">
        <v>1367</v>
      </c>
      <c r="E816" s="897" t="s">
        <v>1535</v>
      </c>
      <c r="F816" s="1409" t="s">
        <v>1927</v>
      </c>
      <c r="G816" s="1409" t="str">
        <f>IF(T816&lt;&gt;"","E","")</f>
        <v/>
      </c>
      <c r="H816" s="1409" t="s">
        <v>1926</v>
      </c>
      <c r="I816" s="857" t="str">
        <f t="shared" si="132"/>
        <v/>
      </c>
      <c r="J816" s="1409" t="str">
        <f t="shared" si="147"/>
        <v/>
      </c>
      <c r="K816" s="1409" t="str">
        <f t="shared" si="133"/>
        <v/>
      </c>
      <c r="L816" s="897" t="s">
        <v>1397</v>
      </c>
      <c r="M816" s="1410">
        <v>799</v>
      </c>
      <c r="N816" s="1409"/>
      <c r="O816" s="1408">
        <f>'Configurable Tab'!I16</f>
        <v>206</v>
      </c>
      <c r="P816" s="1408"/>
      <c r="Q816" s="1408"/>
      <c r="R816" s="1409" t="s">
        <v>1550</v>
      </c>
      <c r="S816" s="1408"/>
      <c r="T816" s="1409" t="str">
        <f t="shared" si="146"/>
        <v/>
      </c>
      <c r="U816" s="1408"/>
      <c r="V816" s="1408"/>
      <c r="W816" s="1408"/>
      <c r="X816" s="1408"/>
      <c r="Y816" s="1408"/>
      <c r="Z816" s="1408"/>
      <c r="AA816" s="1408"/>
    </row>
    <row r="817" spans="1:27" x14ac:dyDescent="0.25">
      <c r="A817" s="929" t="s">
        <v>1398</v>
      </c>
      <c r="B817" s="897" t="str">
        <f t="shared" ca="1" si="148"/>
        <v>J195</v>
      </c>
      <c r="C817" s="897" t="str">
        <f t="shared" ca="1" si="149"/>
        <v>J196</v>
      </c>
      <c r="D817" s="897" t="s">
        <v>1367</v>
      </c>
      <c r="E817" s="897" t="s">
        <v>1535</v>
      </c>
      <c r="F817" s="1409" t="s">
        <v>1928</v>
      </c>
      <c r="G817" s="1409" t="str">
        <f>IF(T817&lt;&gt;"","I","")</f>
        <v/>
      </c>
      <c r="H817" s="1409" t="s">
        <v>1926</v>
      </c>
      <c r="I817" s="857" t="str">
        <f t="shared" si="132"/>
        <v/>
      </c>
      <c r="J817" s="1409" t="str">
        <f t="shared" si="147"/>
        <v/>
      </c>
      <c r="K817" s="1409" t="str">
        <f t="shared" si="133"/>
        <v/>
      </c>
      <c r="L817" s="897" t="s">
        <v>1398</v>
      </c>
      <c r="M817" s="1410">
        <v>800</v>
      </c>
      <c r="N817" s="1409"/>
      <c r="O817" s="1408" t="s">
        <v>1664</v>
      </c>
      <c r="P817" s="1408"/>
      <c r="Q817" s="1408"/>
      <c r="R817" s="1409" t="s">
        <v>1550</v>
      </c>
      <c r="S817" s="1408"/>
      <c r="T817" s="1409" t="str">
        <f t="shared" si="146"/>
        <v/>
      </c>
      <c r="U817" s="1408"/>
      <c r="V817" s="1408"/>
      <c r="W817" s="1408"/>
      <c r="X817" s="1408"/>
      <c r="Y817" s="1408"/>
      <c r="Z817" s="1408"/>
      <c r="AA817" s="1408"/>
    </row>
    <row r="818" spans="1:27" x14ac:dyDescent="0.25">
      <c r="A818" s="929" t="s">
        <v>1414</v>
      </c>
      <c r="B818" s="897" t="str">
        <f t="shared" ca="1" si="148"/>
        <v>L195</v>
      </c>
      <c r="C818" s="897" t="str">
        <f t="shared" ca="1" si="149"/>
        <v>L196</v>
      </c>
      <c r="D818" s="897" t="s">
        <v>1367</v>
      </c>
      <c r="E818" s="897" t="s">
        <v>1535</v>
      </c>
      <c r="F818" s="1409" t="s">
        <v>1929</v>
      </c>
      <c r="G818" s="1409" t="str">
        <f>IF(T818&lt;&gt;"","H","")</f>
        <v/>
      </c>
      <c r="H818" s="1409" t="s">
        <v>1926</v>
      </c>
      <c r="I818" s="857" t="str">
        <f t="shared" si="132"/>
        <v/>
      </c>
      <c r="J818" s="1409" t="str">
        <f t="shared" si="147"/>
        <v/>
      </c>
      <c r="K818" s="1409" t="str">
        <f t="shared" si="133"/>
        <v/>
      </c>
      <c r="L818" s="897" t="s">
        <v>1414</v>
      </c>
      <c r="M818" s="1410">
        <v>801</v>
      </c>
      <c r="N818" s="1409"/>
      <c r="O818" s="1408"/>
      <c r="P818" s="1408"/>
      <c r="Q818" s="1408"/>
      <c r="R818" s="1409" t="s">
        <v>1550</v>
      </c>
      <c r="S818" s="1408"/>
      <c r="T818" s="1409" t="str">
        <f t="shared" si="146"/>
        <v/>
      </c>
      <c r="U818" s="1408"/>
      <c r="V818" s="1408"/>
      <c r="W818" s="1408"/>
      <c r="X818" s="1408"/>
      <c r="Y818" s="1408"/>
      <c r="Z818" s="1408"/>
      <c r="AA818" s="1408"/>
    </row>
    <row r="819" spans="1:27" x14ac:dyDescent="0.25">
      <c r="A819" s="929" t="s">
        <v>1399</v>
      </c>
      <c r="B819" s="897" t="str">
        <f t="shared" ca="1" si="148"/>
        <v>N195</v>
      </c>
      <c r="C819" s="897" t="str">
        <f t="shared" ca="1" si="149"/>
        <v>N196</v>
      </c>
      <c r="D819" s="897" t="s">
        <v>1367</v>
      </c>
      <c r="E819" s="897" t="s">
        <v>1535</v>
      </c>
      <c r="F819" s="1409" t="s">
        <v>1399</v>
      </c>
      <c r="G819" s="1409" t="str">
        <f>IF(T819&lt;&gt;"",IF(Q817="Credit Memo","J",IF(Q817="Check","K","")),"")</f>
        <v/>
      </c>
      <c r="H819" s="1409" t="s">
        <v>1926</v>
      </c>
      <c r="I819" s="857" t="str">
        <f t="shared" si="132"/>
        <v/>
      </c>
      <c r="J819" s="1409" t="str">
        <f t="shared" si="147"/>
        <v/>
      </c>
      <c r="K819" s="1409" t="str">
        <f t="shared" si="133"/>
        <v/>
      </c>
      <c r="L819" s="897" t="s">
        <v>1399</v>
      </c>
      <c r="M819" s="1410">
        <v>802</v>
      </c>
      <c r="N819" s="1409"/>
      <c r="O819" s="1408"/>
      <c r="P819" s="1408"/>
      <c r="Q819" s="1408"/>
      <c r="R819" s="1409" t="s">
        <v>1550</v>
      </c>
      <c r="S819" s="1408"/>
      <c r="T819" s="1409" t="str">
        <f t="shared" si="146"/>
        <v/>
      </c>
      <c r="U819" s="1408"/>
      <c r="V819" s="1408"/>
      <c r="W819" s="1408"/>
      <c r="X819" s="1408"/>
      <c r="Y819" s="1408"/>
      <c r="Z819" s="1408"/>
      <c r="AA819" s="1408"/>
    </row>
    <row r="820" spans="1:27" x14ac:dyDescent="0.25">
      <c r="A820" s="929" t="s">
        <v>1505</v>
      </c>
      <c r="B820" s="897" t="str">
        <f t="shared" ca="1" si="148"/>
        <v>P195</v>
      </c>
      <c r="C820" s="897" t="str">
        <f t="shared" ca="1" si="149"/>
        <v>P196</v>
      </c>
      <c r="D820" s="897" t="s">
        <v>1367</v>
      </c>
      <c r="E820" s="897" t="s">
        <v>1535</v>
      </c>
      <c r="F820" s="1409" t="s">
        <v>1930</v>
      </c>
      <c r="G820" s="1409" t="str">
        <f>IF(T820&lt;&gt;"","F","")</f>
        <v/>
      </c>
      <c r="H820" s="1409" t="s">
        <v>1926</v>
      </c>
      <c r="I820" s="857" t="str">
        <f t="shared" si="132"/>
        <v/>
      </c>
      <c r="J820" s="1409" t="str">
        <f t="shared" si="147"/>
        <v/>
      </c>
      <c r="K820" s="1409" t="str">
        <f t="shared" si="133"/>
        <v/>
      </c>
      <c r="L820" s="897" t="s">
        <v>1505</v>
      </c>
      <c r="M820" s="1410">
        <v>803</v>
      </c>
      <c r="N820" s="1409"/>
      <c r="O820" s="1408"/>
      <c r="P820" s="1408"/>
      <c r="Q820" s="1408"/>
      <c r="R820" s="1409" t="s">
        <v>1550</v>
      </c>
      <c r="S820" s="1408"/>
      <c r="T820" s="1409" t="str">
        <f t="shared" si="146"/>
        <v/>
      </c>
      <c r="U820" s="1408"/>
      <c r="V820" s="1408"/>
      <c r="W820" s="1408"/>
      <c r="X820" s="1408"/>
      <c r="Y820" s="1408"/>
      <c r="Z820" s="1408"/>
      <c r="AA820" s="1408"/>
    </row>
    <row r="821" spans="1:27" x14ac:dyDescent="0.25">
      <c r="A821" s="929" t="s">
        <v>1506</v>
      </c>
      <c r="B821" s="897" t="str">
        <f t="shared" ca="1" si="148"/>
        <v>R195</v>
      </c>
      <c r="C821" s="897" t="str">
        <f t="shared" ca="1" si="149"/>
        <v>R196</v>
      </c>
      <c r="D821" s="897" t="s">
        <v>1367</v>
      </c>
      <c r="E821" s="897" t="s">
        <v>1535</v>
      </c>
      <c r="F821" s="1409" t="s">
        <v>1931</v>
      </c>
      <c r="G821" s="1409" t="str">
        <f>IF(T821&lt;&gt;"","G","")</f>
        <v/>
      </c>
      <c r="H821" s="1409" t="s">
        <v>1926</v>
      </c>
      <c r="I821" s="857" t="str">
        <f t="shared" si="132"/>
        <v/>
      </c>
      <c r="J821" s="1409" t="str">
        <f t="shared" si="147"/>
        <v/>
      </c>
      <c r="K821" s="1409" t="str">
        <f t="shared" si="133"/>
        <v/>
      </c>
      <c r="L821" s="897" t="s">
        <v>1506</v>
      </c>
      <c r="M821" s="1410">
        <v>804</v>
      </c>
      <c r="N821" s="1409"/>
      <c r="O821" s="1408"/>
      <c r="P821" s="1408"/>
      <c r="Q821" s="1408"/>
      <c r="R821" s="1409" t="s">
        <v>1550</v>
      </c>
      <c r="S821" s="1408"/>
      <c r="T821" s="1409" t="str">
        <f t="shared" si="146"/>
        <v/>
      </c>
      <c r="U821" s="1408"/>
      <c r="V821" s="1408"/>
      <c r="W821" s="1408"/>
      <c r="X821" s="1408"/>
      <c r="Y821" s="1408"/>
      <c r="Z821" s="1408"/>
      <c r="AA821" s="1408"/>
    </row>
    <row r="822" spans="1:27" x14ac:dyDescent="0.25">
      <c r="A822" s="929" t="s">
        <v>1507</v>
      </c>
      <c r="B822" s="897" t="str">
        <f t="shared" ca="1" si="148"/>
        <v>T195</v>
      </c>
      <c r="C822" s="897" t="str">
        <f t="shared" ca="1" si="149"/>
        <v>T196</v>
      </c>
      <c r="D822" s="897" t="s">
        <v>1367</v>
      </c>
      <c r="E822" s="897" t="s">
        <v>1535</v>
      </c>
      <c r="F822" s="919" t="s">
        <v>1507</v>
      </c>
      <c r="G822" s="1409" t="str">
        <f>IF(T822&lt;&gt;"","AW","")</f>
        <v/>
      </c>
      <c r="H822" s="1409" t="s">
        <v>1926</v>
      </c>
      <c r="I822" s="857" t="str">
        <f t="shared" si="132"/>
        <v/>
      </c>
      <c r="J822" s="1409" t="str">
        <f t="shared" si="147"/>
        <v/>
      </c>
      <c r="K822" s="1409" t="str">
        <f t="shared" si="133"/>
        <v/>
      </c>
      <c r="L822" s="897" t="s">
        <v>1507</v>
      </c>
      <c r="M822" s="1410">
        <v>805</v>
      </c>
      <c r="N822" s="1409"/>
      <c r="O822" s="1408"/>
      <c r="P822" s="1408"/>
      <c r="Q822" s="1408"/>
      <c r="R822" s="1409" t="s">
        <v>1550</v>
      </c>
      <c r="S822" s="1408"/>
      <c r="T822" s="1409" t="str">
        <f t="shared" si="146"/>
        <v/>
      </c>
      <c r="U822" s="1408"/>
      <c r="V822" s="1408"/>
      <c r="W822" s="1408"/>
      <c r="X822" s="1408"/>
      <c r="Y822" s="1408"/>
      <c r="Z822" s="1408"/>
      <c r="AA822" s="1408"/>
    </row>
    <row r="823" spans="1:27" x14ac:dyDescent="0.25">
      <c r="A823" s="929" t="s">
        <v>1402</v>
      </c>
      <c r="B823" s="897" t="str">
        <f ca="1">IFERROR(_xlfn.CONCAT("C",MATCH(A823,INDIRECT("'"&amp;E823&amp;"'!C"&amp;$O$814&amp;":C"&amp;$O$816),0)+$O$814-1),"")</f>
        <v>C199</v>
      </c>
      <c r="C823" s="897" t="str">
        <f ca="1">IFERROR(_xlfn.CONCAT("D",MATCH(A823,INDIRECT("'"&amp;E823&amp;"'!C"&amp;$O$814&amp;":C"&amp;$O$816),0)+$O$814-1),"")</f>
        <v>D199</v>
      </c>
      <c r="D823" s="897" t="s">
        <v>1367</v>
      </c>
      <c r="E823" s="897" t="s">
        <v>1535</v>
      </c>
      <c r="F823" s="1409" t="s">
        <v>1402</v>
      </c>
      <c r="G823" s="1409" t="str">
        <f>IF(T823&lt;&gt;"","C","")</f>
        <v/>
      </c>
      <c r="H823" s="1409" t="s">
        <v>1926</v>
      </c>
      <c r="I823" s="857" t="str">
        <f t="shared" si="132"/>
        <v/>
      </c>
      <c r="J823" s="1409"/>
      <c r="K823" s="1409" t="str">
        <f t="shared" si="133"/>
        <v/>
      </c>
      <c r="L823" s="897" t="s">
        <v>1402</v>
      </c>
      <c r="M823" s="1410">
        <v>806</v>
      </c>
      <c r="N823" s="1409"/>
      <c r="O823" s="1408"/>
      <c r="P823" s="1408"/>
      <c r="Q823" s="1408"/>
      <c r="R823" s="1409" t="s">
        <v>1550</v>
      </c>
      <c r="S823" s="1408"/>
      <c r="T823" s="1409" t="str">
        <f t="shared" si="146"/>
        <v/>
      </c>
      <c r="U823" s="1408"/>
      <c r="V823" s="1408"/>
      <c r="W823" s="1408"/>
      <c r="X823" s="1408"/>
      <c r="Y823" s="1408"/>
      <c r="Z823" s="1408"/>
      <c r="AA823" s="1408"/>
    </row>
    <row r="824" spans="1:27" x14ac:dyDescent="0.25">
      <c r="A824" s="929" t="s">
        <v>1403</v>
      </c>
      <c r="B824" s="897" t="str">
        <f ca="1">IFERROR(_xlfn.CONCAT("C",MATCH(A824,INDIRECT("'"&amp;E824&amp;"'!C"&amp;$O$814&amp;":C"&amp;$O$816),0)+$O$814-1),"")</f>
        <v>C201</v>
      </c>
      <c r="C824" s="897" t="str">
        <f ca="1">IFERROR(_xlfn.CONCAT("D",MATCH(A824,INDIRECT("'"&amp;E824&amp;"'!C"&amp;$O$814&amp;":C"&amp;$O$816),0)+$O$814-1),"")</f>
        <v>D201</v>
      </c>
      <c r="D824" s="897" t="s">
        <v>1367</v>
      </c>
      <c r="E824" s="897" t="s">
        <v>1535</v>
      </c>
      <c r="F824" s="1409" t="s">
        <v>1403</v>
      </c>
      <c r="G824" s="1409" t="str">
        <f>IF(T824&lt;&gt;"","D","")</f>
        <v/>
      </c>
      <c r="H824" s="1409" t="s">
        <v>1926</v>
      </c>
      <c r="I824" s="857" t="str">
        <f t="shared" si="132"/>
        <v/>
      </c>
      <c r="J824" s="1409"/>
      <c r="K824" s="1409" t="str">
        <f t="shared" si="133"/>
        <v/>
      </c>
      <c r="L824" s="897" t="s">
        <v>1403</v>
      </c>
      <c r="M824" s="1410">
        <v>807</v>
      </c>
      <c r="N824" s="1409"/>
      <c r="O824" s="1408"/>
      <c r="P824" s="1408"/>
      <c r="Q824" s="1408"/>
      <c r="R824" s="1409" t="s">
        <v>1550</v>
      </c>
      <c r="S824" s="1408"/>
      <c r="T824" s="1409" t="str">
        <f t="shared" si="146"/>
        <v/>
      </c>
      <c r="U824" s="1408"/>
      <c r="V824" s="1408"/>
      <c r="W824" s="1408"/>
      <c r="X824" s="1408"/>
      <c r="Y824" s="1408"/>
      <c r="Z824" s="1408"/>
      <c r="AA824" s="1408"/>
    </row>
    <row r="825" spans="1:27" x14ac:dyDescent="0.25">
      <c r="A825" s="929" t="s">
        <v>1514</v>
      </c>
      <c r="B825" s="897" t="str">
        <f ca="1">IFERROR(_xlfn.CONCAT("C",MATCH(A825,INDIRECT("'"&amp;E825&amp;"'!C"&amp;$O$814&amp;":C"&amp;$O$816),0)+$O$814-1),"")</f>
        <v>C203</v>
      </c>
      <c r="C825" s="897" t="str">
        <f ca="1">IFERROR(_xlfn.CONCAT("D",MATCH(A825,INDIRECT("'"&amp;E825&amp;"'!C"&amp;$O$814&amp;":C"&amp;$O$816),0)+$O$814-1),"")</f>
        <v>D203</v>
      </c>
      <c r="D825" s="897" t="s">
        <v>1367</v>
      </c>
      <c r="E825" s="897" t="s">
        <v>1535</v>
      </c>
      <c r="F825" s="1409" t="s">
        <v>1514</v>
      </c>
      <c r="G825" s="1409" t="str">
        <f>IF(T825&lt;&gt;"","AN","")</f>
        <v/>
      </c>
      <c r="H825" s="1409" t="s">
        <v>1926</v>
      </c>
      <c r="I825" s="857" t="str">
        <f t="shared" si="132"/>
        <v/>
      </c>
      <c r="J825" s="1409" t="str">
        <f t="shared" si="147"/>
        <v/>
      </c>
      <c r="K825" s="1409" t="str">
        <f t="shared" si="133"/>
        <v/>
      </c>
      <c r="L825" s="897" t="s">
        <v>1514</v>
      </c>
      <c r="M825" s="1410">
        <v>808</v>
      </c>
      <c r="N825" s="1409"/>
      <c r="O825" s="1408"/>
      <c r="P825" s="1409" t="str" cm="1">
        <f t="array" aca="1" ref="P825" ca="1">_xlfn.CONCAT("F",RIGHT(B825, LEN(B825) - MAX(IF(ISNUMBER(MID(B825, ROW(INDIRECT("1:"&amp;LEN(B825))), 1) *1)=FALSE, ROW(INDIRECT("1:"&amp;LEN(B825))), 0))))</f>
        <v>F203</v>
      </c>
      <c r="Q825" s="1409" t="str" cm="1">
        <f t="array" aca="1" ref="Q825" ca="1">_xlfn.CONCAT("E",RIGHT(C825, LEN(C825) - MAX(IF(ISNUMBER(MID(C825, ROW(INDIRECT("1:"&amp;LEN(C825))), 1) *1)=FALSE, ROW(INDIRECT("1:"&amp;LEN(C825))), 0))))</f>
        <v>E203</v>
      </c>
      <c r="R825" s="1409" t="s">
        <v>1550</v>
      </c>
      <c r="S825" s="1408"/>
      <c r="T825" s="1409" t="str">
        <f t="shared" si="146"/>
        <v/>
      </c>
      <c r="U825" s="1408"/>
      <c r="V825" s="1408"/>
      <c r="W825" s="1408"/>
      <c r="X825" s="1408"/>
      <c r="Y825" s="1408"/>
      <c r="Z825" s="1408"/>
      <c r="AA825" s="1408"/>
    </row>
    <row r="826" spans="1:27" x14ac:dyDescent="0.25">
      <c r="A826" s="929" t="s">
        <v>1511</v>
      </c>
      <c r="B826" s="897" t="str">
        <f ca="1">_xlfn.CONCAT(IFERROR(SUBSTITUTE(ADDRESS(1,MATCH(A826,INDIRECT("'"&amp;E826&amp;"'"&amp;"!A" &amp; $O$814 + 8 &amp; ":Z" &amp; $O$814+ 8),0),4),1,""),""),$O$814 + 8)</f>
        <v>H201</v>
      </c>
      <c r="C826" s="897" t="str">
        <f ca="1">_xlfn.CONCAT(IFERROR(SUBSTITUTE(ADDRESS(1,MATCH(A826,INDIRECT("'"&amp;E826&amp;"'"&amp;"!A" &amp; $O$814 + 8 &amp; ":Z" &amp; $O$814+ 8),0),4),1,""),""),$O$814 + 9)</f>
        <v>H202</v>
      </c>
      <c r="D826" s="897" t="s">
        <v>1367</v>
      </c>
      <c r="E826" s="897" t="s">
        <v>1535</v>
      </c>
      <c r="F826" s="1409" t="s">
        <v>1511</v>
      </c>
      <c r="G826" s="1409" t="str">
        <f>IF(T826&lt;&gt;"","AL","")</f>
        <v/>
      </c>
      <c r="H826" s="1409" t="s">
        <v>1926</v>
      </c>
      <c r="I826" s="857" t="str">
        <f t="shared" si="132"/>
        <v/>
      </c>
      <c r="J826" s="1409" t="str">
        <f t="shared" si="147"/>
        <v/>
      </c>
      <c r="K826" s="1409" t="str">
        <f t="shared" si="133"/>
        <v/>
      </c>
      <c r="L826" s="897" t="s">
        <v>1511</v>
      </c>
      <c r="M826" s="1410">
        <v>809</v>
      </c>
      <c r="N826" s="1409"/>
      <c r="O826" s="1408"/>
      <c r="P826" s="1408"/>
      <c r="Q826" s="1408"/>
      <c r="R826" s="1409" t="s">
        <v>1550</v>
      </c>
      <c r="S826" s="1408"/>
      <c r="T826" s="1409" t="str">
        <f t="shared" si="146"/>
        <v/>
      </c>
      <c r="U826" s="1408"/>
      <c r="V826" s="1408"/>
      <c r="W826" s="1408"/>
      <c r="X826" s="1408"/>
      <c r="Y826" s="1408"/>
      <c r="Z826" s="1408"/>
      <c r="AA826" s="1408"/>
    </row>
    <row r="827" spans="1:27" x14ac:dyDescent="0.25">
      <c r="A827" s="929" t="s">
        <v>1525</v>
      </c>
      <c r="B827" s="897" t="str">
        <f ca="1">_xlfn.CONCAT(IFERROR(SUBSTITUTE(ADDRESS(1,MATCH(A827,INDIRECT("'"&amp;E827&amp;"'"&amp;"!A" &amp; $O$814 + 8 &amp; ":Z" &amp; $O$814+ 8),0),4),1,""),""),$O$814 + 8)</f>
        <v>J201</v>
      </c>
      <c r="C827" s="897" t="str">
        <f ca="1">_xlfn.CONCAT(IFERROR(SUBSTITUTE(ADDRESS(1,MATCH(A827,INDIRECT("'"&amp;E827&amp;"'"&amp;"!A" &amp; $O$814 + 8 &amp; ":Z" &amp; $O$814+ 8),0),4),1,""),""),$O$814 + 9)</f>
        <v>J202</v>
      </c>
      <c r="D827" s="897" t="s">
        <v>1367</v>
      </c>
      <c r="E827" s="897" t="s">
        <v>1535</v>
      </c>
      <c r="F827" s="1409" t="s">
        <v>1932</v>
      </c>
      <c r="G827" s="1409" t="str">
        <f>IF(T827&lt;&gt;"","L","")</f>
        <v/>
      </c>
      <c r="H827" s="1409" t="s">
        <v>1926</v>
      </c>
      <c r="I827" s="857" t="str">
        <f t="shared" si="132"/>
        <v/>
      </c>
      <c r="J827" s="1409" t="str">
        <f t="shared" si="147"/>
        <v/>
      </c>
      <c r="K827" s="1409" t="str">
        <f t="shared" si="133"/>
        <v/>
      </c>
      <c r="L827" s="897" t="s">
        <v>1525</v>
      </c>
      <c r="M827" s="1410">
        <v>810</v>
      </c>
      <c r="N827" s="1409"/>
      <c r="O827" s="1408"/>
      <c r="P827" s="1408"/>
      <c r="Q827" s="1408"/>
      <c r="R827" s="1409" t="s">
        <v>1550</v>
      </c>
      <c r="S827" s="1408"/>
      <c r="T827" s="1409" t="str">
        <f t="shared" si="146"/>
        <v/>
      </c>
      <c r="U827" s="1408"/>
      <c r="V827" s="1408"/>
      <c r="W827" s="1408"/>
      <c r="X827" s="1408"/>
      <c r="Y827" s="1408"/>
      <c r="Z827" s="1408"/>
      <c r="AA827" s="1408"/>
    </row>
    <row r="828" spans="1:27" x14ac:dyDescent="0.25">
      <c r="A828" s="929" t="s">
        <v>1404</v>
      </c>
      <c r="B828" s="897" t="str">
        <f ca="1">_xlfn.CONCAT(IFERROR(SUBSTITUTE(ADDRESS(1,MATCH(A828,INDIRECT("'"&amp;E828&amp;"'"&amp;"!A" &amp; $O$814 + 5 &amp; ":Z" &amp; $O$814+ 5),0),4),1,""),""),$O$814 + 5)</f>
        <v>H198</v>
      </c>
      <c r="C828" s="897" t="str">
        <f ca="1">_xlfn.CONCAT(IFERROR(SUBSTITUTE(ADDRESS(1,MATCH(A828,INDIRECT("'"&amp;E828&amp;"'"&amp;"!A" &amp; $O$814 + 5 &amp; ":Z" &amp; $O$814+ 5),0),4),1,""),""),$O$814 + 6)</f>
        <v>H199</v>
      </c>
      <c r="D828" s="897" t="s">
        <v>1367</v>
      </c>
      <c r="E828" s="897" t="s">
        <v>1535</v>
      </c>
      <c r="F828" s="919" t="s">
        <v>1404</v>
      </c>
      <c r="G828" s="1409" t="str">
        <f>IF(T828&lt;&gt;"","AH","")</f>
        <v/>
      </c>
      <c r="H828" s="1409" t="s">
        <v>1926</v>
      </c>
      <c r="I828" s="857" t="str">
        <f t="shared" si="132"/>
        <v/>
      </c>
      <c r="J828" s="1409" t="str">
        <f t="shared" si="147"/>
        <v/>
      </c>
      <c r="K828" s="1409" t="str">
        <f t="shared" si="133"/>
        <v/>
      </c>
      <c r="L828" s="897" t="s">
        <v>1404</v>
      </c>
      <c r="M828" s="1410">
        <v>811</v>
      </c>
      <c r="N828" s="1409"/>
      <c r="O828" s="1408"/>
      <c r="P828" s="1408"/>
      <c r="Q828" s="1408"/>
      <c r="R828" s="1409" t="s">
        <v>1550</v>
      </c>
      <c r="S828" s="1408"/>
      <c r="T828" s="1409" t="str">
        <f t="shared" si="146"/>
        <v/>
      </c>
      <c r="U828" s="1408"/>
      <c r="V828" s="1408"/>
      <c r="W828" s="1408"/>
      <c r="X828" s="1408"/>
      <c r="Y828" s="1408"/>
      <c r="Z828" s="1408"/>
      <c r="AA828" s="1408"/>
    </row>
    <row r="829" spans="1:27" x14ac:dyDescent="0.25">
      <c r="A829" s="929" t="s">
        <v>1405</v>
      </c>
      <c r="B829" s="897" t="str">
        <f ca="1">_xlfn.CONCAT(IFERROR(SUBSTITUTE(ADDRESS(1,MATCH(A829,INDIRECT("'"&amp;E829&amp;"'"&amp;"!A" &amp; $O$814 + 5 &amp; ":Z" &amp; $O$814+ 5),0),4),1,""),""),$O$814 + 5)</f>
        <v>J198</v>
      </c>
      <c r="C829" s="897" t="str">
        <f ca="1">_xlfn.CONCAT(IFERROR(SUBSTITUTE(ADDRESS(1,MATCH(A829,INDIRECT("'"&amp;E829&amp;"'"&amp;"!A" &amp; $O$814 + 5 &amp; ":Z" &amp; $O$814+ 5),0),4),1,""),""),$O$814 + 6)</f>
        <v>J199</v>
      </c>
      <c r="D829" s="897" t="s">
        <v>1367</v>
      </c>
      <c r="E829" s="897" t="s">
        <v>1535</v>
      </c>
      <c r="F829" s="919"/>
      <c r="G829" s="1409"/>
      <c r="H829" s="1409"/>
      <c r="I829" s="857" t="str">
        <f t="shared" si="132"/>
        <v/>
      </c>
      <c r="J829" s="1409"/>
      <c r="K829" s="1409" t="str">
        <f t="shared" si="133"/>
        <v/>
      </c>
      <c r="L829" s="897" t="s">
        <v>1405</v>
      </c>
      <c r="M829" s="1410">
        <v>812</v>
      </c>
      <c r="N829" s="1409"/>
      <c r="O829" s="1408"/>
      <c r="P829" s="1408"/>
      <c r="Q829" s="1408"/>
      <c r="R829" s="1409" t="s">
        <v>1550</v>
      </c>
      <c r="S829" s="1408"/>
      <c r="T829" s="1409" t="str">
        <f t="shared" si="146"/>
        <v/>
      </c>
      <c r="U829" s="1408"/>
      <c r="V829" s="1408"/>
      <c r="W829" s="1408"/>
      <c r="X829" s="1408"/>
      <c r="Y829" s="1408"/>
      <c r="Z829" s="1408"/>
      <c r="AA829" s="1408"/>
    </row>
    <row r="830" spans="1:27" x14ac:dyDescent="0.25">
      <c r="A830" s="929" t="s">
        <v>1406</v>
      </c>
      <c r="B830" s="897" t="str">
        <f ca="1">_xlfn.CONCAT(IFERROR(SUBSTITUTE(ADDRESS(1,MATCH(A830,INDIRECT("'"&amp;E830&amp;"'"&amp;"!A" &amp; $O$814 + 5 &amp; ":Z" &amp; $O$814+ 5),0),4),1,""),""),$O$814 + 5)</f>
        <v>L198</v>
      </c>
      <c r="C830" s="897" t="str">
        <f ca="1">_xlfn.CONCAT(IFERROR(SUBSTITUTE(ADDRESS(1,MATCH(A830,INDIRECT("'"&amp;E830&amp;"'"&amp;"!A" &amp; $O$814 + 5 &amp; ":Z" &amp; $O$814+ 5),0),4),1,""),""),$O$814 + 6)</f>
        <v>L199</v>
      </c>
      <c r="D830" s="897" t="s">
        <v>1367</v>
      </c>
      <c r="E830" s="897" t="s">
        <v>1535</v>
      </c>
      <c r="F830" s="1409" t="s">
        <v>1896</v>
      </c>
      <c r="G830" s="1409" t="str">
        <f>IF(T830&lt;&gt;"","AI","")</f>
        <v/>
      </c>
      <c r="H830" s="1409" t="s">
        <v>1926</v>
      </c>
      <c r="I830" s="857" t="str">
        <f t="shared" si="132"/>
        <v/>
      </c>
      <c r="J830" s="1409"/>
      <c r="K830" s="1409" t="str">
        <f t="shared" si="133"/>
        <v/>
      </c>
      <c r="L830" s="897" t="s">
        <v>1406</v>
      </c>
      <c r="M830" s="1410">
        <v>813</v>
      </c>
      <c r="N830" s="1409"/>
      <c r="O830" s="1408"/>
      <c r="P830" s="1408"/>
      <c r="Q830" s="1408"/>
      <c r="R830" s="1409" t="s">
        <v>1550</v>
      </c>
      <c r="S830" s="1408"/>
      <c r="T830" s="1409" t="str">
        <f t="shared" si="146"/>
        <v/>
      </c>
      <c r="U830" s="1408"/>
      <c r="V830" s="1408"/>
      <c r="W830" s="1408"/>
      <c r="X830" s="1408"/>
      <c r="Y830" s="1408"/>
      <c r="Z830" s="1408"/>
      <c r="AA830" s="1408"/>
    </row>
    <row r="831" spans="1:27" x14ac:dyDescent="0.25">
      <c r="A831" s="926" t="s">
        <v>1510</v>
      </c>
      <c r="B831" s="897" t="str">
        <f ca="1">IFERROR(_xlfn.CONCAT("C",MATCH(A831,INDIRECT("'"&amp;E831&amp;"'!C"&amp;$O$832&amp;":C"&amp;$O$834),0)+$O$832-1),"")</f>
        <v>C211</v>
      </c>
      <c r="C831" s="897" t="str">
        <f ca="1">IFERROR(_xlfn.CONCAT("D",MATCH(A831,INDIRECT("'"&amp;E831&amp;"'!C"&amp;$O$832&amp;":C"&amp;$O$834),0)+$O$832-1),"")</f>
        <v>D211</v>
      </c>
      <c r="D831" s="897" t="s">
        <v>1367</v>
      </c>
      <c r="E831" s="897" t="s">
        <v>1535</v>
      </c>
      <c r="F831" s="1409" t="s">
        <v>1510</v>
      </c>
      <c r="G831" s="1409" t="str">
        <f>IF(T831&lt;&gt;"","A","")</f>
        <v/>
      </c>
      <c r="H831" s="1409" t="s">
        <v>1926</v>
      </c>
      <c r="I831" s="857" t="str">
        <f t="shared" si="132"/>
        <v/>
      </c>
      <c r="J831" s="1409"/>
      <c r="K831" s="1409" t="str">
        <f t="shared" si="133"/>
        <v/>
      </c>
      <c r="L831" s="897" t="s">
        <v>1510</v>
      </c>
      <c r="M831" s="1410">
        <v>814</v>
      </c>
      <c r="N831" s="1409"/>
      <c r="O831" s="1408" t="s">
        <v>726</v>
      </c>
      <c r="P831" s="1408"/>
      <c r="Q831" s="1408"/>
      <c r="R831" s="1409" t="s">
        <v>1550</v>
      </c>
      <c r="S831" s="1408"/>
      <c r="T831" s="1409" t="str">
        <f t="shared" ref="T831:T844" si="150">IF(Q$832="Yes",15,"")</f>
        <v/>
      </c>
      <c r="U831" s="1408"/>
      <c r="V831" s="1408"/>
      <c r="W831" s="1408"/>
      <c r="X831" s="1408"/>
      <c r="Y831" s="1408"/>
      <c r="Z831" s="1408"/>
      <c r="AA831" s="1408"/>
    </row>
    <row r="832" spans="1:27" x14ac:dyDescent="0.25">
      <c r="A832" s="926" t="s">
        <v>1724</v>
      </c>
      <c r="B832" s="897" t="str">
        <f ca="1">_xlfn.CONCAT(IFERROR(SUBSTITUTE(ADDRESS(1,MATCH(A832,INDIRECT("'"&amp;E832&amp;"'"&amp;"!A" &amp; $O$832 + 12 &amp; ":Z" &amp; $O$832+ 12),0),4),1,""),""),$O$832 + 12)</f>
        <v>T219</v>
      </c>
      <c r="C832" s="897" t="str">
        <f ca="1">_xlfn.CONCAT(IFERROR(SUBSTITUTE(ADDRESS(1,MATCH(A832,INDIRECT("'"&amp;E832&amp;"'"&amp;"!A" &amp; $O$832 + 12 &amp; ":Z" &amp; $O$832+ 12),0),4),1,""),""),$O$832 + 13)</f>
        <v>T220</v>
      </c>
      <c r="D832" s="897" t="s">
        <v>1367</v>
      </c>
      <c r="E832" s="897" t="s">
        <v>1535</v>
      </c>
      <c r="F832" s="1409"/>
      <c r="G832" s="1409"/>
      <c r="H832" s="1409"/>
      <c r="I832" s="857" t="str">
        <f t="shared" si="132"/>
        <v/>
      </c>
      <c r="J832" s="1409" t="str">
        <f>IF(M832&lt;&gt;"",IF($Q$832="Yes",Q$1&amp;M832,""))</f>
        <v/>
      </c>
      <c r="K832" s="1409" t="str">
        <f t="shared" si="133"/>
        <v/>
      </c>
      <c r="L832" s="897" t="s">
        <v>1724</v>
      </c>
      <c r="M832" s="1410">
        <v>815</v>
      </c>
      <c r="N832" s="1409"/>
      <c r="O832" s="1408">
        <f>'Configurable Tab'!H17</f>
        <v>207</v>
      </c>
      <c r="P832" s="1408">
        <f>'Configurable Tab'!J17</f>
        <v>0</v>
      </c>
      <c r="Q832" s="1408" t="s">
        <v>649</v>
      </c>
      <c r="R832" s="1409" t="s">
        <v>1550</v>
      </c>
      <c r="S832" s="1426"/>
      <c r="T832" s="1409" t="str">
        <f t="shared" si="150"/>
        <v/>
      </c>
      <c r="U832" s="1408"/>
      <c r="V832" s="1408"/>
      <c r="W832" s="1408"/>
      <c r="X832" s="1408"/>
      <c r="Y832" s="1408"/>
      <c r="Z832" s="1408"/>
      <c r="AA832" s="1408"/>
    </row>
    <row r="833" spans="1:27" x14ac:dyDescent="0.25">
      <c r="A833" s="926" t="s">
        <v>1400</v>
      </c>
      <c r="B833" s="897" t="str">
        <f ca="1">IFERROR(_xlfn.CONCAT("C",MATCH(A833,INDIRECT("'"&amp;E833&amp;"'!C"&amp;$O$832&amp;":C"&amp;$O$834),0)+$O$832-1),"")</f>
        <v>C209</v>
      </c>
      <c r="C833" s="897" t="str">
        <f ca="1">IFERROR(_xlfn.CONCAT("D",MATCH(A833,INDIRECT("'"&amp;E833&amp;"'!C"&amp;$O$832&amp;":C"&amp;$O$834),0)+$O$832-1),"")</f>
        <v>D209</v>
      </c>
      <c r="D833" s="897" t="s">
        <v>1367</v>
      </c>
      <c r="E833" s="897" t="s">
        <v>1535</v>
      </c>
      <c r="F833" s="1409" t="s">
        <v>1400</v>
      </c>
      <c r="G833" s="1409" t="str">
        <f>IF(T833&lt;&gt;"","B","")</f>
        <v/>
      </c>
      <c r="H833" s="1409" t="s">
        <v>1926</v>
      </c>
      <c r="I833" s="857" t="str">
        <f t="shared" si="132"/>
        <v/>
      </c>
      <c r="J833" s="1409"/>
      <c r="K833" s="1409" t="str">
        <f t="shared" si="133"/>
        <v/>
      </c>
      <c r="L833" s="897" t="s">
        <v>1400</v>
      </c>
      <c r="M833" s="1410">
        <v>816</v>
      </c>
      <c r="N833" s="1409"/>
      <c r="O833" s="1408" t="s">
        <v>727</v>
      </c>
      <c r="P833" s="1408"/>
      <c r="Q833" s="1408"/>
      <c r="R833" s="1409" t="s">
        <v>1550</v>
      </c>
      <c r="S833" s="1408"/>
      <c r="T833" s="1409" t="str">
        <f t="shared" si="150"/>
        <v/>
      </c>
      <c r="U833" s="1408"/>
      <c r="V833" s="1408"/>
      <c r="W833" s="1408"/>
      <c r="X833" s="1408"/>
      <c r="Y833" s="1408"/>
      <c r="Z833" s="1408"/>
      <c r="AA833" s="1408"/>
    </row>
    <row r="834" spans="1:27" x14ac:dyDescent="0.25">
      <c r="A834" s="926" t="s">
        <v>1397</v>
      </c>
      <c r="B834" s="897" t="str">
        <f t="shared" ref="B834:B840" ca="1" si="151">_xlfn.CONCAT(IFERROR(SUBSTITUTE(ADDRESS(1,MATCH(A834,INDIRECT("'"&amp;E834&amp;"'"&amp;"!A" &amp; $O$832 + 2 &amp; ":Z" &amp; $O$832+ 2),0),4),1,""),""),$O$832 + 2)</f>
        <v>H209</v>
      </c>
      <c r="C834" s="897" t="str">
        <f t="shared" ref="C834:C840" ca="1" si="152">_xlfn.CONCAT(IFERROR(SUBSTITUTE(ADDRESS(1,MATCH(A834,INDIRECT("'"&amp;E834&amp;"'"&amp;"!A" &amp; $O$832 + 2 &amp; ":Z" &amp; $O$832+ 2),0),4),1,""),""),$O$832 + 3)</f>
        <v>H210</v>
      </c>
      <c r="D834" s="897" t="s">
        <v>1367</v>
      </c>
      <c r="E834" s="897" t="s">
        <v>1535</v>
      </c>
      <c r="F834" s="1409" t="s">
        <v>1927</v>
      </c>
      <c r="G834" s="1409" t="str">
        <f>IF(T834&lt;&gt;"","E","")</f>
        <v/>
      </c>
      <c r="H834" s="1409" t="s">
        <v>1926</v>
      </c>
      <c r="I834" s="857" t="str">
        <f t="shared" si="132"/>
        <v/>
      </c>
      <c r="J834" s="1409" t="str">
        <f t="shared" ref="J834:J840" si="153">IF(M834&lt;&gt;"",IF($Q$832="Yes",Q$1&amp;M834,""))</f>
        <v/>
      </c>
      <c r="K834" s="1409" t="str">
        <f t="shared" si="133"/>
        <v/>
      </c>
      <c r="L834" s="897" t="s">
        <v>1397</v>
      </c>
      <c r="M834" s="1410">
        <v>817</v>
      </c>
      <c r="N834" s="1409"/>
      <c r="O834" s="1408">
        <f>'Configurable Tab'!I17</f>
        <v>222</v>
      </c>
      <c r="P834" s="1408"/>
      <c r="Q834" s="1408"/>
      <c r="R834" s="1409" t="s">
        <v>1550</v>
      </c>
      <c r="S834" s="1408"/>
      <c r="T834" s="1409" t="str">
        <f t="shared" si="150"/>
        <v/>
      </c>
      <c r="U834" s="1408"/>
      <c r="V834" s="1408"/>
      <c r="W834" s="1408"/>
      <c r="X834" s="1408"/>
      <c r="Y834" s="1408"/>
      <c r="Z834" s="1408"/>
      <c r="AA834" s="1408"/>
    </row>
    <row r="835" spans="1:27" x14ac:dyDescent="0.25">
      <c r="A835" s="926" t="s">
        <v>1398</v>
      </c>
      <c r="B835" s="897" t="str">
        <f t="shared" ca="1" si="151"/>
        <v>J209</v>
      </c>
      <c r="C835" s="897" t="str">
        <f t="shared" ca="1" si="152"/>
        <v>J210</v>
      </c>
      <c r="D835" s="897" t="s">
        <v>1367</v>
      </c>
      <c r="E835" s="897" t="s">
        <v>1535</v>
      </c>
      <c r="F835" s="1409" t="s">
        <v>1928</v>
      </c>
      <c r="G835" s="1409" t="str">
        <f>IF(T835&lt;&gt;"","I","")</f>
        <v/>
      </c>
      <c r="H835" s="1409" t="s">
        <v>1926</v>
      </c>
      <c r="I835" s="857" t="str">
        <f t="shared" si="132"/>
        <v/>
      </c>
      <c r="J835" s="1409" t="str">
        <f t="shared" si="153"/>
        <v/>
      </c>
      <c r="K835" s="1409" t="str">
        <f t="shared" si="133"/>
        <v/>
      </c>
      <c r="L835" s="897" t="s">
        <v>1398</v>
      </c>
      <c r="M835" s="1410">
        <v>818</v>
      </c>
      <c r="N835" s="1409"/>
      <c r="O835" s="1408" t="s">
        <v>1665</v>
      </c>
      <c r="P835" s="1408"/>
      <c r="Q835" s="1408"/>
      <c r="R835" s="1409" t="s">
        <v>1550</v>
      </c>
      <c r="S835" s="1408"/>
      <c r="T835" s="1409" t="str">
        <f t="shared" si="150"/>
        <v/>
      </c>
      <c r="U835" s="1408"/>
      <c r="V835" s="1408"/>
      <c r="W835" s="1408"/>
      <c r="X835" s="1408"/>
      <c r="Y835" s="1408"/>
      <c r="Z835" s="1408"/>
      <c r="AA835" s="1408"/>
    </row>
    <row r="836" spans="1:27" x14ac:dyDescent="0.25">
      <c r="A836" s="926" t="s">
        <v>1414</v>
      </c>
      <c r="B836" s="897" t="str">
        <f t="shared" ca="1" si="151"/>
        <v>L209</v>
      </c>
      <c r="C836" s="897" t="str">
        <f t="shared" ca="1" si="152"/>
        <v>L210</v>
      </c>
      <c r="D836" s="897" t="s">
        <v>1367</v>
      </c>
      <c r="E836" s="897" t="s">
        <v>1535</v>
      </c>
      <c r="F836" s="1409" t="s">
        <v>1929</v>
      </c>
      <c r="G836" s="1409" t="str">
        <f>IF(T836&lt;&gt;"","H","")</f>
        <v/>
      </c>
      <c r="H836" s="1409" t="s">
        <v>1926</v>
      </c>
      <c r="I836" s="857" t="str">
        <f t="shared" ref="I836:I899" si="154">IF(J836&lt;&gt;"",A836,"")</f>
        <v/>
      </c>
      <c r="J836" s="1409" t="str">
        <f t="shared" si="153"/>
        <v/>
      </c>
      <c r="K836" s="1409" t="str">
        <f t="shared" ref="K836:K899" si="155">IF(J836&lt;&gt;"",E836,"")</f>
        <v/>
      </c>
      <c r="L836" s="897" t="s">
        <v>1414</v>
      </c>
      <c r="M836" s="1410">
        <v>819</v>
      </c>
      <c r="N836" s="1409"/>
      <c r="O836" s="1408"/>
      <c r="P836" s="1408"/>
      <c r="Q836" s="1408"/>
      <c r="R836" s="1409" t="s">
        <v>1550</v>
      </c>
      <c r="S836" s="1408"/>
      <c r="T836" s="1409" t="str">
        <f t="shared" si="150"/>
        <v/>
      </c>
      <c r="U836" s="1408"/>
      <c r="V836" s="1408"/>
      <c r="W836" s="1408"/>
      <c r="X836" s="1408"/>
      <c r="Y836" s="1408"/>
      <c r="Z836" s="1408"/>
      <c r="AA836" s="1408"/>
    </row>
    <row r="837" spans="1:27" x14ac:dyDescent="0.25">
      <c r="A837" s="926" t="s">
        <v>1399</v>
      </c>
      <c r="B837" s="897" t="str">
        <f t="shared" ca="1" si="151"/>
        <v>N209</v>
      </c>
      <c r="C837" s="897" t="str">
        <f t="shared" ca="1" si="152"/>
        <v>N210</v>
      </c>
      <c r="D837" s="897" t="s">
        <v>1367</v>
      </c>
      <c r="E837" s="897" t="s">
        <v>1535</v>
      </c>
      <c r="F837" s="1409" t="s">
        <v>1399</v>
      </c>
      <c r="G837" s="1409" t="str">
        <f>IF(T837&lt;&gt;"",IF(Q835="Credit Memo","J",IF(Q835="Check","K","")),"")</f>
        <v/>
      </c>
      <c r="H837" s="1409" t="s">
        <v>1926</v>
      </c>
      <c r="I837" s="857" t="str">
        <f t="shared" si="154"/>
        <v/>
      </c>
      <c r="J837" s="1409" t="str">
        <f t="shared" si="153"/>
        <v/>
      </c>
      <c r="K837" s="1409" t="str">
        <f t="shared" si="155"/>
        <v/>
      </c>
      <c r="L837" s="897" t="s">
        <v>1399</v>
      </c>
      <c r="M837" s="1410">
        <v>820</v>
      </c>
      <c r="N837" s="1409"/>
      <c r="O837" s="1408"/>
      <c r="P837" s="1408"/>
      <c r="Q837" s="1408"/>
      <c r="R837" s="1409" t="s">
        <v>1550</v>
      </c>
      <c r="S837" s="1408"/>
      <c r="T837" s="1409" t="str">
        <f t="shared" si="150"/>
        <v/>
      </c>
      <c r="U837" s="1408"/>
      <c r="V837" s="1408"/>
      <c r="W837" s="1408"/>
      <c r="X837" s="1408"/>
      <c r="Y837" s="1408"/>
      <c r="Z837" s="1408"/>
      <c r="AA837" s="1408"/>
    </row>
    <row r="838" spans="1:27" x14ac:dyDescent="0.25">
      <c r="A838" s="926" t="s">
        <v>1505</v>
      </c>
      <c r="B838" s="897" t="str">
        <f t="shared" ca="1" si="151"/>
        <v>P209</v>
      </c>
      <c r="C838" s="897" t="str">
        <f t="shared" ca="1" si="152"/>
        <v>P210</v>
      </c>
      <c r="D838" s="897" t="s">
        <v>1367</v>
      </c>
      <c r="E838" s="897" t="s">
        <v>1535</v>
      </c>
      <c r="F838" s="1409" t="s">
        <v>1930</v>
      </c>
      <c r="G838" s="1409" t="str">
        <f>IF(T838&lt;&gt;"","F","")</f>
        <v/>
      </c>
      <c r="H838" s="1409" t="s">
        <v>1926</v>
      </c>
      <c r="I838" s="857" t="str">
        <f t="shared" si="154"/>
        <v/>
      </c>
      <c r="J838" s="1409" t="str">
        <f t="shared" si="153"/>
        <v/>
      </c>
      <c r="K838" s="1409" t="str">
        <f t="shared" si="155"/>
        <v/>
      </c>
      <c r="L838" s="897" t="s">
        <v>1505</v>
      </c>
      <c r="M838" s="1410">
        <v>821</v>
      </c>
      <c r="N838" s="1409"/>
      <c r="O838" s="1408"/>
      <c r="P838" s="1408"/>
      <c r="Q838" s="1408"/>
      <c r="R838" s="1409" t="s">
        <v>1550</v>
      </c>
      <c r="S838" s="1408"/>
      <c r="T838" s="1409" t="str">
        <f t="shared" si="150"/>
        <v/>
      </c>
      <c r="U838" s="1408"/>
      <c r="V838" s="1408"/>
      <c r="W838" s="1408"/>
      <c r="X838" s="1408"/>
      <c r="Y838" s="1408"/>
      <c r="Z838" s="1408"/>
      <c r="AA838" s="1408"/>
    </row>
    <row r="839" spans="1:27" x14ac:dyDescent="0.25">
      <c r="A839" s="926" t="s">
        <v>1506</v>
      </c>
      <c r="B839" s="897" t="str">
        <f t="shared" ca="1" si="151"/>
        <v>R209</v>
      </c>
      <c r="C839" s="897" t="str">
        <f t="shared" ca="1" si="152"/>
        <v>R210</v>
      </c>
      <c r="D839" s="897" t="s">
        <v>1367</v>
      </c>
      <c r="E839" s="897" t="s">
        <v>1535</v>
      </c>
      <c r="F839" s="1409" t="s">
        <v>1931</v>
      </c>
      <c r="G839" s="1409" t="str">
        <f>IF(T839&lt;&gt;"","G","")</f>
        <v/>
      </c>
      <c r="H839" s="1409" t="s">
        <v>1926</v>
      </c>
      <c r="I839" s="857" t="str">
        <f t="shared" si="154"/>
        <v/>
      </c>
      <c r="J839" s="1409" t="str">
        <f t="shared" si="153"/>
        <v/>
      </c>
      <c r="K839" s="1409" t="str">
        <f t="shared" si="155"/>
        <v/>
      </c>
      <c r="L839" s="897" t="s">
        <v>1506</v>
      </c>
      <c r="M839" s="1410">
        <v>822</v>
      </c>
      <c r="N839" s="1409"/>
      <c r="O839" s="1408"/>
      <c r="P839" s="1408"/>
      <c r="Q839" s="1408"/>
      <c r="R839" s="1409" t="s">
        <v>1550</v>
      </c>
      <c r="S839" s="1408"/>
      <c r="T839" s="1409" t="str">
        <f t="shared" si="150"/>
        <v/>
      </c>
      <c r="U839" s="1408"/>
      <c r="V839" s="1408"/>
      <c r="W839" s="1408"/>
      <c r="X839" s="1408"/>
      <c r="Y839" s="1408"/>
      <c r="Z839" s="1408"/>
      <c r="AA839" s="1408"/>
    </row>
    <row r="840" spans="1:27" x14ac:dyDescent="0.25">
      <c r="A840" s="926" t="s">
        <v>1507</v>
      </c>
      <c r="B840" s="897" t="str">
        <f t="shared" ca="1" si="151"/>
        <v>T209</v>
      </c>
      <c r="C840" s="897" t="str">
        <f t="shared" ca="1" si="152"/>
        <v>T210</v>
      </c>
      <c r="D840" s="897" t="s">
        <v>1367</v>
      </c>
      <c r="E840" s="897" t="s">
        <v>1535</v>
      </c>
      <c r="F840" s="919" t="s">
        <v>1507</v>
      </c>
      <c r="G840" s="1409" t="str">
        <f>IF(T840&lt;&gt;"","AW","")</f>
        <v/>
      </c>
      <c r="H840" s="1409" t="s">
        <v>1926</v>
      </c>
      <c r="I840" s="857" t="str">
        <f t="shared" si="154"/>
        <v/>
      </c>
      <c r="J840" s="1409" t="str">
        <f t="shared" si="153"/>
        <v/>
      </c>
      <c r="K840" s="1409" t="str">
        <f t="shared" si="155"/>
        <v/>
      </c>
      <c r="L840" s="897" t="s">
        <v>1507</v>
      </c>
      <c r="M840" s="1410">
        <v>823</v>
      </c>
      <c r="N840" s="1409"/>
      <c r="O840" s="1408"/>
      <c r="P840" s="1408"/>
      <c r="Q840" s="1408"/>
      <c r="R840" s="1409" t="s">
        <v>1550</v>
      </c>
      <c r="S840" s="1408"/>
      <c r="T840" s="1409" t="str">
        <f t="shared" si="150"/>
        <v/>
      </c>
      <c r="U840" s="1408"/>
      <c r="V840" s="1408"/>
      <c r="W840" s="1408"/>
      <c r="X840" s="1408"/>
      <c r="Y840" s="1408"/>
      <c r="Z840" s="1408"/>
      <c r="AA840" s="1408"/>
    </row>
    <row r="841" spans="1:27" x14ac:dyDescent="0.25">
      <c r="A841" s="926" t="s">
        <v>1402</v>
      </c>
      <c r="B841" s="897" t="str">
        <f ca="1">IFERROR(_xlfn.CONCAT("C",MATCH(A841,INDIRECT("'"&amp;E841&amp;"'!C"&amp;$O$832&amp;":C"&amp;$O$834),0)+$O$832-1),"")</f>
        <v>C213</v>
      </c>
      <c r="C841" s="897" t="str">
        <f ca="1">IFERROR(_xlfn.CONCAT("D",MATCH(A841,INDIRECT("'"&amp;E841&amp;"'!C"&amp;$O$832&amp;":C"&amp;$O$834),0)+$O$832-1),"")</f>
        <v>D213</v>
      </c>
      <c r="D841" s="897" t="s">
        <v>1367</v>
      </c>
      <c r="E841" s="897" t="s">
        <v>1535</v>
      </c>
      <c r="F841" s="1409" t="s">
        <v>1402</v>
      </c>
      <c r="G841" s="1409" t="str">
        <f>IF(T841&lt;&gt;"","C","")</f>
        <v/>
      </c>
      <c r="H841" s="1409" t="s">
        <v>1926</v>
      </c>
      <c r="I841" s="857" t="str">
        <f t="shared" si="154"/>
        <v/>
      </c>
      <c r="J841" s="1409"/>
      <c r="K841" s="1409" t="str">
        <f t="shared" si="155"/>
        <v/>
      </c>
      <c r="L841" s="897" t="s">
        <v>1402</v>
      </c>
      <c r="M841" s="1410">
        <v>824</v>
      </c>
      <c r="N841" s="1409"/>
      <c r="O841" s="1408"/>
      <c r="P841" s="1408"/>
      <c r="Q841" s="1408"/>
      <c r="R841" s="1409" t="s">
        <v>1550</v>
      </c>
      <c r="S841" s="1408"/>
      <c r="T841" s="1409" t="str">
        <f t="shared" si="150"/>
        <v/>
      </c>
      <c r="U841" s="1408"/>
      <c r="V841" s="1408"/>
      <c r="W841" s="1408"/>
      <c r="X841" s="1408"/>
      <c r="Y841" s="1408"/>
      <c r="Z841" s="1408"/>
      <c r="AA841" s="1408"/>
    </row>
    <row r="842" spans="1:27" x14ac:dyDescent="0.25">
      <c r="A842" s="926" t="s">
        <v>1403</v>
      </c>
      <c r="B842" s="897" t="str">
        <f ca="1">IFERROR(_xlfn.CONCAT("C",MATCH(A842,INDIRECT("'"&amp;E842&amp;"'!C"&amp;$O$832&amp;":C"&amp;$O$834),0)+$O$832-1),"")</f>
        <v>C215</v>
      </c>
      <c r="C842" s="897" t="str">
        <f ca="1">IFERROR(_xlfn.CONCAT("D",MATCH(A842,INDIRECT("'"&amp;E842&amp;"'!C"&amp;$O$832&amp;":C"&amp;$O$834),0)+$O$832-1),"")</f>
        <v>D215</v>
      </c>
      <c r="D842" s="897" t="s">
        <v>1367</v>
      </c>
      <c r="E842" s="897" t="s">
        <v>1535</v>
      </c>
      <c r="F842" s="1409" t="s">
        <v>1403</v>
      </c>
      <c r="G842" s="1409" t="str">
        <f>IF(T842&lt;&gt;"","D","")</f>
        <v/>
      </c>
      <c r="H842" s="1409" t="s">
        <v>1926</v>
      </c>
      <c r="I842" s="857" t="str">
        <f t="shared" si="154"/>
        <v/>
      </c>
      <c r="J842" s="1409"/>
      <c r="K842" s="1409" t="str">
        <f t="shared" si="155"/>
        <v/>
      </c>
      <c r="L842" s="897" t="s">
        <v>1403</v>
      </c>
      <c r="M842" s="1410">
        <v>825</v>
      </c>
      <c r="N842" s="1409"/>
      <c r="O842" s="1408"/>
      <c r="P842" s="1408"/>
      <c r="Q842" s="1408"/>
      <c r="R842" s="1409" t="s">
        <v>1550</v>
      </c>
      <c r="S842" s="1408"/>
      <c r="T842" s="1409" t="str">
        <f t="shared" si="150"/>
        <v/>
      </c>
      <c r="U842" s="1408"/>
      <c r="V842" s="1408"/>
      <c r="W842" s="1408"/>
      <c r="X842" s="1408"/>
      <c r="Y842" s="1408"/>
      <c r="Z842" s="1408"/>
      <c r="AA842" s="1408"/>
    </row>
    <row r="843" spans="1:27" x14ac:dyDescent="0.25">
      <c r="A843" s="926" t="s">
        <v>1514</v>
      </c>
      <c r="B843" s="897" t="str">
        <f ca="1">IFERROR(_xlfn.CONCAT("C",MATCH(A843,INDIRECT("'"&amp;E843&amp;"'!C"&amp;$O$832&amp;":C"&amp;$O$834),0)+$O$832-1),"")</f>
        <v>C219</v>
      </c>
      <c r="C843" s="897" t="str">
        <f ca="1">IFERROR(_xlfn.CONCAT("D",MATCH(A843,INDIRECT("'"&amp;E843&amp;"'!C"&amp;$O$832&amp;":C"&amp;$O$834),0)+$O$832-1),"")</f>
        <v>D219</v>
      </c>
      <c r="D843" s="897" t="s">
        <v>1367</v>
      </c>
      <c r="E843" s="897" t="s">
        <v>1535</v>
      </c>
      <c r="F843" s="1409" t="s">
        <v>1514</v>
      </c>
      <c r="G843" s="1409" t="str">
        <f>IF(T843&lt;&gt;"","AN","")</f>
        <v/>
      </c>
      <c r="H843" s="1409" t="s">
        <v>1926</v>
      </c>
      <c r="I843" s="857" t="str">
        <f t="shared" si="154"/>
        <v/>
      </c>
      <c r="J843" s="1409" t="str">
        <f>IF(M843&lt;&gt;"",IF($Q$832="Yes",Q$1&amp;M843,""))</f>
        <v/>
      </c>
      <c r="K843" s="1409" t="str">
        <f t="shared" si="155"/>
        <v/>
      </c>
      <c r="L843" s="897" t="s">
        <v>1514</v>
      </c>
      <c r="M843" s="1410">
        <v>826</v>
      </c>
      <c r="N843" s="1409"/>
      <c r="O843" s="1408"/>
      <c r="P843" s="1409" t="str" cm="1">
        <f t="array" aca="1" ref="P843" ca="1">_xlfn.CONCAT("F",RIGHT(B843, LEN(B843) - MAX(IF(ISNUMBER(MID(B843, ROW(INDIRECT("1:"&amp;LEN(B843))), 1) *1)=FALSE, ROW(INDIRECT("1:"&amp;LEN(B843))), 0))))</f>
        <v>F219</v>
      </c>
      <c r="Q843" s="1409" t="str" cm="1">
        <f t="array" aca="1" ref="Q843" ca="1">_xlfn.CONCAT("E",RIGHT(C843, LEN(C843) - MAX(IF(ISNUMBER(MID(C843, ROW(INDIRECT("1:"&amp;LEN(C843))), 1) *1)=FALSE, ROW(INDIRECT("1:"&amp;LEN(C843))), 0))))</f>
        <v>E219</v>
      </c>
      <c r="R843" s="1409" t="s">
        <v>1550</v>
      </c>
      <c r="S843" s="1408"/>
      <c r="T843" s="1409" t="str">
        <f t="shared" si="150"/>
        <v/>
      </c>
      <c r="U843" s="1408"/>
      <c r="V843" s="1408"/>
      <c r="W843" s="1408"/>
      <c r="X843" s="1408"/>
      <c r="Y843" s="1408"/>
      <c r="Z843" s="1408"/>
      <c r="AA843" s="1408"/>
    </row>
    <row r="844" spans="1:27" x14ac:dyDescent="0.25">
      <c r="A844" s="926" t="s">
        <v>1511</v>
      </c>
      <c r="B844" s="897" t="str">
        <f ca="1">_xlfn.CONCAT(IFERROR(SUBSTITUTE(ADDRESS(1,MATCH(A844,INDIRECT("'"&amp;E844&amp;"'"&amp;"!A" &amp; $O$832 + 12 &amp; ":Z" &amp; $O$832+ 12),0),4),1,""),""),$O$832 + 12)</f>
        <v>H219</v>
      </c>
      <c r="C844" s="897" t="str">
        <f ca="1">_xlfn.CONCAT(IFERROR(SUBSTITUTE(ADDRESS(1,MATCH(A844,INDIRECT("'"&amp;E844&amp;"'"&amp;"!A" &amp; $O$832 + 12 &amp; ":Z" &amp; $O$832+ 12),0),4),1,""),""),$O$832 + 13)</f>
        <v>H220</v>
      </c>
      <c r="D844" s="897" t="s">
        <v>1367</v>
      </c>
      <c r="E844" s="897" t="s">
        <v>1535</v>
      </c>
      <c r="F844" s="1409" t="s">
        <v>1511</v>
      </c>
      <c r="G844" s="1409" t="str">
        <f>IF(T844&lt;&gt;"","AL","")</f>
        <v/>
      </c>
      <c r="H844" s="1409" t="s">
        <v>1926</v>
      </c>
      <c r="I844" s="857" t="str">
        <f t="shared" si="154"/>
        <v/>
      </c>
      <c r="J844" s="1409" t="str">
        <f>IF(M844&lt;&gt;"",IF($Q$832="Yes",Q$1&amp;M844,""))</f>
        <v/>
      </c>
      <c r="K844" s="1409" t="str">
        <f t="shared" si="155"/>
        <v/>
      </c>
      <c r="L844" s="897" t="s">
        <v>1511</v>
      </c>
      <c r="M844" s="1410">
        <v>827</v>
      </c>
      <c r="N844" s="1409"/>
      <c r="O844" s="1408"/>
      <c r="P844" s="1408"/>
      <c r="Q844" s="1408"/>
      <c r="R844" s="1409" t="s">
        <v>1550</v>
      </c>
      <c r="S844" s="1408"/>
      <c r="T844" s="1409" t="str">
        <f t="shared" si="150"/>
        <v/>
      </c>
      <c r="U844" s="1408"/>
      <c r="V844" s="1408"/>
      <c r="W844" s="1408"/>
      <c r="X844" s="1408"/>
      <c r="Y844" s="1408"/>
      <c r="Z844" s="1408"/>
      <c r="AA844" s="1408"/>
    </row>
    <row r="845" spans="1:27" x14ac:dyDescent="0.25">
      <c r="A845" s="926" t="s">
        <v>1525</v>
      </c>
      <c r="B845" s="897" t="str">
        <f ca="1">_xlfn.CONCAT(IFERROR(SUBSTITUTE(ADDRESS(1,MATCH(A845,INDIRECT("'"&amp;E845&amp;"'"&amp;"!A" &amp; $O$832 + 12 &amp; ":Z" &amp; $O$832+ 12),0),4),1,""),""),$O$832 + 12)</f>
        <v>J219</v>
      </c>
      <c r="C845" s="897" t="str">
        <f ca="1">_xlfn.CONCAT(IFERROR(SUBSTITUTE(ADDRESS(1,MATCH(A845,INDIRECT("'"&amp;E845&amp;"'"&amp;"!A" &amp; $O$832 + 12 &amp; ":Z" &amp; $O$832+ 12),0),4),1,""),""),$O$832 + 13)</f>
        <v>J220</v>
      </c>
      <c r="D845" s="897" t="s">
        <v>1367</v>
      </c>
      <c r="E845" s="897" t="s">
        <v>1535</v>
      </c>
      <c r="F845" s="1409" t="s">
        <v>1932</v>
      </c>
      <c r="G845" s="1409" t="str">
        <f>IF(T845&lt;&gt;"","L","")</f>
        <v/>
      </c>
      <c r="H845" s="1409" t="s">
        <v>1926</v>
      </c>
      <c r="I845" s="857" t="str">
        <f t="shared" si="154"/>
        <v/>
      </c>
      <c r="J845" s="1409" t="str">
        <f>IF(M845&lt;&gt;"",IF($Q$832="Yes",Q$1&amp;M845,""))</f>
        <v/>
      </c>
      <c r="K845" s="1409" t="str">
        <f t="shared" si="155"/>
        <v/>
      </c>
      <c r="L845" s="897" t="s">
        <v>1525</v>
      </c>
      <c r="M845" s="1410">
        <v>828</v>
      </c>
      <c r="N845" s="1409"/>
      <c r="O845" s="1408"/>
      <c r="P845" s="1408"/>
      <c r="Q845" s="1408"/>
      <c r="R845" s="1409" t="s">
        <v>1550</v>
      </c>
      <c r="S845" s="1408"/>
      <c r="T845" s="1409" t="str">
        <f>IF(Q$832="Yes",15,"")</f>
        <v/>
      </c>
      <c r="U845" s="1408"/>
      <c r="V845" s="1408"/>
      <c r="W845" s="1408"/>
      <c r="X845" s="1408"/>
      <c r="Y845" s="1408"/>
      <c r="Z845" s="1408"/>
      <c r="AA845" s="1408"/>
    </row>
    <row r="846" spans="1:27" x14ac:dyDescent="0.25">
      <c r="A846" s="926" t="s">
        <v>1404</v>
      </c>
      <c r="B846" s="897" t="str">
        <f ca="1">_xlfn.IFNA(_xlfn.CONCAT(SUBSTITUTE(ADDRESS(1,MATCH(A846,INDIRECT("'"&amp;E846&amp;"'"&amp;"!A" &amp; $O$832 + 5 &amp; ":Z" &amp; $O$832+ 5),0),4),1,""),$O$832 + 6),"")</f>
        <v>H213</v>
      </c>
      <c r="C846" s="897" t="str">
        <f t="shared" ref="C846:C860" ca="1" si="156">_xlfn.IFNA(SUBSTITUTE(ADDRESS(1,MATCH(A846,INDIRECT("'"&amp;E846&amp;"'"&amp;"!A" &amp; $O$832 + 5 &amp; ":Z" &amp; $O$832+ 5),0),4),1,""),"")</f>
        <v>H</v>
      </c>
      <c r="D846" s="897" t="s">
        <v>1374</v>
      </c>
      <c r="E846" s="897" t="s">
        <v>1535</v>
      </c>
      <c r="F846" s="919"/>
      <c r="G846" s="1409"/>
      <c r="H846" s="1409"/>
      <c r="I846" s="857" t="str">
        <f t="shared" si="154"/>
        <v/>
      </c>
      <c r="J846" s="1409" t="str">
        <f>IF(M846&lt;&gt;"",IF($Q$832="Yes",Q$1&amp;M846,""))</f>
        <v/>
      </c>
      <c r="K846" s="1409" t="str">
        <f t="shared" si="155"/>
        <v/>
      </c>
      <c r="L846" s="897" t="s">
        <v>1404</v>
      </c>
      <c r="M846" s="1410">
        <v>829</v>
      </c>
      <c r="N846" s="1409"/>
      <c r="O846" s="1408"/>
      <c r="P846" s="1408"/>
      <c r="Q846" s="1408"/>
      <c r="R846" s="1409" t="s">
        <v>1550</v>
      </c>
      <c r="S846" s="1408"/>
      <c r="T846" s="1409" t="str">
        <f t="shared" ref="T846:T860" si="157">IF(Q$832="Yes",15,"")</f>
        <v/>
      </c>
      <c r="U846" s="1408"/>
      <c r="V846" s="1408"/>
      <c r="W846" s="1408"/>
      <c r="X846" s="1408"/>
      <c r="Y846" s="1408"/>
      <c r="Z846" s="1408"/>
      <c r="AA846" s="1408"/>
    </row>
    <row r="847" spans="1:27" x14ac:dyDescent="0.25">
      <c r="A847" s="926" t="s">
        <v>1405</v>
      </c>
      <c r="B847" s="897" t="str">
        <f ca="1">_xlfn.IFNA(_xlfn.CONCAT(SUBSTITUTE(ADDRESS(1,MATCH(A847,INDIRECT("'"&amp;E847&amp;"'"&amp;"!A" &amp; $O$832 + 5 &amp; ":Z" &amp; $O$832+ 5),0),4),1,""),$O$832 + 6),"")</f>
        <v>J213</v>
      </c>
      <c r="C847" s="897" t="str">
        <f t="shared" ca="1" si="156"/>
        <v>J</v>
      </c>
      <c r="D847" s="897" t="s">
        <v>1374</v>
      </c>
      <c r="E847" s="897" t="s">
        <v>1535</v>
      </c>
      <c r="F847" s="919"/>
      <c r="G847" s="1409"/>
      <c r="H847" s="1409"/>
      <c r="I847" s="857" t="str">
        <f t="shared" si="154"/>
        <v/>
      </c>
      <c r="J847" s="1409"/>
      <c r="K847" s="1409" t="str">
        <f t="shared" si="155"/>
        <v/>
      </c>
      <c r="L847" s="897" t="s">
        <v>1405</v>
      </c>
      <c r="M847" s="1410">
        <v>830</v>
      </c>
      <c r="N847" s="1409"/>
      <c r="O847" s="1408"/>
      <c r="P847" s="1408"/>
      <c r="Q847" s="1408"/>
      <c r="R847" s="1409" t="s">
        <v>1550</v>
      </c>
      <c r="S847" s="1408"/>
      <c r="T847" s="1409" t="str">
        <f t="shared" si="157"/>
        <v/>
      </c>
      <c r="U847" s="1408"/>
      <c r="V847" s="1408"/>
      <c r="W847" s="1408"/>
      <c r="X847" s="1408"/>
      <c r="Y847" s="1408"/>
      <c r="Z847" s="1408"/>
      <c r="AA847" s="1408"/>
    </row>
    <row r="848" spans="1:27" x14ac:dyDescent="0.25">
      <c r="A848" s="926" t="s">
        <v>1406</v>
      </c>
      <c r="B848" s="897" t="str">
        <f ca="1">_xlfn.IFNA(_xlfn.CONCAT(SUBSTITUTE(ADDRESS(1,MATCH(A848,INDIRECT("'"&amp;E848&amp;"'"&amp;"!A" &amp; $O$832 + 5 &amp; ":Z" &amp; $O$832+ 5),0),4),1,""),$O$832 + 6),"")</f>
        <v>L213</v>
      </c>
      <c r="C848" s="897" t="str">
        <f t="shared" ca="1" si="156"/>
        <v>L</v>
      </c>
      <c r="D848" s="897" t="s">
        <v>1374</v>
      </c>
      <c r="E848" s="897" t="s">
        <v>1535</v>
      </c>
      <c r="F848" s="1424"/>
      <c r="G848" s="1409"/>
      <c r="H848" s="1409"/>
      <c r="I848" s="857" t="str">
        <f t="shared" si="154"/>
        <v/>
      </c>
      <c r="J848" s="1409"/>
      <c r="K848" s="1409" t="str">
        <f t="shared" si="155"/>
        <v/>
      </c>
      <c r="L848" s="897" t="s">
        <v>1406</v>
      </c>
      <c r="M848" s="1410">
        <v>831</v>
      </c>
      <c r="N848" s="1409"/>
      <c r="O848" s="1408"/>
      <c r="P848" s="1408"/>
      <c r="Q848" s="1408"/>
      <c r="R848" s="1409" t="s">
        <v>1550</v>
      </c>
      <c r="S848" s="1408"/>
      <c r="T848" s="1409" t="str">
        <f t="shared" si="157"/>
        <v/>
      </c>
      <c r="U848" s="1408"/>
      <c r="V848" s="1408"/>
      <c r="W848" s="1408"/>
      <c r="X848" s="1408"/>
      <c r="Y848" s="1408"/>
      <c r="Z848" s="1408"/>
      <c r="AA848" s="1408"/>
    </row>
    <row r="849" spans="1:27" x14ac:dyDescent="0.25">
      <c r="A849" s="926" t="s">
        <v>1404</v>
      </c>
      <c r="B849" s="897" t="str">
        <f ca="1">_xlfn.IFNA(_xlfn.CONCAT(SUBSTITUTE(ADDRESS(1,MATCH(A849,INDIRECT("'"&amp;E849&amp;"'"&amp;"!A" &amp; $O$832 + 5 &amp; ":Z" &amp; $O$832+ 5),0),4),1,""),$O$832 + 7),"")</f>
        <v>H214</v>
      </c>
      <c r="C849" s="897" t="str">
        <f t="shared" ca="1" si="156"/>
        <v>H</v>
      </c>
      <c r="D849" s="897" t="s">
        <v>1374</v>
      </c>
      <c r="E849" s="897" t="s">
        <v>1535</v>
      </c>
      <c r="F849" s="1409"/>
      <c r="G849" s="1409"/>
      <c r="H849" s="1409"/>
      <c r="I849" s="857" t="str">
        <f t="shared" si="154"/>
        <v/>
      </c>
      <c r="J849" s="1409" t="str">
        <f>IF(M849&lt;&gt;"",IF($Q$832="Yes",Q$1&amp;M849,""))</f>
        <v/>
      </c>
      <c r="K849" s="1409" t="str">
        <f t="shared" si="155"/>
        <v/>
      </c>
      <c r="L849" s="897" t="s">
        <v>1404</v>
      </c>
      <c r="M849" s="1410">
        <v>832</v>
      </c>
      <c r="N849" s="1409"/>
      <c r="O849" s="1408"/>
      <c r="P849" s="1408"/>
      <c r="Q849" s="1408"/>
      <c r="R849" s="1409" t="s">
        <v>1550</v>
      </c>
      <c r="S849" s="1408"/>
      <c r="T849" s="1409" t="str">
        <f t="shared" si="157"/>
        <v/>
      </c>
      <c r="U849" s="1408"/>
      <c r="V849" s="1408"/>
      <c r="W849" s="1408"/>
      <c r="X849" s="1408"/>
      <c r="Y849" s="1408"/>
      <c r="Z849" s="1408"/>
      <c r="AA849" s="1408"/>
    </row>
    <row r="850" spans="1:27" x14ac:dyDescent="0.25">
      <c r="A850" s="926" t="s">
        <v>1405</v>
      </c>
      <c r="B850" s="897" t="str">
        <f ca="1">_xlfn.IFNA(_xlfn.CONCAT(SUBSTITUTE(ADDRESS(1,MATCH(A850,INDIRECT("'"&amp;E850&amp;"'"&amp;"!A" &amp; $O$832 + 5 &amp; ":Z" &amp; $O$832+ 5),0),4),1,""),$O$832 + 7),"")</f>
        <v>J214</v>
      </c>
      <c r="C850" s="897" t="str">
        <f t="shared" ca="1" si="156"/>
        <v>J</v>
      </c>
      <c r="D850" s="897" t="s">
        <v>1374</v>
      </c>
      <c r="E850" s="897" t="s">
        <v>1535</v>
      </c>
      <c r="F850" s="1409"/>
      <c r="G850" s="1409"/>
      <c r="H850" s="1409"/>
      <c r="I850" s="857" t="str">
        <f t="shared" si="154"/>
        <v/>
      </c>
      <c r="J850" s="1409"/>
      <c r="K850" s="1409" t="str">
        <f t="shared" si="155"/>
        <v/>
      </c>
      <c r="L850" s="897" t="s">
        <v>1405</v>
      </c>
      <c r="M850" s="1410">
        <v>833</v>
      </c>
      <c r="N850" s="1409"/>
      <c r="O850" s="1408"/>
      <c r="P850" s="1408"/>
      <c r="Q850" s="1408"/>
      <c r="R850" s="1409" t="s">
        <v>1550</v>
      </c>
      <c r="S850" s="1408"/>
      <c r="T850" s="1409" t="str">
        <f t="shared" si="157"/>
        <v/>
      </c>
      <c r="U850" s="1408"/>
      <c r="V850" s="1408"/>
      <c r="W850" s="1408"/>
      <c r="X850" s="1408"/>
      <c r="Y850" s="1408"/>
      <c r="Z850" s="1408"/>
      <c r="AA850" s="1408"/>
    </row>
    <row r="851" spans="1:27" x14ac:dyDescent="0.25">
      <c r="A851" s="926" t="s">
        <v>1406</v>
      </c>
      <c r="B851" s="897" t="str">
        <f ca="1">_xlfn.IFNA(_xlfn.CONCAT(SUBSTITUTE(ADDRESS(1,MATCH(A851,INDIRECT("'"&amp;E851&amp;"'"&amp;"!A" &amp; $O$832 + 5 &amp; ":Z" &amp; $O$832+ 5),0),4),1,""),$O$832 + 7),"")</f>
        <v>L214</v>
      </c>
      <c r="C851" s="897" t="str">
        <f t="shared" ca="1" si="156"/>
        <v>L</v>
      </c>
      <c r="D851" s="897" t="s">
        <v>1374</v>
      </c>
      <c r="E851" s="897" t="s">
        <v>1535</v>
      </c>
      <c r="F851" s="1409"/>
      <c r="G851" s="1409"/>
      <c r="H851" s="1409"/>
      <c r="I851" s="857" t="str">
        <f t="shared" si="154"/>
        <v/>
      </c>
      <c r="J851" s="1409"/>
      <c r="K851" s="1409" t="str">
        <f t="shared" si="155"/>
        <v/>
      </c>
      <c r="L851" s="897" t="s">
        <v>1406</v>
      </c>
      <c r="M851" s="1410">
        <v>834</v>
      </c>
      <c r="N851" s="1409"/>
      <c r="O851" s="1408"/>
      <c r="P851" s="1408"/>
      <c r="Q851" s="1408"/>
      <c r="R851" s="1409" t="s">
        <v>1550</v>
      </c>
      <c r="S851" s="1408"/>
      <c r="T851" s="1409" t="str">
        <f t="shared" si="157"/>
        <v/>
      </c>
      <c r="U851" s="1408"/>
      <c r="V851" s="1408"/>
      <c r="W851" s="1408"/>
      <c r="X851" s="1408"/>
      <c r="Y851" s="1408"/>
      <c r="Z851" s="1408"/>
      <c r="AA851" s="1408"/>
    </row>
    <row r="852" spans="1:27" x14ac:dyDescent="0.25">
      <c r="A852" s="926" t="s">
        <v>1404</v>
      </c>
      <c r="B852" s="897" t="str">
        <f ca="1">_xlfn.IFNA(_xlfn.CONCAT(SUBSTITUTE(ADDRESS(1,MATCH(A852,INDIRECT("'"&amp;E852&amp;"'"&amp;"!A" &amp; $O$832 + 5 &amp; ":Z" &amp; $O$832+ 5),0),4),1,""),$O$832 + 8),"")</f>
        <v>H215</v>
      </c>
      <c r="C852" s="897" t="str">
        <f t="shared" ca="1" si="156"/>
        <v>H</v>
      </c>
      <c r="D852" s="897" t="s">
        <v>1374</v>
      </c>
      <c r="E852" s="897" t="s">
        <v>1535</v>
      </c>
      <c r="F852" s="1409"/>
      <c r="G852" s="1409"/>
      <c r="H852" s="1409"/>
      <c r="I852" s="857" t="str">
        <f t="shared" si="154"/>
        <v/>
      </c>
      <c r="J852" s="1409" t="str">
        <f>IF(M852&lt;&gt;"",IF($Q$832="Yes",Q$1&amp;M852,""))</f>
        <v/>
      </c>
      <c r="K852" s="1409" t="str">
        <f t="shared" si="155"/>
        <v/>
      </c>
      <c r="L852" s="897" t="s">
        <v>1404</v>
      </c>
      <c r="M852" s="1410">
        <v>835</v>
      </c>
      <c r="N852" s="1409"/>
      <c r="O852" s="1408"/>
      <c r="P852" s="1408"/>
      <c r="Q852" s="1408"/>
      <c r="R852" s="1409" t="s">
        <v>1550</v>
      </c>
      <c r="S852" s="1408"/>
      <c r="T852" s="1409" t="str">
        <f t="shared" si="157"/>
        <v/>
      </c>
      <c r="U852" s="1408"/>
      <c r="V852" s="1408"/>
      <c r="W852" s="1408"/>
      <c r="X852" s="1408"/>
      <c r="Y852" s="1408"/>
      <c r="Z852" s="1408"/>
      <c r="AA852" s="1408"/>
    </row>
    <row r="853" spans="1:27" x14ac:dyDescent="0.25">
      <c r="A853" s="926" t="s">
        <v>1405</v>
      </c>
      <c r="B853" s="897" t="str">
        <f ca="1">_xlfn.IFNA(_xlfn.CONCAT(SUBSTITUTE(ADDRESS(1,MATCH(A853,INDIRECT("'"&amp;E853&amp;"'"&amp;"!A" &amp; $O$832 + 5 &amp; ":Z" &amp; $O$832+ 5),0),4),1,""),$O$832 + 8),"")</f>
        <v>J215</v>
      </c>
      <c r="C853" s="897" t="str">
        <f t="shared" ca="1" si="156"/>
        <v>J</v>
      </c>
      <c r="D853" s="897" t="s">
        <v>1374</v>
      </c>
      <c r="E853" s="897" t="s">
        <v>1535</v>
      </c>
      <c r="F853" s="1409"/>
      <c r="G853" s="1409"/>
      <c r="H853" s="1409"/>
      <c r="I853" s="857" t="str">
        <f t="shared" si="154"/>
        <v/>
      </c>
      <c r="J853" s="1409"/>
      <c r="K853" s="1409" t="str">
        <f t="shared" si="155"/>
        <v/>
      </c>
      <c r="L853" s="897" t="s">
        <v>1405</v>
      </c>
      <c r="M853" s="1410">
        <v>836</v>
      </c>
      <c r="N853" s="1409"/>
      <c r="O853" s="1408"/>
      <c r="P853" s="1408"/>
      <c r="Q853" s="1408"/>
      <c r="R853" s="1409" t="s">
        <v>1550</v>
      </c>
      <c r="S853" s="1408"/>
      <c r="T853" s="1409" t="str">
        <f t="shared" si="157"/>
        <v/>
      </c>
      <c r="U853" s="1408"/>
      <c r="V853" s="1408"/>
      <c r="W853" s="1408"/>
      <c r="X853" s="1408"/>
      <c r="Y853" s="1408"/>
      <c r="Z853" s="1408"/>
      <c r="AA853" s="1408"/>
    </row>
    <row r="854" spans="1:27" x14ac:dyDescent="0.25">
      <c r="A854" s="926" t="s">
        <v>1406</v>
      </c>
      <c r="B854" s="897" t="str">
        <f ca="1">_xlfn.IFNA(_xlfn.CONCAT(SUBSTITUTE(ADDRESS(1,MATCH(A854,INDIRECT("'"&amp;E854&amp;"'"&amp;"!A" &amp; $O$832 + 5 &amp; ":Z" &amp; $O$832+ 5),0),4),1,""),$O$832 + 8),"")</f>
        <v>L215</v>
      </c>
      <c r="C854" s="897" t="str">
        <f t="shared" ca="1" si="156"/>
        <v>L</v>
      </c>
      <c r="D854" s="897" t="s">
        <v>1374</v>
      </c>
      <c r="E854" s="897" t="s">
        <v>1535</v>
      </c>
      <c r="F854" s="1409"/>
      <c r="G854" s="1409"/>
      <c r="H854" s="1409"/>
      <c r="I854" s="857" t="str">
        <f t="shared" si="154"/>
        <v/>
      </c>
      <c r="J854" s="1409"/>
      <c r="K854" s="1409" t="str">
        <f t="shared" si="155"/>
        <v/>
      </c>
      <c r="L854" s="897" t="s">
        <v>1406</v>
      </c>
      <c r="M854" s="1410">
        <v>837</v>
      </c>
      <c r="N854" s="1409"/>
      <c r="O854" s="1408"/>
      <c r="P854" s="1408"/>
      <c r="Q854" s="1408"/>
      <c r="R854" s="1409" t="s">
        <v>1550</v>
      </c>
      <c r="S854" s="1408"/>
      <c r="T854" s="1409" t="str">
        <f t="shared" si="157"/>
        <v/>
      </c>
      <c r="U854" s="1408"/>
      <c r="V854" s="1408"/>
      <c r="W854" s="1408"/>
      <c r="X854" s="1408"/>
      <c r="Y854" s="1408"/>
      <c r="Z854" s="1408"/>
      <c r="AA854" s="1408"/>
    </row>
    <row r="855" spans="1:27" x14ac:dyDescent="0.25">
      <c r="A855" s="926" t="s">
        <v>1404</v>
      </c>
      <c r="B855" s="897" t="str">
        <f ca="1">_xlfn.IFNA(_xlfn.CONCAT(SUBSTITUTE(ADDRESS(1,MATCH(A855,INDIRECT("'"&amp;E855&amp;"'"&amp;"!A" &amp; $O$832 + 5 &amp; ":Z" &amp; $O$832+ 5),0),4),1,""),$O$832 + 9),"")</f>
        <v>H216</v>
      </c>
      <c r="C855" s="897" t="str">
        <f t="shared" ca="1" si="156"/>
        <v>H</v>
      </c>
      <c r="D855" s="897" t="s">
        <v>1374</v>
      </c>
      <c r="E855" s="897" t="s">
        <v>1535</v>
      </c>
      <c r="F855" s="1409"/>
      <c r="G855" s="1409"/>
      <c r="H855" s="1409"/>
      <c r="I855" s="857" t="str">
        <f t="shared" si="154"/>
        <v/>
      </c>
      <c r="J855" s="1409" t="str">
        <f>IF(M855&lt;&gt;"",IF($Q$832="Yes",Q$1&amp;M855,""))</f>
        <v/>
      </c>
      <c r="K855" s="1409" t="str">
        <f t="shared" si="155"/>
        <v/>
      </c>
      <c r="L855" s="897" t="s">
        <v>1404</v>
      </c>
      <c r="M855" s="1410">
        <v>838</v>
      </c>
      <c r="N855" s="1409"/>
      <c r="O855" s="1408"/>
      <c r="P855" s="1408"/>
      <c r="Q855" s="1408"/>
      <c r="R855" s="1409" t="s">
        <v>1550</v>
      </c>
      <c r="S855" s="1408"/>
      <c r="T855" s="1409" t="str">
        <f t="shared" si="157"/>
        <v/>
      </c>
      <c r="U855" s="1408"/>
      <c r="V855" s="1408"/>
      <c r="W855" s="1408"/>
      <c r="X855" s="1408"/>
      <c r="Y855" s="1408"/>
      <c r="Z855" s="1408"/>
      <c r="AA855" s="1408"/>
    </row>
    <row r="856" spans="1:27" x14ac:dyDescent="0.25">
      <c r="A856" s="926" t="s">
        <v>1405</v>
      </c>
      <c r="B856" s="897" t="str">
        <f ca="1">_xlfn.IFNA(_xlfn.CONCAT(SUBSTITUTE(ADDRESS(1,MATCH(A856,INDIRECT("'"&amp;E856&amp;"'"&amp;"!A" &amp; $O$832 + 5 &amp; ":Z" &amp; $O$832+ 5),0),4),1,""),$O$832 + 9),"")</f>
        <v>J216</v>
      </c>
      <c r="C856" s="897" t="str">
        <f t="shared" ca="1" si="156"/>
        <v>J</v>
      </c>
      <c r="D856" s="897" t="s">
        <v>1374</v>
      </c>
      <c r="E856" s="897" t="s">
        <v>1535</v>
      </c>
      <c r="F856" s="1409"/>
      <c r="G856" s="1409"/>
      <c r="H856" s="1409"/>
      <c r="I856" s="857" t="str">
        <f t="shared" si="154"/>
        <v/>
      </c>
      <c r="J856" s="1409"/>
      <c r="K856" s="1409" t="str">
        <f t="shared" si="155"/>
        <v/>
      </c>
      <c r="L856" s="897" t="s">
        <v>1405</v>
      </c>
      <c r="M856" s="1410">
        <v>839</v>
      </c>
      <c r="N856" s="1409"/>
      <c r="O856" s="1408"/>
      <c r="P856" s="1408"/>
      <c r="Q856" s="1408"/>
      <c r="R856" s="1409" t="s">
        <v>1550</v>
      </c>
      <c r="S856" s="1408"/>
      <c r="T856" s="1409" t="str">
        <f t="shared" si="157"/>
        <v/>
      </c>
      <c r="U856" s="1408"/>
      <c r="V856" s="1408"/>
      <c r="W856" s="1408"/>
      <c r="X856" s="1408"/>
      <c r="Y856" s="1408"/>
      <c r="Z856" s="1408"/>
      <c r="AA856" s="1408"/>
    </row>
    <row r="857" spans="1:27" x14ac:dyDescent="0.25">
      <c r="A857" s="926" t="s">
        <v>1406</v>
      </c>
      <c r="B857" s="897" t="str">
        <f ca="1">_xlfn.IFNA(_xlfn.CONCAT(SUBSTITUTE(ADDRESS(1,MATCH(A857,INDIRECT("'"&amp;E857&amp;"'"&amp;"!A" &amp; $O$832 + 5 &amp; ":Z" &amp; $O$832+ 5),0),4),1,""),$O$832 + 9),"")</f>
        <v>L216</v>
      </c>
      <c r="C857" s="897" t="str">
        <f t="shared" ca="1" si="156"/>
        <v>L</v>
      </c>
      <c r="D857" s="897" t="s">
        <v>1374</v>
      </c>
      <c r="E857" s="897" t="s">
        <v>1535</v>
      </c>
      <c r="F857" s="1409"/>
      <c r="G857" s="1409"/>
      <c r="H857" s="1409"/>
      <c r="I857" s="857" t="str">
        <f t="shared" si="154"/>
        <v/>
      </c>
      <c r="J857" s="1409"/>
      <c r="K857" s="1409" t="str">
        <f t="shared" si="155"/>
        <v/>
      </c>
      <c r="L857" s="897" t="s">
        <v>1406</v>
      </c>
      <c r="M857" s="1410">
        <v>840</v>
      </c>
      <c r="N857" s="1409"/>
      <c r="O857" s="1408"/>
      <c r="P857" s="1408"/>
      <c r="Q857" s="1408"/>
      <c r="R857" s="1409" t="s">
        <v>1550</v>
      </c>
      <c r="S857" s="1408"/>
      <c r="T857" s="1409" t="str">
        <f t="shared" si="157"/>
        <v/>
      </c>
      <c r="U857" s="1408"/>
      <c r="V857" s="1408"/>
      <c r="W857" s="1408"/>
      <c r="X857" s="1408"/>
      <c r="Y857" s="1408"/>
      <c r="Z857" s="1408"/>
      <c r="AA857" s="1408"/>
    </row>
    <row r="858" spans="1:27" x14ac:dyDescent="0.25">
      <c r="A858" s="926" t="s">
        <v>1404</v>
      </c>
      <c r="B858" s="897" t="str">
        <f ca="1">_xlfn.IFNA(_xlfn.CONCAT(SUBSTITUTE(ADDRESS(1,MATCH(A858,INDIRECT("'"&amp;E858&amp;"'"&amp;"!A" &amp; $O$832 + 5 &amp; ":Z" &amp; $O$832+ 5),0),4),1,""),$O$832 + 10),"")</f>
        <v>H217</v>
      </c>
      <c r="C858" s="897" t="str">
        <f t="shared" ca="1" si="156"/>
        <v>H</v>
      </c>
      <c r="D858" s="897" t="s">
        <v>1374</v>
      </c>
      <c r="E858" s="897" t="s">
        <v>1535</v>
      </c>
      <c r="F858" s="1409"/>
      <c r="G858" s="1409"/>
      <c r="H858" s="1409"/>
      <c r="I858" s="857" t="str">
        <f t="shared" si="154"/>
        <v/>
      </c>
      <c r="J858" s="1409" t="str">
        <f>IF(M858&lt;&gt;"",IF($Q$832="Yes",Q$1&amp;M858,""))</f>
        <v/>
      </c>
      <c r="K858" s="1409" t="str">
        <f t="shared" si="155"/>
        <v/>
      </c>
      <c r="L858" s="897" t="s">
        <v>1404</v>
      </c>
      <c r="M858" s="1410">
        <v>841</v>
      </c>
      <c r="N858" s="1409"/>
      <c r="O858" s="1408"/>
      <c r="P858" s="1408"/>
      <c r="Q858" s="1408"/>
      <c r="R858" s="1409" t="s">
        <v>1550</v>
      </c>
      <c r="S858" s="1408"/>
      <c r="T858" s="1409" t="str">
        <f t="shared" si="157"/>
        <v/>
      </c>
      <c r="U858" s="1408"/>
      <c r="V858" s="1408"/>
      <c r="W858" s="1408"/>
      <c r="X858" s="1408"/>
      <c r="Y858" s="1408"/>
      <c r="Z858" s="1408"/>
      <c r="AA858" s="1408"/>
    </row>
    <row r="859" spans="1:27" x14ac:dyDescent="0.25">
      <c r="A859" s="926" t="s">
        <v>1405</v>
      </c>
      <c r="B859" s="897" t="str">
        <f ca="1">_xlfn.IFNA(_xlfn.CONCAT(SUBSTITUTE(ADDRESS(1,MATCH(A859,INDIRECT("'"&amp;E859&amp;"'"&amp;"!A" &amp; $O$832 + 5 &amp; ":Z" &amp; $O$832+ 5),0),4),1,""),$O$832 + 10),"")</f>
        <v>J217</v>
      </c>
      <c r="C859" s="897" t="str">
        <f t="shared" ca="1" si="156"/>
        <v>J</v>
      </c>
      <c r="D859" s="897" t="s">
        <v>1374</v>
      </c>
      <c r="E859" s="897" t="s">
        <v>1535</v>
      </c>
      <c r="F859" s="1409"/>
      <c r="G859" s="1409"/>
      <c r="H859" s="1409"/>
      <c r="I859" s="857" t="str">
        <f t="shared" si="154"/>
        <v/>
      </c>
      <c r="J859" s="1409"/>
      <c r="K859" s="1409" t="str">
        <f t="shared" si="155"/>
        <v/>
      </c>
      <c r="L859" s="897" t="s">
        <v>1405</v>
      </c>
      <c r="M859" s="1410">
        <v>842</v>
      </c>
      <c r="N859" s="1409"/>
      <c r="O859" s="1408"/>
      <c r="P859" s="1408"/>
      <c r="Q859" s="1408"/>
      <c r="R859" s="1409" t="s">
        <v>1550</v>
      </c>
      <c r="S859" s="1408"/>
      <c r="T859" s="1409" t="str">
        <f t="shared" si="157"/>
        <v/>
      </c>
      <c r="U859" s="1408"/>
      <c r="V859" s="1408"/>
      <c r="W859" s="1408"/>
      <c r="X859" s="1408"/>
      <c r="Y859" s="1408"/>
      <c r="Z859" s="1408"/>
      <c r="AA859" s="1408"/>
    </row>
    <row r="860" spans="1:27" x14ac:dyDescent="0.25">
      <c r="A860" s="926" t="s">
        <v>1406</v>
      </c>
      <c r="B860" s="897" t="str">
        <f ca="1">_xlfn.IFNA(_xlfn.CONCAT(SUBSTITUTE(ADDRESS(1,MATCH(A860,INDIRECT("'"&amp;E860&amp;"'"&amp;"!A" &amp; $O$832 + 5 &amp; ":Z" &amp; $O$832+ 5),0),4),1,""),$O$832 + 10),"")</f>
        <v>L217</v>
      </c>
      <c r="C860" s="897" t="str">
        <f t="shared" ca="1" si="156"/>
        <v>L</v>
      </c>
      <c r="D860" s="897" t="s">
        <v>1374</v>
      </c>
      <c r="E860" s="897" t="s">
        <v>1535</v>
      </c>
      <c r="F860" s="1409"/>
      <c r="G860" s="1409"/>
      <c r="H860" s="1409"/>
      <c r="I860" s="857" t="str">
        <f t="shared" si="154"/>
        <v/>
      </c>
      <c r="J860" s="1409"/>
      <c r="K860" s="1409" t="str">
        <f t="shared" si="155"/>
        <v/>
      </c>
      <c r="L860" s="897" t="s">
        <v>1406</v>
      </c>
      <c r="M860" s="1410">
        <v>843</v>
      </c>
      <c r="N860" s="1409"/>
      <c r="O860" s="1408"/>
      <c r="P860" s="1408"/>
      <c r="Q860" s="1408"/>
      <c r="R860" s="1409" t="s">
        <v>1550</v>
      </c>
      <c r="S860" s="1408"/>
      <c r="T860" s="1409" t="str">
        <f t="shared" si="157"/>
        <v/>
      </c>
      <c r="U860" s="1408"/>
      <c r="V860" s="1408"/>
      <c r="W860" s="1408"/>
      <c r="X860" s="1408"/>
      <c r="Y860" s="1408"/>
      <c r="Z860" s="1408"/>
      <c r="AA860" s="1408"/>
    </row>
    <row r="861" spans="1:27" x14ac:dyDescent="0.25">
      <c r="A861" s="929" t="s">
        <v>1510</v>
      </c>
      <c r="B861" s="897" t="str">
        <f ca="1">IFERROR(_xlfn.CONCAT("C",MATCH(A861,INDIRECT("'"&amp;E861&amp;"'!C"&amp;$O$862&amp;":C"&amp;$O$864),0)+$O$862-1),"")</f>
        <v>C227</v>
      </c>
      <c r="C861" s="897" t="str">
        <f ca="1">IFERROR(_xlfn.CONCAT("D",MATCH(A861,INDIRECT("'"&amp;E861&amp;"'!C"&amp;$O$862&amp;":C"&amp;$O$864),0)+$O$862-1),"")</f>
        <v>D227</v>
      </c>
      <c r="D861" s="897" t="s">
        <v>1367</v>
      </c>
      <c r="E861" s="897" t="s">
        <v>1535</v>
      </c>
      <c r="F861" s="1409" t="s">
        <v>1510</v>
      </c>
      <c r="G861" s="1409" t="str">
        <f>IF(T861&lt;&gt;"","A","")</f>
        <v/>
      </c>
      <c r="H861" s="1409" t="s">
        <v>1926</v>
      </c>
      <c r="I861" s="857" t="str">
        <f t="shared" si="154"/>
        <v/>
      </c>
      <c r="J861" s="1409"/>
      <c r="K861" s="1409" t="str">
        <f t="shared" si="155"/>
        <v/>
      </c>
      <c r="L861" s="897" t="s">
        <v>1510</v>
      </c>
      <c r="M861" s="1410">
        <v>844</v>
      </c>
      <c r="N861" s="1409"/>
      <c r="O861" s="1408" t="s">
        <v>726</v>
      </c>
      <c r="P861" s="1408"/>
      <c r="Q861" s="1408"/>
      <c r="R861" s="1409" t="s">
        <v>1550</v>
      </c>
      <c r="S861" s="1408"/>
      <c r="T861" s="1409" t="str">
        <f t="shared" ref="T861:T890" si="158">IF(Q$862="Yes",16,"")</f>
        <v/>
      </c>
      <c r="U861" s="1408"/>
      <c r="V861" s="1408"/>
      <c r="W861" s="1408"/>
      <c r="X861" s="1408"/>
      <c r="Y861" s="1408"/>
      <c r="Z861" s="1408"/>
      <c r="AA861" s="1408"/>
    </row>
    <row r="862" spans="1:27" x14ac:dyDescent="0.25">
      <c r="A862" s="929" t="s">
        <v>1724</v>
      </c>
      <c r="B862" s="897" t="str">
        <f ca="1">_xlfn.CONCAT(IFERROR(SUBSTITUTE(ADDRESS(1,MATCH(A862,INDIRECT("'"&amp;E862&amp;"'"&amp;"!A" &amp; $O$862 + 12 &amp; ":Z" &amp; $O$862+ 12),0),4),1,""),""),$O$862 + 12)</f>
        <v>T235</v>
      </c>
      <c r="C862" s="897" t="str">
        <f ca="1">_xlfn.CONCAT(IFERROR(SUBSTITUTE(ADDRESS(1,MATCH(A862,INDIRECT("'"&amp;E862&amp;"'"&amp;"!A" &amp; $O$862 + 12 &amp; ":Z" &amp; $O$862+ 12),0),4),1,""),""),$O$862 + 13)</f>
        <v>T236</v>
      </c>
      <c r="D862" s="897" t="s">
        <v>1367</v>
      </c>
      <c r="E862" s="897" t="s">
        <v>1535</v>
      </c>
      <c r="F862" s="1409"/>
      <c r="G862" s="1409"/>
      <c r="H862" s="1409"/>
      <c r="I862" s="857" t="str">
        <f t="shared" si="154"/>
        <v/>
      </c>
      <c r="J862" s="1409" t="str">
        <f t="shared" ref="J862:J888" si="159">IF(M862&lt;&gt;"",IF($Q$862="Yes",Q$1&amp;M862,""))</f>
        <v/>
      </c>
      <c r="K862" s="1409" t="str">
        <f t="shared" si="155"/>
        <v/>
      </c>
      <c r="L862" s="897" t="s">
        <v>1724</v>
      </c>
      <c r="M862" s="1410">
        <v>845</v>
      </c>
      <c r="N862" s="1409"/>
      <c r="O862" s="1408">
        <f>'Configurable Tab'!H18</f>
        <v>223</v>
      </c>
      <c r="P862" s="1408">
        <f>'Configurable Tab'!J18</f>
        <v>0</v>
      </c>
      <c r="Q862" s="1408" t="s">
        <v>649</v>
      </c>
      <c r="R862" s="1409" t="s">
        <v>1550</v>
      </c>
      <c r="S862" s="1408"/>
      <c r="T862" s="1409" t="str">
        <f t="shared" si="158"/>
        <v/>
      </c>
      <c r="U862" s="1408"/>
      <c r="V862" s="1408"/>
      <c r="W862" s="1408"/>
      <c r="X862" s="1408"/>
      <c r="Y862" s="1408"/>
      <c r="Z862" s="1408"/>
      <c r="AA862" s="1408"/>
    </row>
    <row r="863" spans="1:27" x14ac:dyDescent="0.25">
      <c r="A863" s="929" t="s">
        <v>1400</v>
      </c>
      <c r="B863" s="897" t="str">
        <f ca="1">IFERROR(_xlfn.CONCAT("C",MATCH(A863,INDIRECT("'"&amp;E863&amp;"'!C"&amp;$O$862&amp;":C"&amp;$O$864),0)+$O$862-1),"")</f>
        <v>C225</v>
      </c>
      <c r="C863" s="897" t="str">
        <f ca="1">IFERROR(_xlfn.CONCAT("D",MATCH(A863,INDIRECT("'"&amp;E863&amp;"'!C"&amp;$O$862&amp;":C"&amp;$O$864),0)+$O$862-1),"")</f>
        <v>D225</v>
      </c>
      <c r="D863" s="897" t="s">
        <v>1367</v>
      </c>
      <c r="E863" s="897" t="s">
        <v>1535</v>
      </c>
      <c r="F863" s="1409" t="s">
        <v>1400</v>
      </c>
      <c r="G863" s="1409" t="str">
        <f>IF(T863&lt;&gt;"","B","")</f>
        <v/>
      </c>
      <c r="H863" s="1409" t="s">
        <v>1926</v>
      </c>
      <c r="I863" s="857" t="str">
        <f t="shared" si="154"/>
        <v/>
      </c>
      <c r="J863" s="1409"/>
      <c r="K863" s="1409" t="str">
        <f t="shared" si="155"/>
        <v/>
      </c>
      <c r="L863" s="897" t="s">
        <v>1400</v>
      </c>
      <c r="M863" s="1410">
        <v>846</v>
      </c>
      <c r="N863" s="1409"/>
      <c r="O863" s="1408" t="s">
        <v>727</v>
      </c>
      <c r="P863" s="1408"/>
      <c r="Q863" s="1408"/>
      <c r="R863" s="1409" t="s">
        <v>1550</v>
      </c>
      <c r="S863" s="1408"/>
      <c r="T863" s="1409" t="str">
        <f t="shared" si="158"/>
        <v/>
      </c>
      <c r="U863" s="1408"/>
      <c r="V863" s="1408"/>
      <c r="W863" s="1408"/>
      <c r="X863" s="1408"/>
      <c r="Y863" s="1408"/>
      <c r="Z863" s="1408"/>
      <c r="AA863" s="1408"/>
    </row>
    <row r="864" spans="1:27" x14ac:dyDescent="0.25">
      <c r="A864" s="929" t="s">
        <v>1397</v>
      </c>
      <c r="B864" s="897" t="str">
        <f t="shared" ref="B864:B870" ca="1" si="160">_xlfn.CONCAT(IFERROR(SUBSTITUTE(ADDRESS(1,MATCH(A864,INDIRECT("'"&amp;E864&amp;"'"&amp;"!A" &amp; $O$862 + 2 &amp; ":Z" &amp; $O$862+ 2),0),4),1,""),""),$O$862 + 2)</f>
        <v>H225</v>
      </c>
      <c r="C864" s="897" t="str">
        <f t="shared" ref="C864:C870" ca="1" si="161">_xlfn.CONCAT(IFERROR(SUBSTITUTE(ADDRESS(1,MATCH(A864,INDIRECT("'"&amp;E864&amp;"'"&amp;"!A" &amp; $O$862 + 2 &amp; ":Z" &amp; $O$862+ 2),0),4),1,""),""),$O$862 + 3)</f>
        <v>H226</v>
      </c>
      <c r="D864" s="897" t="s">
        <v>1367</v>
      </c>
      <c r="E864" s="897" t="s">
        <v>1535</v>
      </c>
      <c r="F864" s="1409" t="s">
        <v>1927</v>
      </c>
      <c r="G864" s="1409" t="str">
        <f>IF(T864&lt;&gt;"","E","")</f>
        <v/>
      </c>
      <c r="H864" s="1409" t="s">
        <v>1926</v>
      </c>
      <c r="I864" s="857" t="str">
        <f t="shared" si="154"/>
        <v/>
      </c>
      <c r="J864" s="1409" t="str">
        <f t="shared" si="159"/>
        <v/>
      </c>
      <c r="K864" s="1409" t="str">
        <f t="shared" si="155"/>
        <v/>
      </c>
      <c r="L864" s="897" t="s">
        <v>1397</v>
      </c>
      <c r="M864" s="1410">
        <v>847</v>
      </c>
      <c r="N864" s="1409"/>
      <c r="O864" s="1408">
        <f>'Configurable Tab'!I18</f>
        <v>238</v>
      </c>
      <c r="P864" s="1408"/>
      <c r="Q864" s="1408"/>
      <c r="R864" s="1409" t="s">
        <v>1550</v>
      </c>
      <c r="S864" s="1408"/>
      <c r="T864" s="1409" t="str">
        <f t="shared" si="158"/>
        <v/>
      </c>
      <c r="U864" s="1408"/>
      <c r="V864" s="1408"/>
      <c r="W864" s="1408"/>
      <c r="X864" s="1408"/>
      <c r="Y864" s="1408"/>
      <c r="Z864" s="1408"/>
      <c r="AA864" s="1408"/>
    </row>
    <row r="865" spans="1:27" x14ac:dyDescent="0.25">
      <c r="A865" s="929" t="s">
        <v>1398</v>
      </c>
      <c r="B865" s="897" t="str">
        <f t="shared" ca="1" si="160"/>
        <v>J225</v>
      </c>
      <c r="C865" s="897" t="str">
        <f t="shared" ca="1" si="161"/>
        <v>J226</v>
      </c>
      <c r="D865" s="897" t="s">
        <v>1367</v>
      </c>
      <c r="E865" s="897" t="s">
        <v>1535</v>
      </c>
      <c r="F865" s="1409" t="s">
        <v>1928</v>
      </c>
      <c r="G865" s="1409" t="str">
        <f>IF(T865&lt;&gt;"","I","")</f>
        <v/>
      </c>
      <c r="H865" s="1409" t="s">
        <v>1926</v>
      </c>
      <c r="I865" s="857" t="str">
        <f t="shared" si="154"/>
        <v/>
      </c>
      <c r="J865" s="1409" t="str">
        <f t="shared" si="159"/>
        <v/>
      </c>
      <c r="K865" s="1409" t="str">
        <f t="shared" si="155"/>
        <v/>
      </c>
      <c r="L865" s="897" t="s">
        <v>1398</v>
      </c>
      <c r="M865" s="1410">
        <v>848</v>
      </c>
      <c r="N865" s="1409"/>
      <c r="O865" s="1408" t="s">
        <v>1666</v>
      </c>
      <c r="P865" s="1408"/>
      <c r="Q865" s="1408"/>
      <c r="R865" s="1409" t="s">
        <v>1550</v>
      </c>
      <c r="S865" s="1408"/>
      <c r="T865" s="1409" t="str">
        <f t="shared" si="158"/>
        <v/>
      </c>
      <c r="U865" s="1408"/>
      <c r="V865" s="1408"/>
      <c r="W865" s="1408"/>
      <c r="X865" s="1408"/>
      <c r="Y865" s="1408"/>
      <c r="Z865" s="1408"/>
      <c r="AA865" s="1408"/>
    </row>
    <row r="866" spans="1:27" x14ac:dyDescent="0.25">
      <c r="A866" s="929" t="s">
        <v>1414</v>
      </c>
      <c r="B866" s="897" t="str">
        <f t="shared" ca="1" si="160"/>
        <v>L225</v>
      </c>
      <c r="C866" s="897" t="str">
        <f t="shared" ca="1" si="161"/>
        <v>L226</v>
      </c>
      <c r="D866" s="897" t="s">
        <v>1367</v>
      </c>
      <c r="E866" s="897" t="s">
        <v>1535</v>
      </c>
      <c r="F866" s="1409" t="s">
        <v>1929</v>
      </c>
      <c r="G866" s="1409" t="str">
        <f>IF(T866&lt;&gt;"","H","")</f>
        <v/>
      </c>
      <c r="H866" s="1409" t="s">
        <v>1926</v>
      </c>
      <c r="I866" s="857" t="str">
        <f t="shared" si="154"/>
        <v/>
      </c>
      <c r="J866" s="1409" t="str">
        <f t="shared" si="159"/>
        <v/>
      </c>
      <c r="K866" s="1409" t="str">
        <f t="shared" si="155"/>
        <v/>
      </c>
      <c r="L866" s="897" t="s">
        <v>1414</v>
      </c>
      <c r="M866" s="1410">
        <v>849</v>
      </c>
      <c r="N866" s="1409"/>
      <c r="O866" s="1408"/>
      <c r="P866" s="1408"/>
      <c r="Q866" s="1408"/>
      <c r="R866" s="1409" t="s">
        <v>1550</v>
      </c>
      <c r="S866" s="1408"/>
      <c r="T866" s="1409" t="str">
        <f t="shared" si="158"/>
        <v/>
      </c>
      <c r="U866" s="1408"/>
      <c r="V866" s="1408"/>
      <c r="W866" s="1408"/>
      <c r="X866" s="1408"/>
      <c r="Y866" s="1408"/>
      <c r="Z866" s="1408"/>
      <c r="AA866" s="1408"/>
    </row>
    <row r="867" spans="1:27" x14ac:dyDescent="0.25">
      <c r="A867" s="929" t="s">
        <v>1399</v>
      </c>
      <c r="B867" s="897" t="str">
        <f t="shared" ca="1" si="160"/>
        <v>N225</v>
      </c>
      <c r="C867" s="897" t="str">
        <f t="shared" ca="1" si="161"/>
        <v>N226</v>
      </c>
      <c r="D867" s="897" t="s">
        <v>1367</v>
      </c>
      <c r="E867" s="897" t="s">
        <v>1535</v>
      </c>
      <c r="F867" s="1409" t="s">
        <v>1399</v>
      </c>
      <c r="G867" s="1409" t="str">
        <f>IF(T867&lt;&gt;"",IF(Q865="Credit Memo","J",IF(Q865="Check","K","")),"")</f>
        <v/>
      </c>
      <c r="H867" s="1409" t="s">
        <v>1926</v>
      </c>
      <c r="I867" s="857" t="str">
        <f t="shared" si="154"/>
        <v/>
      </c>
      <c r="J867" s="1409" t="str">
        <f t="shared" si="159"/>
        <v/>
      </c>
      <c r="K867" s="1409" t="str">
        <f t="shared" si="155"/>
        <v/>
      </c>
      <c r="L867" s="897" t="s">
        <v>1399</v>
      </c>
      <c r="M867" s="1410">
        <v>850</v>
      </c>
      <c r="N867" s="1409"/>
      <c r="O867" s="1408"/>
      <c r="P867" s="1408"/>
      <c r="Q867" s="1408"/>
      <c r="R867" s="1409" t="s">
        <v>1550</v>
      </c>
      <c r="S867" s="1408"/>
      <c r="T867" s="1409" t="str">
        <f t="shared" si="158"/>
        <v/>
      </c>
      <c r="U867" s="1408"/>
      <c r="V867" s="1408"/>
      <c r="W867" s="1408"/>
      <c r="X867" s="1408"/>
      <c r="Y867" s="1408"/>
      <c r="Z867" s="1408"/>
      <c r="AA867" s="1408"/>
    </row>
    <row r="868" spans="1:27" x14ac:dyDescent="0.25">
      <c r="A868" s="929" t="s">
        <v>1505</v>
      </c>
      <c r="B868" s="897" t="str">
        <f t="shared" ca="1" si="160"/>
        <v>P225</v>
      </c>
      <c r="C868" s="897" t="str">
        <f t="shared" ca="1" si="161"/>
        <v>P226</v>
      </c>
      <c r="D868" s="897" t="s">
        <v>1367</v>
      </c>
      <c r="E868" s="897" t="s">
        <v>1535</v>
      </c>
      <c r="F868" s="1409" t="s">
        <v>1930</v>
      </c>
      <c r="G868" s="1409" t="str">
        <f>IF(T868&lt;&gt;"","F","")</f>
        <v/>
      </c>
      <c r="H868" s="1409" t="s">
        <v>1926</v>
      </c>
      <c r="I868" s="857" t="str">
        <f t="shared" si="154"/>
        <v/>
      </c>
      <c r="J868" s="1409" t="str">
        <f t="shared" si="159"/>
        <v/>
      </c>
      <c r="K868" s="1409" t="str">
        <f t="shared" si="155"/>
        <v/>
      </c>
      <c r="L868" s="897" t="s">
        <v>1505</v>
      </c>
      <c r="M868" s="1410">
        <v>851</v>
      </c>
      <c r="N868" s="1409"/>
      <c r="O868" s="1408"/>
      <c r="P868" s="1408"/>
      <c r="Q868" s="1408"/>
      <c r="R868" s="1409" t="s">
        <v>1550</v>
      </c>
      <c r="S868" s="1408"/>
      <c r="T868" s="1409" t="str">
        <f t="shared" si="158"/>
        <v/>
      </c>
      <c r="U868" s="1408"/>
      <c r="V868" s="1408"/>
      <c r="W868" s="1408"/>
      <c r="X868" s="1408"/>
      <c r="Y868" s="1408"/>
      <c r="Z868" s="1408"/>
      <c r="AA868" s="1408"/>
    </row>
    <row r="869" spans="1:27" x14ac:dyDescent="0.25">
      <c r="A869" s="929" t="s">
        <v>1506</v>
      </c>
      <c r="B869" s="897" t="str">
        <f t="shared" ca="1" si="160"/>
        <v>R225</v>
      </c>
      <c r="C869" s="897" t="str">
        <f t="shared" ca="1" si="161"/>
        <v>R226</v>
      </c>
      <c r="D869" s="897" t="s">
        <v>1367</v>
      </c>
      <c r="E869" s="897" t="s">
        <v>1535</v>
      </c>
      <c r="F869" s="1409" t="s">
        <v>1931</v>
      </c>
      <c r="G869" s="1409" t="str">
        <f>IF(T869&lt;&gt;"","G","")</f>
        <v/>
      </c>
      <c r="H869" s="1409" t="s">
        <v>1926</v>
      </c>
      <c r="I869" s="857" t="str">
        <f t="shared" si="154"/>
        <v/>
      </c>
      <c r="J869" s="1409" t="str">
        <f t="shared" si="159"/>
        <v/>
      </c>
      <c r="K869" s="1409" t="str">
        <f t="shared" si="155"/>
        <v/>
      </c>
      <c r="L869" s="897" t="s">
        <v>1506</v>
      </c>
      <c r="M869" s="1410">
        <v>852</v>
      </c>
      <c r="N869" s="1409"/>
      <c r="O869" s="1408"/>
      <c r="P869" s="1408"/>
      <c r="Q869" s="1408"/>
      <c r="R869" s="1409" t="s">
        <v>1550</v>
      </c>
      <c r="S869" s="1408"/>
      <c r="T869" s="1409" t="str">
        <f t="shared" si="158"/>
        <v/>
      </c>
      <c r="U869" s="1408"/>
      <c r="V869" s="1408"/>
      <c r="W869" s="1408"/>
      <c r="X869" s="1408"/>
      <c r="Y869" s="1408"/>
      <c r="Z869" s="1408"/>
      <c r="AA869" s="1408"/>
    </row>
    <row r="870" spans="1:27" x14ac:dyDescent="0.25">
      <c r="A870" s="929" t="s">
        <v>1507</v>
      </c>
      <c r="B870" s="897" t="str">
        <f t="shared" ca="1" si="160"/>
        <v>T225</v>
      </c>
      <c r="C870" s="897" t="str">
        <f t="shared" ca="1" si="161"/>
        <v>T226</v>
      </c>
      <c r="D870" s="897" t="s">
        <v>1367</v>
      </c>
      <c r="E870" s="897" t="s">
        <v>1535</v>
      </c>
      <c r="F870" s="919" t="s">
        <v>1507</v>
      </c>
      <c r="G870" s="1409" t="str">
        <f>IF(T870&lt;&gt;"","AW","")</f>
        <v/>
      </c>
      <c r="H870" s="1409" t="s">
        <v>1926</v>
      </c>
      <c r="I870" s="857" t="str">
        <f t="shared" si="154"/>
        <v/>
      </c>
      <c r="J870" s="1409" t="str">
        <f t="shared" si="159"/>
        <v/>
      </c>
      <c r="K870" s="1409" t="str">
        <f t="shared" si="155"/>
        <v/>
      </c>
      <c r="L870" s="897" t="s">
        <v>1507</v>
      </c>
      <c r="M870" s="1410">
        <v>853</v>
      </c>
      <c r="N870" s="1409"/>
      <c r="O870" s="1408"/>
      <c r="P870" s="1408"/>
      <c r="Q870" s="1408"/>
      <c r="R870" s="1409" t="s">
        <v>1550</v>
      </c>
      <c r="S870" s="1408"/>
      <c r="T870" s="1409" t="str">
        <f t="shared" si="158"/>
        <v/>
      </c>
      <c r="U870" s="1408"/>
      <c r="V870" s="1408"/>
      <c r="W870" s="1408"/>
      <c r="X870" s="1408"/>
      <c r="Y870" s="1408"/>
      <c r="Z870" s="1408"/>
      <c r="AA870" s="1408"/>
    </row>
    <row r="871" spans="1:27" x14ac:dyDescent="0.25">
      <c r="A871" s="929" t="s">
        <v>1402</v>
      </c>
      <c r="B871" s="897" t="str">
        <f ca="1">IFERROR(_xlfn.CONCAT("C",MATCH(A871,INDIRECT("'"&amp;E871&amp;"'!C"&amp;$O$862&amp;":C"&amp;$O$864),0)+$O$862-1),"")</f>
        <v>C229</v>
      </c>
      <c r="C871" s="897" t="str">
        <f ca="1">IFERROR(_xlfn.CONCAT("D",MATCH(A871,INDIRECT("'"&amp;E871&amp;"'!C"&amp;$O$862&amp;":C"&amp;$O$864),0)+$O$862-1),"")</f>
        <v>D229</v>
      </c>
      <c r="D871" s="897" t="s">
        <v>1367</v>
      </c>
      <c r="E871" s="897" t="s">
        <v>1535</v>
      </c>
      <c r="F871" s="1409" t="s">
        <v>1402</v>
      </c>
      <c r="G871" s="1409" t="str">
        <f>IF(T871&lt;&gt;"","C","")</f>
        <v/>
      </c>
      <c r="H871" s="1409" t="s">
        <v>1926</v>
      </c>
      <c r="I871" s="857" t="str">
        <f t="shared" si="154"/>
        <v/>
      </c>
      <c r="J871" s="1409"/>
      <c r="K871" s="1409" t="str">
        <f t="shared" si="155"/>
        <v/>
      </c>
      <c r="L871" s="897" t="s">
        <v>1402</v>
      </c>
      <c r="M871" s="1410">
        <v>854</v>
      </c>
      <c r="N871" s="1409"/>
      <c r="O871" s="1408"/>
      <c r="P871" s="1408"/>
      <c r="Q871" s="1408"/>
      <c r="R871" s="1409" t="s">
        <v>1550</v>
      </c>
      <c r="S871" s="1408"/>
      <c r="T871" s="1409" t="str">
        <f t="shared" si="158"/>
        <v/>
      </c>
      <c r="U871" s="1408"/>
      <c r="V871" s="1408"/>
      <c r="W871" s="1408"/>
      <c r="X871" s="1408"/>
      <c r="Y871" s="1408"/>
      <c r="Z871" s="1408"/>
      <c r="AA871" s="1408"/>
    </row>
    <row r="872" spans="1:27" x14ac:dyDescent="0.25">
      <c r="A872" s="929" t="s">
        <v>1403</v>
      </c>
      <c r="B872" s="897" t="str">
        <f ca="1">IFERROR(_xlfn.CONCAT("C",MATCH(A872,INDIRECT("'"&amp;E872&amp;"'!C"&amp;$O$862&amp;":C"&amp;$O$864),0)+$O$862-1),"")</f>
        <v>C231</v>
      </c>
      <c r="C872" s="897" t="str">
        <f ca="1">IFERROR(_xlfn.CONCAT("D",MATCH(A872,INDIRECT("'"&amp;E872&amp;"'!C"&amp;$O$862&amp;":C"&amp;$O$864),0)+$O$862-1),"")</f>
        <v>D231</v>
      </c>
      <c r="D872" s="897" t="s">
        <v>1367</v>
      </c>
      <c r="E872" s="897" t="s">
        <v>1535</v>
      </c>
      <c r="F872" s="1409" t="s">
        <v>1403</v>
      </c>
      <c r="G872" s="1409" t="str">
        <f>IF(T872&lt;&gt;"","D","")</f>
        <v/>
      </c>
      <c r="H872" s="1409" t="s">
        <v>1926</v>
      </c>
      <c r="I872" s="857" t="str">
        <f t="shared" si="154"/>
        <v/>
      </c>
      <c r="J872" s="1409"/>
      <c r="K872" s="1409" t="str">
        <f t="shared" si="155"/>
        <v/>
      </c>
      <c r="L872" s="897" t="s">
        <v>1403</v>
      </c>
      <c r="M872" s="1410">
        <v>855</v>
      </c>
      <c r="N872" s="1409"/>
      <c r="O872" s="1408"/>
      <c r="P872" s="1408"/>
      <c r="Q872" s="1408"/>
      <c r="R872" s="1409" t="s">
        <v>1550</v>
      </c>
      <c r="S872" s="1408"/>
      <c r="T872" s="1409" t="str">
        <f t="shared" si="158"/>
        <v/>
      </c>
      <c r="U872" s="1408"/>
      <c r="V872" s="1408"/>
      <c r="W872" s="1408"/>
      <c r="X872" s="1408"/>
      <c r="Y872" s="1408"/>
      <c r="Z872" s="1408"/>
      <c r="AA872" s="1408"/>
    </row>
    <row r="873" spans="1:27" x14ac:dyDescent="0.25">
      <c r="A873" s="929" t="s">
        <v>1514</v>
      </c>
      <c r="B873" s="897" t="str">
        <f ca="1">IFERROR(_xlfn.CONCAT("C",MATCH(A873,INDIRECT("'"&amp;E873&amp;"'!C"&amp;$O$862&amp;":C"&amp;$O$864),0)+$O$862-1),"")</f>
        <v>C235</v>
      </c>
      <c r="C873" s="897" t="str">
        <f ca="1">IFERROR(_xlfn.CONCAT("D",MATCH(A873,INDIRECT("'"&amp;E873&amp;"'!C"&amp;$O$862&amp;":C"&amp;$O$864),0)+$O$862-1),"")</f>
        <v>D235</v>
      </c>
      <c r="D873" s="897" t="s">
        <v>1367</v>
      </c>
      <c r="E873" s="897" t="s">
        <v>1535</v>
      </c>
      <c r="F873" s="1409" t="s">
        <v>1514</v>
      </c>
      <c r="G873" s="1409" t="str">
        <f>IF(T873&lt;&gt;"","AN","")</f>
        <v/>
      </c>
      <c r="H873" s="1409" t="s">
        <v>1926</v>
      </c>
      <c r="I873" s="857" t="str">
        <f t="shared" si="154"/>
        <v/>
      </c>
      <c r="J873" s="1409" t="str">
        <f t="shared" si="159"/>
        <v/>
      </c>
      <c r="K873" s="1409" t="str">
        <f t="shared" si="155"/>
        <v/>
      </c>
      <c r="L873" s="897" t="s">
        <v>1514</v>
      </c>
      <c r="M873" s="1410">
        <v>856</v>
      </c>
      <c r="N873" s="1409"/>
      <c r="O873" s="1408"/>
      <c r="P873" s="1409" t="str" cm="1">
        <f t="array" aca="1" ref="P873" ca="1">_xlfn.CONCAT("F",RIGHT(B873, LEN(B873) - MAX(IF(ISNUMBER(MID(B873, ROW(INDIRECT("1:"&amp;LEN(B873))), 1) *1)=FALSE, ROW(INDIRECT("1:"&amp;LEN(B873))), 0))))</f>
        <v>F235</v>
      </c>
      <c r="Q873" s="1409" t="str" cm="1">
        <f t="array" aca="1" ref="Q873" ca="1">_xlfn.CONCAT("E",RIGHT(C873, LEN(C873) - MAX(IF(ISNUMBER(MID(C873, ROW(INDIRECT("1:"&amp;LEN(C873))), 1) *1)=FALSE, ROW(INDIRECT("1:"&amp;LEN(C873))), 0))))</f>
        <v>E235</v>
      </c>
      <c r="R873" s="1409" t="s">
        <v>1550</v>
      </c>
      <c r="S873" s="1408"/>
      <c r="T873" s="1409" t="str">
        <f t="shared" si="158"/>
        <v/>
      </c>
      <c r="U873" s="1408"/>
      <c r="V873" s="1408"/>
      <c r="W873" s="1408"/>
      <c r="X873" s="1408"/>
      <c r="Y873" s="1408"/>
      <c r="Z873" s="1408"/>
      <c r="AA873" s="1408"/>
    </row>
    <row r="874" spans="1:27" x14ac:dyDescent="0.25">
      <c r="A874" s="929" t="s">
        <v>1511</v>
      </c>
      <c r="B874" s="897" t="str">
        <f ca="1">_xlfn.CONCAT(IFERROR(SUBSTITUTE(ADDRESS(1,MATCH(A874,INDIRECT("'"&amp;E874&amp;"'"&amp;"!A" &amp; $O$862 + 12 &amp; ":Z" &amp; $O$862+ 12),0),4),1,""),""),$O$862 + 12)</f>
        <v>H235</v>
      </c>
      <c r="C874" s="897" t="str">
        <f ca="1">_xlfn.CONCAT(IFERROR(SUBSTITUTE(ADDRESS(1,MATCH(A874,INDIRECT("'"&amp;E874&amp;"'"&amp;"!A" &amp; $O$862 + 12 &amp; ":Z" &amp; $O$862+ 12),0),4),1,""),""),$O$862 + 13)</f>
        <v>H236</v>
      </c>
      <c r="D874" s="897" t="s">
        <v>1367</v>
      </c>
      <c r="E874" s="897" t="s">
        <v>1535</v>
      </c>
      <c r="F874" s="1409" t="s">
        <v>1511</v>
      </c>
      <c r="G874" s="1409" t="str">
        <f>IF(T874&lt;&gt;"","AL","")</f>
        <v/>
      </c>
      <c r="H874" s="1409" t="s">
        <v>1926</v>
      </c>
      <c r="I874" s="857" t="str">
        <f t="shared" si="154"/>
        <v/>
      </c>
      <c r="J874" s="1409" t="str">
        <f t="shared" si="159"/>
        <v/>
      </c>
      <c r="K874" s="1409" t="str">
        <f t="shared" si="155"/>
        <v/>
      </c>
      <c r="L874" s="897" t="s">
        <v>1511</v>
      </c>
      <c r="M874" s="1410">
        <v>857</v>
      </c>
      <c r="N874" s="1409"/>
      <c r="O874" s="1408"/>
      <c r="P874" s="1408"/>
      <c r="Q874" s="1408"/>
      <c r="R874" s="1409" t="s">
        <v>1550</v>
      </c>
      <c r="S874" s="1408"/>
      <c r="T874" s="1409" t="str">
        <f t="shared" si="158"/>
        <v/>
      </c>
      <c r="U874" s="1408"/>
      <c r="V874" s="1408"/>
      <c r="W874" s="1408"/>
      <c r="X874" s="1408"/>
      <c r="Y874" s="1408"/>
      <c r="Z874" s="1408"/>
      <c r="AA874" s="1408"/>
    </row>
    <row r="875" spans="1:27" x14ac:dyDescent="0.25">
      <c r="A875" s="929" t="s">
        <v>1525</v>
      </c>
      <c r="B875" s="897" t="str">
        <f ca="1">_xlfn.CONCAT(IFERROR(SUBSTITUTE(ADDRESS(1,MATCH(A875,INDIRECT("'"&amp;E875&amp;"'"&amp;"!A" &amp; $O$862 + 12 &amp; ":Z" &amp; $O$862+ 12),0),4),1,""),""),$O$862 + 12)</f>
        <v>J235</v>
      </c>
      <c r="C875" s="897" t="str">
        <f ca="1">_xlfn.CONCAT(IFERROR(SUBSTITUTE(ADDRESS(1,MATCH(A875,INDIRECT("'"&amp;E875&amp;"'"&amp;"!A" &amp; $O$862 + 12 &amp; ":Z" &amp; $O$862+ 12),0),4),1,""),""),$O$862 + 13)</f>
        <v>J236</v>
      </c>
      <c r="D875" s="897" t="s">
        <v>1367</v>
      </c>
      <c r="E875" s="897" t="s">
        <v>1535</v>
      </c>
      <c r="F875" s="1409" t="s">
        <v>1932</v>
      </c>
      <c r="G875" s="1409" t="str">
        <f>IF(T875&lt;&gt;"","L","")</f>
        <v/>
      </c>
      <c r="H875" s="1409" t="s">
        <v>1926</v>
      </c>
      <c r="I875" s="857" t="str">
        <f t="shared" si="154"/>
        <v/>
      </c>
      <c r="J875" s="1409" t="str">
        <f t="shared" si="159"/>
        <v/>
      </c>
      <c r="K875" s="1409" t="str">
        <f t="shared" si="155"/>
        <v/>
      </c>
      <c r="L875" s="897" t="s">
        <v>1525</v>
      </c>
      <c r="M875" s="1410">
        <v>858</v>
      </c>
      <c r="N875" s="1409"/>
      <c r="O875" s="1408"/>
      <c r="P875" s="1408"/>
      <c r="Q875" s="1408"/>
      <c r="R875" s="1409" t="s">
        <v>1550</v>
      </c>
      <c r="S875" s="1408"/>
      <c r="T875" s="1409" t="str">
        <f t="shared" si="158"/>
        <v/>
      </c>
      <c r="U875" s="1408"/>
      <c r="V875" s="1408"/>
      <c r="W875" s="1408"/>
      <c r="X875" s="1408"/>
      <c r="Y875" s="1408"/>
      <c r="Z875" s="1408"/>
      <c r="AA875" s="1408"/>
    </row>
    <row r="876" spans="1:27" x14ac:dyDescent="0.25">
      <c r="A876" s="929" t="s">
        <v>1404</v>
      </c>
      <c r="B876" s="897" t="str">
        <f ca="1">_xlfn.IFNA(_xlfn.CONCAT(SUBSTITUTE(ADDRESS(1,MATCH(A876,INDIRECT("'"&amp;E876&amp;"'"&amp;"!A" &amp; $O$862 + 5 &amp; ":Z" &amp; $O$862+ 5),0),4),1,""),$O$862 + 6),"")</f>
        <v>H229</v>
      </c>
      <c r="C876" s="897" t="str">
        <f t="shared" ref="C876:C890" ca="1" si="162">_xlfn.IFNA(SUBSTITUTE(ADDRESS(1,MATCH(A876,INDIRECT("'"&amp;E876&amp;"'"&amp;"!A" &amp; $O$862 + 5 &amp; ":Z" &amp; $O$862+ 5),0),4),1,""),"")</f>
        <v>H</v>
      </c>
      <c r="D876" s="897" t="s">
        <v>1374</v>
      </c>
      <c r="E876" s="897" t="s">
        <v>1535</v>
      </c>
      <c r="F876" s="919"/>
      <c r="G876" s="1409"/>
      <c r="H876" s="1409"/>
      <c r="I876" s="857" t="str">
        <f t="shared" si="154"/>
        <v/>
      </c>
      <c r="J876" s="1409" t="str">
        <f t="shared" si="159"/>
        <v/>
      </c>
      <c r="K876" s="1409" t="str">
        <f t="shared" si="155"/>
        <v/>
      </c>
      <c r="L876" s="897" t="s">
        <v>1404</v>
      </c>
      <c r="M876" s="1410">
        <v>859</v>
      </c>
      <c r="N876" s="1409"/>
      <c r="O876" s="1408"/>
      <c r="P876" s="1408"/>
      <c r="Q876" s="1408"/>
      <c r="R876" s="1409" t="s">
        <v>1550</v>
      </c>
      <c r="S876" s="1408"/>
      <c r="T876" s="1409" t="str">
        <f t="shared" si="158"/>
        <v/>
      </c>
      <c r="U876" s="1408"/>
      <c r="V876" s="1408"/>
      <c r="W876" s="1408"/>
      <c r="X876" s="1408"/>
      <c r="Y876" s="1408"/>
      <c r="Z876" s="1408"/>
      <c r="AA876" s="1408"/>
    </row>
    <row r="877" spans="1:27" x14ac:dyDescent="0.25">
      <c r="A877" s="929" t="s">
        <v>1405</v>
      </c>
      <c r="B877" s="897" t="str">
        <f ca="1">_xlfn.IFNA(_xlfn.CONCAT(SUBSTITUTE(ADDRESS(1,MATCH(A877,INDIRECT("'"&amp;E877&amp;"'"&amp;"!A" &amp; $O$862 + 5 &amp; ":Z" &amp; $O$862+ 5),0),4),1,""),$O$862 + 6),"")</f>
        <v>J229</v>
      </c>
      <c r="C877" s="897" t="str">
        <f t="shared" ca="1" si="162"/>
        <v>J</v>
      </c>
      <c r="D877" s="897" t="s">
        <v>1374</v>
      </c>
      <c r="E877" s="897" t="s">
        <v>1535</v>
      </c>
      <c r="F877" s="919"/>
      <c r="G877" s="1409"/>
      <c r="H877" s="1409"/>
      <c r="I877" s="857" t="str">
        <f t="shared" si="154"/>
        <v/>
      </c>
      <c r="J877" s="1409"/>
      <c r="K877" s="1409" t="str">
        <f t="shared" si="155"/>
        <v/>
      </c>
      <c r="L877" s="897" t="s">
        <v>1405</v>
      </c>
      <c r="M877" s="1410">
        <v>860</v>
      </c>
      <c r="N877" s="1409"/>
      <c r="O877" s="1408"/>
      <c r="P877" s="1408"/>
      <c r="Q877" s="1408"/>
      <c r="R877" s="1409" t="s">
        <v>1550</v>
      </c>
      <c r="S877" s="1408"/>
      <c r="T877" s="1409" t="str">
        <f t="shared" si="158"/>
        <v/>
      </c>
      <c r="U877" s="1408"/>
      <c r="V877" s="1408"/>
      <c r="W877" s="1408"/>
      <c r="X877" s="1408"/>
      <c r="Y877" s="1408"/>
      <c r="Z877" s="1408"/>
      <c r="AA877" s="1408"/>
    </row>
    <row r="878" spans="1:27" x14ac:dyDescent="0.25">
      <c r="A878" s="929" t="s">
        <v>1406</v>
      </c>
      <c r="B878" s="897" t="str">
        <f ca="1">_xlfn.IFNA(_xlfn.CONCAT(SUBSTITUTE(ADDRESS(1,MATCH(A878,INDIRECT("'"&amp;E878&amp;"'"&amp;"!A" &amp; $O$862 + 5 &amp; ":Z" &amp; $O$862+ 5),0),4),1,""),$O$862 + 6),"")</f>
        <v>L229</v>
      </c>
      <c r="C878" s="897" t="str">
        <f t="shared" ca="1" si="162"/>
        <v>L</v>
      </c>
      <c r="D878" s="897" t="s">
        <v>1374</v>
      </c>
      <c r="E878" s="897" t="s">
        <v>1535</v>
      </c>
      <c r="F878" s="1424"/>
      <c r="G878" s="1409"/>
      <c r="H878" s="1409"/>
      <c r="I878" s="857" t="str">
        <f t="shared" si="154"/>
        <v/>
      </c>
      <c r="J878" s="1409"/>
      <c r="K878" s="1409" t="str">
        <f t="shared" si="155"/>
        <v/>
      </c>
      <c r="L878" s="897" t="s">
        <v>1406</v>
      </c>
      <c r="M878" s="1410">
        <v>861</v>
      </c>
      <c r="N878" s="1409"/>
      <c r="O878" s="1408"/>
      <c r="P878" s="1408"/>
      <c r="Q878" s="1408"/>
      <c r="R878" s="1409" t="s">
        <v>1550</v>
      </c>
      <c r="S878" s="1408"/>
      <c r="T878" s="1409" t="str">
        <f t="shared" si="158"/>
        <v/>
      </c>
      <c r="U878" s="1408"/>
      <c r="V878" s="1408"/>
      <c r="W878" s="1408"/>
      <c r="X878" s="1408"/>
      <c r="Y878" s="1408"/>
      <c r="Z878" s="1408"/>
      <c r="AA878" s="1408"/>
    </row>
    <row r="879" spans="1:27" x14ac:dyDescent="0.25">
      <c r="A879" s="929" t="s">
        <v>1404</v>
      </c>
      <c r="B879" s="897" t="str">
        <f ca="1">_xlfn.IFNA(_xlfn.CONCAT(SUBSTITUTE(ADDRESS(1,MATCH(A879,INDIRECT("'"&amp;E879&amp;"'"&amp;"!A" &amp; $O$862 + 5 &amp; ":Z" &amp; $O$862+ 5),0),4),1,""),$O$862 + 7),"")</f>
        <v>H230</v>
      </c>
      <c r="C879" s="897" t="str">
        <f t="shared" ca="1" si="162"/>
        <v>H</v>
      </c>
      <c r="D879" s="897" t="s">
        <v>1374</v>
      </c>
      <c r="E879" s="897" t="s">
        <v>1535</v>
      </c>
      <c r="F879" s="1409"/>
      <c r="G879" s="1409"/>
      <c r="H879" s="1409"/>
      <c r="I879" s="857" t="str">
        <f t="shared" si="154"/>
        <v/>
      </c>
      <c r="J879" s="1409" t="str">
        <f t="shared" si="159"/>
        <v/>
      </c>
      <c r="K879" s="1409" t="str">
        <f t="shared" si="155"/>
        <v/>
      </c>
      <c r="L879" s="897" t="s">
        <v>1404</v>
      </c>
      <c r="M879" s="1410">
        <v>862</v>
      </c>
      <c r="N879" s="1409"/>
      <c r="O879" s="1408"/>
      <c r="P879" s="1408"/>
      <c r="Q879" s="1408"/>
      <c r="R879" s="1409" t="s">
        <v>1550</v>
      </c>
      <c r="S879" s="1408"/>
      <c r="T879" s="1409" t="str">
        <f t="shared" si="158"/>
        <v/>
      </c>
      <c r="U879" s="1408"/>
      <c r="V879" s="1408"/>
      <c r="W879" s="1408"/>
      <c r="X879" s="1408"/>
      <c r="Y879" s="1408"/>
      <c r="Z879" s="1408"/>
      <c r="AA879" s="1408"/>
    </row>
    <row r="880" spans="1:27" x14ac:dyDescent="0.25">
      <c r="A880" s="929" t="s">
        <v>1405</v>
      </c>
      <c r="B880" s="897" t="str">
        <f ca="1">_xlfn.IFNA(_xlfn.CONCAT(SUBSTITUTE(ADDRESS(1,MATCH(A880,INDIRECT("'"&amp;E880&amp;"'"&amp;"!A" &amp; $O$862 + 5 &amp; ":Z" &amp; $O$862+ 5),0),4),1,""),$O$862 + 7),"")</f>
        <v>J230</v>
      </c>
      <c r="C880" s="897" t="str">
        <f t="shared" ca="1" si="162"/>
        <v>J</v>
      </c>
      <c r="D880" s="897" t="s">
        <v>1374</v>
      </c>
      <c r="E880" s="897" t="s">
        <v>1535</v>
      </c>
      <c r="F880" s="1409"/>
      <c r="G880" s="1409"/>
      <c r="H880" s="1409"/>
      <c r="I880" s="857" t="str">
        <f t="shared" si="154"/>
        <v/>
      </c>
      <c r="J880" s="1409"/>
      <c r="K880" s="1409" t="str">
        <f t="shared" si="155"/>
        <v/>
      </c>
      <c r="L880" s="897" t="s">
        <v>1405</v>
      </c>
      <c r="M880" s="1410">
        <v>863</v>
      </c>
      <c r="N880" s="1409"/>
      <c r="O880" s="1408"/>
      <c r="P880" s="1408"/>
      <c r="Q880" s="1408"/>
      <c r="R880" s="1409" t="s">
        <v>1550</v>
      </c>
      <c r="S880" s="1408"/>
      <c r="T880" s="1409" t="str">
        <f t="shared" si="158"/>
        <v/>
      </c>
      <c r="U880" s="1408"/>
      <c r="V880" s="1408"/>
      <c r="W880" s="1408"/>
      <c r="X880" s="1408"/>
      <c r="Y880" s="1408"/>
      <c r="Z880" s="1408"/>
      <c r="AA880" s="1408"/>
    </row>
    <row r="881" spans="1:27" x14ac:dyDescent="0.25">
      <c r="A881" s="929" t="s">
        <v>1406</v>
      </c>
      <c r="B881" s="897" t="str">
        <f ca="1">_xlfn.IFNA(_xlfn.CONCAT(SUBSTITUTE(ADDRESS(1,MATCH(A881,INDIRECT("'"&amp;E881&amp;"'"&amp;"!A" &amp; $O$862 + 5 &amp; ":Z" &amp; $O$862+ 5),0),4),1,""),$O$862 + 7),"")</f>
        <v>L230</v>
      </c>
      <c r="C881" s="897" t="str">
        <f t="shared" ca="1" si="162"/>
        <v>L</v>
      </c>
      <c r="D881" s="897" t="s">
        <v>1374</v>
      </c>
      <c r="E881" s="897" t="s">
        <v>1535</v>
      </c>
      <c r="F881" s="1409"/>
      <c r="G881" s="1409"/>
      <c r="H881" s="1409"/>
      <c r="I881" s="857" t="str">
        <f t="shared" si="154"/>
        <v/>
      </c>
      <c r="J881" s="1409"/>
      <c r="K881" s="1409" t="str">
        <f t="shared" si="155"/>
        <v/>
      </c>
      <c r="L881" s="897" t="s">
        <v>1406</v>
      </c>
      <c r="M881" s="1410">
        <v>864</v>
      </c>
      <c r="N881" s="1409"/>
      <c r="O881" s="1408"/>
      <c r="P881" s="1408"/>
      <c r="Q881" s="1408"/>
      <c r="R881" s="1409" t="s">
        <v>1550</v>
      </c>
      <c r="S881" s="1408"/>
      <c r="T881" s="1409" t="str">
        <f t="shared" si="158"/>
        <v/>
      </c>
      <c r="U881" s="1408"/>
      <c r="V881" s="1408"/>
      <c r="W881" s="1408"/>
      <c r="X881" s="1408"/>
      <c r="Y881" s="1408"/>
      <c r="Z881" s="1408"/>
      <c r="AA881" s="1408"/>
    </row>
    <row r="882" spans="1:27" x14ac:dyDescent="0.25">
      <c r="A882" s="929" t="s">
        <v>1404</v>
      </c>
      <c r="B882" s="897" t="str">
        <f ca="1">_xlfn.IFNA(_xlfn.CONCAT(SUBSTITUTE(ADDRESS(1,MATCH(A882,INDIRECT("'"&amp;E882&amp;"'"&amp;"!A" &amp; $O$862 + 5 &amp; ":Z" &amp; $O$862+ 5),0),4),1,""),$O$862 + 8),"")</f>
        <v>H231</v>
      </c>
      <c r="C882" s="897" t="str">
        <f t="shared" ca="1" si="162"/>
        <v>H</v>
      </c>
      <c r="D882" s="897" t="s">
        <v>1374</v>
      </c>
      <c r="E882" s="897" t="s">
        <v>1535</v>
      </c>
      <c r="F882" s="1409"/>
      <c r="G882" s="1409"/>
      <c r="H882" s="1409"/>
      <c r="I882" s="857" t="str">
        <f t="shared" si="154"/>
        <v/>
      </c>
      <c r="J882" s="1409" t="str">
        <f t="shared" si="159"/>
        <v/>
      </c>
      <c r="K882" s="1409" t="str">
        <f t="shared" si="155"/>
        <v/>
      </c>
      <c r="L882" s="897" t="s">
        <v>1404</v>
      </c>
      <c r="M882" s="1410">
        <v>865</v>
      </c>
      <c r="N882" s="1409"/>
      <c r="O882" s="1408"/>
      <c r="P882" s="1408"/>
      <c r="Q882" s="1408"/>
      <c r="R882" s="1409" t="s">
        <v>1550</v>
      </c>
      <c r="S882" s="1408"/>
      <c r="T882" s="1409" t="str">
        <f t="shared" si="158"/>
        <v/>
      </c>
      <c r="U882" s="1408"/>
      <c r="V882" s="1408"/>
      <c r="W882" s="1408"/>
      <c r="X882" s="1408"/>
      <c r="Y882" s="1408"/>
      <c r="Z882" s="1408"/>
      <c r="AA882" s="1408"/>
    </row>
    <row r="883" spans="1:27" x14ac:dyDescent="0.25">
      <c r="A883" s="929" t="s">
        <v>1405</v>
      </c>
      <c r="B883" s="897" t="str">
        <f ca="1">_xlfn.IFNA(_xlfn.CONCAT(SUBSTITUTE(ADDRESS(1,MATCH(A883,INDIRECT("'"&amp;E883&amp;"'"&amp;"!A" &amp; $O$862 + 5 &amp; ":Z" &amp; $O$862+ 5),0),4),1,""),$O$862 + 8),"")</f>
        <v>J231</v>
      </c>
      <c r="C883" s="897" t="str">
        <f t="shared" ca="1" si="162"/>
        <v>J</v>
      </c>
      <c r="D883" s="897" t="s">
        <v>1374</v>
      </c>
      <c r="E883" s="897" t="s">
        <v>1535</v>
      </c>
      <c r="F883" s="1409"/>
      <c r="G883" s="1409"/>
      <c r="H883" s="1409"/>
      <c r="I883" s="857" t="str">
        <f t="shared" si="154"/>
        <v/>
      </c>
      <c r="J883" s="1409"/>
      <c r="K883" s="1409" t="str">
        <f t="shared" si="155"/>
        <v/>
      </c>
      <c r="L883" s="897" t="s">
        <v>1405</v>
      </c>
      <c r="M883" s="1410">
        <v>866</v>
      </c>
      <c r="N883" s="1409"/>
      <c r="O883" s="1408"/>
      <c r="P883" s="1408"/>
      <c r="Q883" s="1408"/>
      <c r="R883" s="1409" t="s">
        <v>1550</v>
      </c>
      <c r="S883" s="1408"/>
      <c r="T883" s="1409" t="str">
        <f t="shared" si="158"/>
        <v/>
      </c>
      <c r="U883" s="1408"/>
      <c r="V883" s="1408"/>
      <c r="W883" s="1408"/>
      <c r="X883" s="1408"/>
      <c r="Y883" s="1408"/>
      <c r="Z883" s="1408"/>
      <c r="AA883" s="1408"/>
    </row>
    <row r="884" spans="1:27" x14ac:dyDescent="0.25">
      <c r="A884" s="929" t="s">
        <v>1406</v>
      </c>
      <c r="B884" s="897" t="str">
        <f ca="1">_xlfn.IFNA(_xlfn.CONCAT(SUBSTITUTE(ADDRESS(1,MATCH(A884,INDIRECT("'"&amp;E884&amp;"'"&amp;"!A" &amp; $O$862 + 5 &amp; ":Z" &amp; $O$862+ 5),0),4),1,""),$O$862 + 8),"")</f>
        <v>L231</v>
      </c>
      <c r="C884" s="897" t="str">
        <f t="shared" ca="1" si="162"/>
        <v>L</v>
      </c>
      <c r="D884" s="897" t="s">
        <v>1374</v>
      </c>
      <c r="E884" s="897" t="s">
        <v>1535</v>
      </c>
      <c r="F884" s="1409"/>
      <c r="G884" s="1409"/>
      <c r="H884" s="1409"/>
      <c r="I884" s="857" t="str">
        <f t="shared" si="154"/>
        <v/>
      </c>
      <c r="J884" s="1409"/>
      <c r="K884" s="1409" t="str">
        <f t="shared" si="155"/>
        <v/>
      </c>
      <c r="L884" s="897" t="s">
        <v>1406</v>
      </c>
      <c r="M884" s="1410">
        <v>867</v>
      </c>
      <c r="N884" s="1409"/>
      <c r="O884" s="1408"/>
      <c r="P884" s="1408"/>
      <c r="Q884" s="1408"/>
      <c r="R884" s="1409" t="s">
        <v>1550</v>
      </c>
      <c r="S884" s="1408"/>
      <c r="T884" s="1409" t="str">
        <f t="shared" si="158"/>
        <v/>
      </c>
      <c r="U884" s="1408"/>
      <c r="V884" s="1408"/>
      <c r="W884" s="1408"/>
      <c r="X884" s="1408"/>
      <c r="Y884" s="1408"/>
      <c r="Z884" s="1408"/>
      <c r="AA884" s="1408"/>
    </row>
    <row r="885" spans="1:27" x14ac:dyDescent="0.25">
      <c r="A885" s="929" t="s">
        <v>1404</v>
      </c>
      <c r="B885" s="897" t="str">
        <f ca="1">_xlfn.IFNA(_xlfn.CONCAT(SUBSTITUTE(ADDRESS(1,MATCH(A885,INDIRECT("'"&amp;E885&amp;"'"&amp;"!A" &amp; $O$862 + 5 &amp; ":Z" &amp; $O$862+ 5),0),4),1,""),$O$862 + 9),"")</f>
        <v>H232</v>
      </c>
      <c r="C885" s="897" t="str">
        <f t="shared" ca="1" si="162"/>
        <v>H</v>
      </c>
      <c r="D885" s="897" t="s">
        <v>1374</v>
      </c>
      <c r="E885" s="897" t="s">
        <v>1535</v>
      </c>
      <c r="F885" s="1409"/>
      <c r="G885" s="1409"/>
      <c r="H885" s="1409"/>
      <c r="I885" s="857" t="str">
        <f t="shared" si="154"/>
        <v/>
      </c>
      <c r="J885" s="1409" t="str">
        <f t="shared" si="159"/>
        <v/>
      </c>
      <c r="K885" s="1409" t="str">
        <f t="shared" si="155"/>
        <v/>
      </c>
      <c r="L885" s="897" t="s">
        <v>1404</v>
      </c>
      <c r="M885" s="1410">
        <v>868</v>
      </c>
      <c r="N885" s="1409"/>
      <c r="O885" s="1408"/>
      <c r="P885" s="1408"/>
      <c r="Q885" s="1408"/>
      <c r="R885" s="1409" t="s">
        <v>1550</v>
      </c>
      <c r="S885" s="1408"/>
      <c r="T885" s="1409" t="str">
        <f t="shared" si="158"/>
        <v/>
      </c>
      <c r="U885" s="1408"/>
      <c r="V885" s="1408"/>
      <c r="W885" s="1408"/>
      <c r="X885" s="1408"/>
      <c r="Y885" s="1408"/>
      <c r="Z885" s="1408"/>
      <c r="AA885" s="1408"/>
    </row>
    <row r="886" spans="1:27" x14ac:dyDescent="0.25">
      <c r="A886" s="929" t="s">
        <v>1405</v>
      </c>
      <c r="B886" s="897" t="str">
        <f ca="1">_xlfn.IFNA(_xlfn.CONCAT(SUBSTITUTE(ADDRESS(1,MATCH(A886,INDIRECT("'"&amp;E886&amp;"'"&amp;"!A" &amp; $O$862 + 5 &amp; ":Z" &amp; $O$862+ 5),0),4),1,""),$O$862 + 9),"")</f>
        <v>J232</v>
      </c>
      <c r="C886" s="897" t="str">
        <f t="shared" ca="1" si="162"/>
        <v>J</v>
      </c>
      <c r="D886" s="897" t="s">
        <v>1374</v>
      </c>
      <c r="E886" s="897" t="s">
        <v>1535</v>
      </c>
      <c r="F886" s="1409"/>
      <c r="G886" s="1409"/>
      <c r="H886" s="1409"/>
      <c r="I886" s="857" t="str">
        <f t="shared" si="154"/>
        <v/>
      </c>
      <c r="J886" s="1409"/>
      <c r="K886" s="1409" t="str">
        <f t="shared" si="155"/>
        <v/>
      </c>
      <c r="L886" s="897" t="s">
        <v>1405</v>
      </c>
      <c r="M886" s="1410">
        <v>869</v>
      </c>
      <c r="N886" s="1409"/>
      <c r="O886" s="1408"/>
      <c r="P886" s="1408"/>
      <c r="Q886" s="1408"/>
      <c r="R886" s="1409" t="s">
        <v>1550</v>
      </c>
      <c r="S886" s="1408"/>
      <c r="T886" s="1409" t="str">
        <f t="shared" si="158"/>
        <v/>
      </c>
      <c r="U886" s="1408"/>
      <c r="V886" s="1408"/>
      <c r="W886" s="1408"/>
      <c r="X886" s="1408"/>
      <c r="Y886" s="1408"/>
      <c r="Z886" s="1408"/>
      <c r="AA886" s="1408"/>
    </row>
    <row r="887" spans="1:27" x14ac:dyDescent="0.25">
      <c r="A887" s="929" t="s">
        <v>1406</v>
      </c>
      <c r="B887" s="897" t="str">
        <f ca="1">_xlfn.IFNA(_xlfn.CONCAT(SUBSTITUTE(ADDRESS(1,MATCH(A887,INDIRECT("'"&amp;E887&amp;"'"&amp;"!A" &amp; $O$862 + 5 &amp; ":Z" &amp; $O$862+ 5),0),4),1,""),$O$862 + 9),"")</f>
        <v>L232</v>
      </c>
      <c r="C887" s="897" t="str">
        <f t="shared" ca="1" si="162"/>
        <v>L</v>
      </c>
      <c r="D887" s="897" t="s">
        <v>1374</v>
      </c>
      <c r="E887" s="897" t="s">
        <v>1535</v>
      </c>
      <c r="F887" s="1409"/>
      <c r="G887" s="1409"/>
      <c r="H887" s="1409"/>
      <c r="I887" s="857" t="str">
        <f t="shared" si="154"/>
        <v/>
      </c>
      <c r="J887" s="1409"/>
      <c r="K887" s="1409" t="str">
        <f t="shared" si="155"/>
        <v/>
      </c>
      <c r="L887" s="897" t="s">
        <v>1406</v>
      </c>
      <c r="M887" s="1410">
        <v>870</v>
      </c>
      <c r="N887" s="1409"/>
      <c r="O887" s="1408"/>
      <c r="P887" s="1408"/>
      <c r="Q887" s="1408"/>
      <c r="R887" s="1409" t="s">
        <v>1550</v>
      </c>
      <c r="S887" s="1408"/>
      <c r="T887" s="1409" t="str">
        <f t="shared" si="158"/>
        <v/>
      </c>
      <c r="U887" s="1408"/>
      <c r="V887" s="1408"/>
      <c r="W887" s="1408"/>
      <c r="X887" s="1408"/>
      <c r="Y887" s="1408"/>
      <c r="Z887" s="1408"/>
      <c r="AA887" s="1408"/>
    </row>
    <row r="888" spans="1:27" x14ac:dyDescent="0.25">
      <c r="A888" s="929" t="s">
        <v>1404</v>
      </c>
      <c r="B888" s="897" t="str">
        <f ca="1">_xlfn.IFNA(_xlfn.CONCAT(SUBSTITUTE(ADDRESS(1,MATCH(A888,INDIRECT("'"&amp;E888&amp;"'"&amp;"!A" &amp; $O$862 + 5 &amp; ":Z" &amp; $O$862+ 5),0),4),1,""),$O$862 + 10),"")</f>
        <v>H233</v>
      </c>
      <c r="C888" s="897" t="str">
        <f t="shared" ca="1" si="162"/>
        <v>H</v>
      </c>
      <c r="D888" s="897" t="s">
        <v>1374</v>
      </c>
      <c r="E888" s="897" t="s">
        <v>1535</v>
      </c>
      <c r="F888" s="1409"/>
      <c r="G888" s="1409"/>
      <c r="H888" s="1409"/>
      <c r="I888" s="857" t="str">
        <f t="shared" si="154"/>
        <v/>
      </c>
      <c r="J888" s="1409" t="str">
        <f t="shared" si="159"/>
        <v/>
      </c>
      <c r="K888" s="1409" t="str">
        <f t="shared" si="155"/>
        <v/>
      </c>
      <c r="L888" s="897" t="s">
        <v>1404</v>
      </c>
      <c r="M888" s="1410">
        <v>871</v>
      </c>
      <c r="N888" s="1409"/>
      <c r="O888" s="1408"/>
      <c r="P888" s="1408"/>
      <c r="Q888" s="1408"/>
      <c r="R888" s="1409" t="s">
        <v>1550</v>
      </c>
      <c r="S888" s="1408"/>
      <c r="T888" s="1409" t="str">
        <f t="shared" si="158"/>
        <v/>
      </c>
      <c r="U888" s="1408"/>
      <c r="V888" s="1408"/>
      <c r="W888" s="1408"/>
      <c r="X888" s="1408"/>
      <c r="Y888" s="1408"/>
      <c r="Z888" s="1408"/>
      <c r="AA888" s="1408"/>
    </row>
    <row r="889" spans="1:27" x14ac:dyDescent="0.25">
      <c r="A889" s="929" t="s">
        <v>1405</v>
      </c>
      <c r="B889" s="897" t="str">
        <f ca="1">_xlfn.IFNA(_xlfn.CONCAT(SUBSTITUTE(ADDRESS(1,MATCH(A889,INDIRECT("'"&amp;E889&amp;"'"&amp;"!A" &amp; $O$862 + 5 &amp; ":Z" &amp; $O$862+ 5),0),4),1,""),$O$862 + 10),"")</f>
        <v>J233</v>
      </c>
      <c r="C889" s="897" t="str">
        <f t="shared" ca="1" si="162"/>
        <v>J</v>
      </c>
      <c r="D889" s="897" t="s">
        <v>1374</v>
      </c>
      <c r="E889" s="897" t="s">
        <v>1535</v>
      </c>
      <c r="F889" s="1409"/>
      <c r="G889" s="1409"/>
      <c r="H889" s="1409"/>
      <c r="I889" s="857" t="str">
        <f t="shared" si="154"/>
        <v/>
      </c>
      <c r="J889" s="1409"/>
      <c r="K889" s="1409" t="str">
        <f t="shared" si="155"/>
        <v/>
      </c>
      <c r="L889" s="897" t="s">
        <v>1405</v>
      </c>
      <c r="M889" s="1410">
        <v>872</v>
      </c>
      <c r="N889" s="1409"/>
      <c r="O889" s="1408"/>
      <c r="P889" s="1408"/>
      <c r="Q889" s="1408"/>
      <c r="R889" s="1409" t="s">
        <v>1550</v>
      </c>
      <c r="S889" s="1408"/>
      <c r="T889" s="1409" t="str">
        <f t="shared" si="158"/>
        <v/>
      </c>
      <c r="U889" s="1408"/>
      <c r="V889" s="1408"/>
      <c r="W889" s="1408"/>
      <c r="X889" s="1408"/>
      <c r="Y889" s="1408"/>
      <c r="Z889" s="1408"/>
      <c r="AA889" s="1408"/>
    </row>
    <row r="890" spans="1:27" x14ac:dyDescent="0.25">
      <c r="A890" s="929" t="s">
        <v>1406</v>
      </c>
      <c r="B890" s="897" t="str">
        <f ca="1">_xlfn.IFNA(_xlfn.CONCAT(SUBSTITUTE(ADDRESS(1,MATCH(A890,INDIRECT("'"&amp;E890&amp;"'"&amp;"!A" &amp; $O$862 + 5 &amp; ":Z" &amp; $O$862+ 5),0),4),1,""),$O$862 + 10),"")</f>
        <v>L233</v>
      </c>
      <c r="C890" s="897" t="str">
        <f t="shared" ca="1" si="162"/>
        <v>L</v>
      </c>
      <c r="D890" s="897" t="s">
        <v>1374</v>
      </c>
      <c r="E890" s="897" t="s">
        <v>1535</v>
      </c>
      <c r="F890" s="1409"/>
      <c r="G890" s="1409"/>
      <c r="H890" s="1409"/>
      <c r="I890" s="857" t="str">
        <f t="shared" si="154"/>
        <v/>
      </c>
      <c r="J890" s="1409"/>
      <c r="K890" s="1409" t="str">
        <f t="shared" si="155"/>
        <v/>
      </c>
      <c r="L890" s="897" t="s">
        <v>1406</v>
      </c>
      <c r="M890" s="1410">
        <v>873</v>
      </c>
      <c r="N890" s="1409"/>
      <c r="O890" s="1408"/>
      <c r="P890" s="1408"/>
      <c r="Q890" s="1408"/>
      <c r="R890" s="1409" t="s">
        <v>1550</v>
      </c>
      <c r="S890" s="1408"/>
      <c r="T890" s="1409" t="str">
        <f t="shared" si="158"/>
        <v/>
      </c>
      <c r="U890" s="1408"/>
      <c r="V890" s="1408"/>
      <c r="W890" s="1408"/>
      <c r="X890" s="1408"/>
      <c r="Y890" s="1408"/>
      <c r="Z890" s="1408"/>
      <c r="AA890" s="1408"/>
    </row>
    <row r="891" spans="1:27" x14ac:dyDescent="0.25">
      <c r="A891" s="926" t="s">
        <v>1510</v>
      </c>
      <c r="B891" s="897" t="str">
        <f ca="1">IFERROR(_xlfn.CONCAT("C",MATCH(A891,INDIRECT("'"&amp;E891&amp;"'!C"&amp;$O$892&amp;":C"&amp;$O$894),0)+$O$892-1),"")</f>
        <v>C243</v>
      </c>
      <c r="C891" s="897" t="str">
        <f ca="1">IFERROR(_xlfn.CONCAT("D",MATCH(A891,INDIRECT("'"&amp;E891&amp;"'!C"&amp;$O$892&amp;":C"&amp;$O$894),0)+$O$892-1),"")</f>
        <v>D243</v>
      </c>
      <c r="D891" s="897" t="s">
        <v>1367</v>
      </c>
      <c r="E891" s="897" t="s">
        <v>1535</v>
      </c>
      <c r="F891" s="1409" t="s">
        <v>1510</v>
      </c>
      <c r="G891" s="1409" t="str">
        <f>IF(T891&lt;&gt;"","A","")</f>
        <v/>
      </c>
      <c r="H891" s="1409" t="s">
        <v>1926</v>
      </c>
      <c r="I891" s="857" t="str">
        <f t="shared" si="154"/>
        <v/>
      </c>
      <c r="J891" s="1409"/>
      <c r="K891" s="1409" t="str">
        <f t="shared" si="155"/>
        <v/>
      </c>
      <c r="L891" s="897" t="s">
        <v>1510</v>
      </c>
      <c r="M891" s="1410">
        <v>874</v>
      </c>
      <c r="N891" s="1409"/>
      <c r="O891" s="1408" t="s">
        <v>726</v>
      </c>
      <c r="P891" s="1408"/>
      <c r="Q891" s="1408"/>
      <c r="R891" s="1409" t="s">
        <v>395</v>
      </c>
      <c r="S891" s="1408"/>
      <c r="T891" s="1409" t="str">
        <f>IF(Q$892="Yes",17,"")</f>
        <v/>
      </c>
      <c r="U891" s="1408"/>
      <c r="V891" s="1408"/>
      <c r="W891" s="1408"/>
      <c r="X891" s="1408"/>
      <c r="Y891" s="1408"/>
      <c r="Z891" s="1408"/>
      <c r="AA891" s="1408"/>
    </row>
    <row r="892" spans="1:27" x14ac:dyDescent="0.25">
      <c r="A892" s="926" t="s">
        <v>1724</v>
      </c>
      <c r="B892" s="897" t="str">
        <f ca="1">_xlfn.CONCAT(IFERROR(SUBSTITUTE(ADDRESS(1,MATCH(A892,INDIRECT("'"&amp;E892&amp;"'"&amp;"!A" &amp; $O$892 + 11 &amp; ":Z" &amp; $O$892+ 11),0),4),1,""),""),$O$892 + 11)</f>
        <v>T250</v>
      </c>
      <c r="C892" s="897" t="str">
        <f ca="1">_xlfn.CONCAT(IFERROR(SUBSTITUTE(ADDRESS(1,MATCH(A892,INDIRECT("'"&amp;E892&amp;"'"&amp;"!A" &amp; $O$892 + 11 &amp; ":Z" &amp; $O$892+ 11),0),4),1,""),""),$O$892 + 12)</f>
        <v>T251</v>
      </c>
      <c r="D892" s="897" t="s">
        <v>1367</v>
      </c>
      <c r="E892" s="897" t="s">
        <v>1535</v>
      </c>
      <c r="F892" s="1409"/>
      <c r="G892" s="1409"/>
      <c r="H892" s="1409"/>
      <c r="I892" s="857" t="str">
        <f t="shared" si="154"/>
        <v/>
      </c>
      <c r="J892" s="1409" t="str">
        <f t="shared" ref="J892:J909" si="163">IF(M892&lt;&gt;"",IF($Q$892="Yes",Q$1&amp;M892,""))</f>
        <v/>
      </c>
      <c r="K892" s="1409" t="str">
        <f t="shared" si="155"/>
        <v/>
      </c>
      <c r="L892" s="897" t="s">
        <v>1724</v>
      </c>
      <c r="M892" s="1410">
        <v>875</v>
      </c>
      <c r="N892" s="1409"/>
      <c r="O892" s="1408">
        <f>'Configurable Tab'!H19</f>
        <v>239</v>
      </c>
      <c r="P892" s="1408">
        <f>'Configurable Tab'!J19</f>
        <v>0</v>
      </c>
      <c r="Q892" s="1408" t="s">
        <v>649</v>
      </c>
      <c r="R892" s="1409" t="s">
        <v>395</v>
      </c>
      <c r="S892" s="1408"/>
      <c r="T892" s="1409" t="str">
        <f t="shared" ref="T892:T909" si="164">IF(Q$892="Yes",17,"")</f>
        <v/>
      </c>
      <c r="U892" s="1408" t="str">
        <f>IF(Q892="Yes",M892,"")</f>
        <v/>
      </c>
      <c r="V892" s="1408"/>
      <c r="W892" s="1408"/>
      <c r="X892" s="1408"/>
      <c r="Y892" s="1408"/>
      <c r="Z892" s="1408"/>
      <c r="AA892" s="1408"/>
    </row>
    <row r="893" spans="1:27" x14ac:dyDescent="0.25">
      <c r="A893" s="926" t="s">
        <v>1400</v>
      </c>
      <c r="B893" s="897" t="str">
        <f ca="1">IFERROR(_xlfn.CONCAT("C",MATCH(A893,INDIRECT("'"&amp;E893&amp;"'!C"&amp;$O$892&amp;":C"&amp;$O$894),0)+$O$892-1),"")</f>
        <v>C241</v>
      </c>
      <c r="C893" s="897" t="str">
        <f ca="1">IFERROR(_xlfn.CONCAT("D",MATCH(A893,INDIRECT("'"&amp;E893&amp;"'!C"&amp;$O$892&amp;":C"&amp;$O$894),0)+$O$892-1),"")</f>
        <v>D241</v>
      </c>
      <c r="D893" s="897" t="s">
        <v>1367</v>
      </c>
      <c r="E893" s="897" t="s">
        <v>1535</v>
      </c>
      <c r="F893" s="1409" t="s">
        <v>1400</v>
      </c>
      <c r="G893" s="1409" t="str">
        <f>IF(T893&lt;&gt;"","B","")</f>
        <v/>
      </c>
      <c r="H893" s="1409" t="s">
        <v>1926</v>
      </c>
      <c r="I893" s="857" t="str">
        <f t="shared" si="154"/>
        <v/>
      </c>
      <c r="J893" s="1409"/>
      <c r="K893" s="1409" t="str">
        <f t="shared" si="155"/>
        <v/>
      </c>
      <c r="L893" s="897" t="s">
        <v>1400</v>
      </c>
      <c r="M893" s="1410">
        <v>876</v>
      </c>
      <c r="N893" s="1409"/>
      <c r="O893" s="1408" t="s">
        <v>727</v>
      </c>
      <c r="P893" s="1408"/>
      <c r="Q893" s="1408"/>
      <c r="R893" s="1409" t="s">
        <v>395</v>
      </c>
      <c r="S893" s="1408"/>
      <c r="T893" s="1409" t="str">
        <f t="shared" si="164"/>
        <v/>
      </c>
      <c r="U893" s="1408"/>
      <c r="V893" s="1408"/>
      <c r="W893" s="1408"/>
      <c r="X893" s="1408"/>
      <c r="Y893" s="1408"/>
      <c r="Z893" s="1408"/>
      <c r="AA893" s="1408"/>
    </row>
    <row r="894" spans="1:27" x14ac:dyDescent="0.25">
      <c r="A894" s="926" t="s">
        <v>1397</v>
      </c>
      <c r="B894" s="897" t="str">
        <f t="shared" ref="B894:B900" ca="1" si="165">_xlfn.CONCAT(IFERROR(SUBSTITUTE(ADDRESS(1,MATCH(A894,INDIRECT("'"&amp;E894&amp;"'"&amp;"!A" &amp; $O$892 + 2 &amp; ":Z" &amp; $O$892+ 2),0),4),1,""),""),$O$892 + 2)</f>
        <v>H241</v>
      </c>
      <c r="C894" s="897" t="str">
        <f t="shared" ref="C894:C900" ca="1" si="166">_xlfn.CONCAT(IFERROR(SUBSTITUTE(ADDRESS(1,MATCH(A894,INDIRECT("'"&amp;E894&amp;"'"&amp;"!A" &amp; $O$892 + 2 &amp; ":Z" &amp; $O$892+ 2),0),4),1,""),""),$O$892 + 3)</f>
        <v>H242</v>
      </c>
      <c r="D894" s="897" t="s">
        <v>1367</v>
      </c>
      <c r="E894" s="897" t="s">
        <v>1535</v>
      </c>
      <c r="F894" s="1409" t="s">
        <v>1927</v>
      </c>
      <c r="G894" s="1409" t="str">
        <f>IF(T894&lt;&gt;"","E","")</f>
        <v/>
      </c>
      <c r="H894" s="1409" t="s">
        <v>1926</v>
      </c>
      <c r="I894" s="857" t="str">
        <f t="shared" si="154"/>
        <v/>
      </c>
      <c r="J894" s="1409" t="str">
        <f t="shared" si="163"/>
        <v/>
      </c>
      <c r="K894" s="1409" t="str">
        <f t="shared" si="155"/>
        <v/>
      </c>
      <c r="L894" s="897" t="s">
        <v>1397</v>
      </c>
      <c r="M894" s="1410">
        <v>877</v>
      </c>
      <c r="N894" s="1409"/>
      <c r="O894" s="1408">
        <f>'Configurable Tab'!I19</f>
        <v>252</v>
      </c>
      <c r="P894" s="1408"/>
      <c r="Q894" s="1408"/>
      <c r="R894" s="1409" t="s">
        <v>395</v>
      </c>
      <c r="S894" s="1408"/>
      <c r="T894" s="1409" t="str">
        <f t="shared" si="164"/>
        <v/>
      </c>
      <c r="U894" s="1408"/>
      <c r="V894" s="1408"/>
      <c r="W894" s="1408"/>
      <c r="X894" s="1408"/>
      <c r="Y894" s="1408"/>
      <c r="Z894" s="1408"/>
      <c r="AA894" s="1408"/>
    </row>
    <row r="895" spans="1:27" x14ac:dyDescent="0.25">
      <c r="A895" s="926" t="s">
        <v>1398</v>
      </c>
      <c r="B895" s="897" t="str">
        <f t="shared" ca="1" si="165"/>
        <v>J241</v>
      </c>
      <c r="C895" s="897" t="str">
        <f t="shared" ca="1" si="166"/>
        <v>J242</v>
      </c>
      <c r="D895" s="897" t="s">
        <v>1367</v>
      </c>
      <c r="E895" s="897" t="s">
        <v>1535</v>
      </c>
      <c r="F895" s="1409" t="s">
        <v>1928</v>
      </c>
      <c r="G895" s="1409" t="str">
        <f>IF(T895&lt;&gt;"","I","")</f>
        <v/>
      </c>
      <c r="H895" s="1409" t="s">
        <v>1926</v>
      </c>
      <c r="I895" s="857" t="str">
        <f t="shared" si="154"/>
        <v/>
      </c>
      <c r="J895" s="1409" t="str">
        <f t="shared" si="163"/>
        <v/>
      </c>
      <c r="K895" s="1409" t="str">
        <f t="shared" si="155"/>
        <v/>
      </c>
      <c r="L895" s="897" t="s">
        <v>1398</v>
      </c>
      <c r="M895" s="1410">
        <v>878</v>
      </c>
      <c r="N895" s="1409"/>
      <c r="O895" s="1408" t="s">
        <v>1667</v>
      </c>
      <c r="P895" s="1408"/>
      <c r="Q895" s="1408" t="s">
        <v>482</v>
      </c>
      <c r="R895" s="1409" t="s">
        <v>395</v>
      </c>
      <c r="S895" s="1408"/>
      <c r="T895" s="1409" t="str">
        <f t="shared" si="164"/>
        <v/>
      </c>
      <c r="U895" s="1408"/>
      <c r="V895" s="1408"/>
      <c r="W895" s="1408"/>
      <c r="X895" s="1408"/>
      <c r="Y895" s="1408"/>
      <c r="Z895" s="1408"/>
      <c r="AA895" s="1408"/>
    </row>
    <row r="896" spans="1:27" x14ac:dyDescent="0.25">
      <c r="A896" s="926" t="s">
        <v>1414</v>
      </c>
      <c r="B896" s="897" t="str">
        <f t="shared" ca="1" si="165"/>
        <v>L241</v>
      </c>
      <c r="C896" s="897" t="str">
        <f t="shared" ca="1" si="166"/>
        <v>L242</v>
      </c>
      <c r="D896" s="897" t="s">
        <v>1367</v>
      </c>
      <c r="E896" s="897" t="s">
        <v>1535</v>
      </c>
      <c r="F896" s="1409" t="s">
        <v>1929</v>
      </c>
      <c r="G896" s="1409" t="str">
        <f>IF(T896&lt;&gt;"","H","")</f>
        <v/>
      </c>
      <c r="H896" s="1409" t="s">
        <v>1926</v>
      </c>
      <c r="I896" s="857" t="str">
        <f t="shared" si="154"/>
        <v/>
      </c>
      <c r="J896" s="1409" t="str">
        <f t="shared" si="163"/>
        <v/>
      </c>
      <c r="K896" s="1409" t="str">
        <f t="shared" si="155"/>
        <v/>
      </c>
      <c r="L896" s="897" t="s">
        <v>1414</v>
      </c>
      <c r="M896" s="1410">
        <v>879</v>
      </c>
      <c r="N896" s="1409"/>
      <c r="O896" s="1408"/>
      <c r="P896" s="1408"/>
      <c r="Q896" s="1408"/>
      <c r="R896" s="1409" t="s">
        <v>395</v>
      </c>
      <c r="S896" s="1408"/>
      <c r="T896" s="1409" t="str">
        <f t="shared" si="164"/>
        <v/>
      </c>
      <c r="U896" s="1408"/>
      <c r="V896" s="1408"/>
      <c r="W896" s="1408"/>
      <c r="X896" s="1408"/>
      <c r="Y896" s="1408"/>
      <c r="Z896" s="1408"/>
      <c r="AA896" s="1408"/>
    </row>
    <row r="897" spans="1:27" x14ac:dyDescent="0.25">
      <c r="A897" s="926" t="s">
        <v>1399</v>
      </c>
      <c r="B897" s="897" t="str">
        <f t="shared" ca="1" si="165"/>
        <v>N241</v>
      </c>
      <c r="C897" s="897" t="str">
        <f t="shared" ca="1" si="166"/>
        <v>N242</v>
      </c>
      <c r="D897" s="897" t="s">
        <v>1367</v>
      </c>
      <c r="E897" s="897" t="s">
        <v>1535</v>
      </c>
      <c r="F897" s="1409" t="s">
        <v>1399</v>
      </c>
      <c r="G897" s="1409" t="str">
        <f>IF(T897&lt;&gt;"",IF(Q895="Credit Memo","J",IF(Q895="Check","K","")),"")</f>
        <v/>
      </c>
      <c r="H897" s="1409" t="s">
        <v>1926</v>
      </c>
      <c r="I897" s="857" t="str">
        <f t="shared" si="154"/>
        <v/>
      </c>
      <c r="J897" s="1409" t="str">
        <f t="shared" si="163"/>
        <v/>
      </c>
      <c r="K897" s="1409" t="str">
        <f t="shared" si="155"/>
        <v/>
      </c>
      <c r="L897" s="897" t="s">
        <v>1399</v>
      </c>
      <c r="M897" s="1410">
        <v>880</v>
      </c>
      <c r="N897" s="1409"/>
      <c r="O897" s="1408"/>
      <c r="P897" s="1408"/>
      <c r="Q897" s="1408"/>
      <c r="R897" s="1409" t="s">
        <v>395</v>
      </c>
      <c r="S897" s="1408"/>
      <c r="T897" s="1409" t="str">
        <f t="shared" si="164"/>
        <v/>
      </c>
      <c r="U897" s="1408"/>
      <c r="V897" s="1408"/>
      <c r="W897" s="1408"/>
      <c r="X897" s="1408"/>
      <c r="Y897" s="1408"/>
      <c r="Z897" s="1408"/>
      <c r="AA897" s="1408"/>
    </row>
    <row r="898" spans="1:27" x14ac:dyDescent="0.25">
      <c r="A898" s="926" t="s">
        <v>1505</v>
      </c>
      <c r="B898" s="897" t="str">
        <f t="shared" ca="1" si="165"/>
        <v>P241</v>
      </c>
      <c r="C898" s="897" t="str">
        <f t="shared" ca="1" si="166"/>
        <v>P242</v>
      </c>
      <c r="D898" s="897" t="s">
        <v>1367</v>
      </c>
      <c r="E898" s="897" t="s">
        <v>1535</v>
      </c>
      <c r="F898" s="1409" t="s">
        <v>1930</v>
      </c>
      <c r="G898" s="1409" t="str">
        <f>IF(T898&lt;&gt;"","F","")</f>
        <v/>
      </c>
      <c r="H898" s="1409" t="s">
        <v>1926</v>
      </c>
      <c r="I898" s="857" t="str">
        <f t="shared" si="154"/>
        <v/>
      </c>
      <c r="J898" s="1409" t="str">
        <f t="shared" si="163"/>
        <v/>
      </c>
      <c r="K898" s="1409" t="str">
        <f t="shared" si="155"/>
        <v/>
      </c>
      <c r="L898" s="897" t="s">
        <v>1505</v>
      </c>
      <c r="M898" s="1410">
        <v>881</v>
      </c>
      <c r="N898" s="1409"/>
      <c r="O898" s="1408"/>
      <c r="P898" s="1408"/>
      <c r="Q898" s="1408"/>
      <c r="R898" s="1409" t="s">
        <v>395</v>
      </c>
      <c r="S898" s="1408"/>
      <c r="T898" s="1409" t="str">
        <f t="shared" si="164"/>
        <v/>
      </c>
      <c r="U898" s="1408"/>
      <c r="V898" s="1408"/>
      <c r="W898" s="1408"/>
      <c r="X898" s="1408"/>
      <c r="Y898" s="1408"/>
      <c r="Z898" s="1408"/>
      <c r="AA898" s="1408"/>
    </row>
    <row r="899" spans="1:27" x14ac:dyDescent="0.25">
      <c r="A899" s="926" t="s">
        <v>1506</v>
      </c>
      <c r="B899" s="897" t="str">
        <f t="shared" ca="1" si="165"/>
        <v>R241</v>
      </c>
      <c r="C899" s="897" t="str">
        <f t="shared" ca="1" si="166"/>
        <v>R242</v>
      </c>
      <c r="D899" s="897" t="s">
        <v>1367</v>
      </c>
      <c r="E899" s="897" t="s">
        <v>1535</v>
      </c>
      <c r="F899" s="1409" t="s">
        <v>1931</v>
      </c>
      <c r="G899" s="1409" t="str">
        <f>IF(T899&lt;&gt;"","G","")</f>
        <v/>
      </c>
      <c r="H899" s="1409" t="s">
        <v>1926</v>
      </c>
      <c r="I899" s="857" t="str">
        <f t="shared" si="154"/>
        <v/>
      </c>
      <c r="J899" s="1409" t="str">
        <f t="shared" si="163"/>
        <v/>
      </c>
      <c r="K899" s="1409" t="str">
        <f t="shared" si="155"/>
        <v/>
      </c>
      <c r="L899" s="897" t="s">
        <v>1506</v>
      </c>
      <c r="M899" s="1410">
        <v>882</v>
      </c>
      <c r="N899" s="1409"/>
      <c r="O899" s="1408"/>
      <c r="P899" s="1408"/>
      <c r="Q899" s="1408"/>
      <c r="R899" s="1409" t="s">
        <v>395</v>
      </c>
      <c r="S899" s="1408"/>
      <c r="T899" s="1409" t="str">
        <f t="shared" si="164"/>
        <v/>
      </c>
      <c r="U899" s="1408"/>
      <c r="V899" s="1408"/>
      <c r="W899" s="1408"/>
      <c r="X899" s="1408"/>
      <c r="Y899" s="1408"/>
      <c r="Z899" s="1408"/>
      <c r="AA899" s="1408"/>
    </row>
    <row r="900" spans="1:27" x14ac:dyDescent="0.25">
      <c r="A900" s="926" t="s">
        <v>1507</v>
      </c>
      <c r="B900" s="897" t="str">
        <f t="shared" ca="1" si="165"/>
        <v>T241</v>
      </c>
      <c r="C900" s="897" t="str">
        <f t="shared" ca="1" si="166"/>
        <v>T242</v>
      </c>
      <c r="D900" s="897" t="s">
        <v>1367</v>
      </c>
      <c r="E900" s="897" t="s">
        <v>1535</v>
      </c>
      <c r="F900" s="919" t="s">
        <v>1507</v>
      </c>
      <c r="G900" s="1409" t="str">
        <f>IF(T900&lt;&gt;"","AW","")</f>
        <v/>
      </c>
      <c r="H900" s="1409" t="s">
        <v>1926</v>
      </c>
      <c r="I900" s="857" t="str">
        <f t="shared" ref="I900:I963" si="167">IF(J900&lt;&gt;"",A900,"")</f>
        <v/>
      </c>
      <c r="J900" s="1409" t="str">
        <f t="shared" si="163"/>
        <v/>
      </c>
      <c r="K900" s="1409" t="str">
        <f t="shared" ref="K900:K963" si="168">IF(J900&lt;&gt;"",E900,"")</f>
        <v/>
      </c>
      <c r="L900" s="897" t="s">
        <v>1507</v>
      </c>
      <c r="M900" s="1410">
        <v>883</v>
      </c>
      <c r="N900" s="1409"/>
      <c r="O900" s="1408"/>
      <c r="P900" s="1408"/>
      <c r="Q900" s="1408"/>
      <c r="R900" s="1409" t="s">
        <v>395</v>
      </c>
      <c r="S900" s="1408"/>
      <c r="T900" s="1409" t="str">
        <f t="shared" si="164"/>
        <v/>
      </c>
      <c r="U900" s="1408"/>
      <c r="V900" s="1408"/>
      <c r="W900" s="1408"/>
      <c r="X900" s="1408"/>
      <c r="Y900" s="1408"/>
      <c r="Z900" s="1408"/>
      <c r="AA900" s="1408"/>
    </row>
    <row r="901" spans="1:27" x14ac:dyDescent="0.25">
      <c r="A901" s="926" t="s">
        <v>1402</v>
      </c>
      <c r="B901" s="897" t="str">
        <f ca="1">IFERROR(_xlfn.CONCAT("C",MATCH(A901,INDIRECT("'"&amp;E901&amp;"'!C"&amp;$O$892&amp;":C"&amp;$O$894),0)+$O$892-1),"")</f>
        <v>C245</v>
      </c>
      <c r="C901" s="897" t="str">
        <f ca="1">IFERROR(_xlfn.CONCAT("D",MATCH(A901,INDIRECT("'"&amp;E901&amp;"'!C"&amp;$O$892&amp;":C"&amp;$O$894),0)+$O$892-1),"")</f>
        <v>D245</v>
      </c>
      <c r="D901" s="897" t="s">
        <v>1367</v>
      </c>
      <c r="E901" s="897" t="s">
        <v>1535</v>
      </c>
      <c r="F901" s="1409" t="s">
        <v>1402</v>
      </c>
      <c r="G901" s="1409" t="str">
        <f>IF(T901&lt;&gt;"","C","")</f>
        <v/>
      </c>
      <c r="H901" s="1409" t="s">
        <v>1926</v>
      </c>
      <c r="I901" s="857" t="str">
        <f t="shared" si="167"/>
        <v/>
      </c>
      <c r="J901" s="1409"/>
      <c r="K901" s="1409" t="str">
        <f t="shared" si="168"/>
        <v/>
      </c>
      <c r="L901" s="897" t="s">
        <v>1402</v>
      </c>
      <c r="M901" s="1410">
        <v>884</v>
      </c>
      <c r="N901" s="1409"/>
      <c r="O901" s="1408"/>
      <c r="P901" s="1408"/>
      <c r="Q901" s="1408"/>
      <c r="R901" s="1409" t="s">
        <v>395</v>
      </c>
      <c r="S901" s="1408"/>
      <c r="T901" s="1409" t="str">
        <f t="shared" si="164"/>
        <v/>
      </c>
      <c r="U901" s="1408"/>
      <c r="V901" s="1408"/>
      <c r="W901" s="1408"/>
      <c r="X901" s="1408"/>
      <c r="Y901" s="1408"/>
      <c r="Z901" s="1408"/>
      <c r="AA901" s="1408"/>
    </row>
    <row r="902" spans="1:27" x14ac:dyDescent="0.25">
      <c r="A902" s="926" t="s">
        <v>1403</v>
      </c>
      <c r="B902" s="897" t="str">
        <f ca="1">IFERROR(_xlfn.CONCAT("C",MATCH(A902,INDIRECT("'"&amp;E902&amp;"'!C"&amp;$O$892&amp;":C"&amp;$O$894),0)+$O$892-1),"")</f>
        <v>C247</v>
      </c>
      <c r="C902" s="897" t="str">
        <f ca="1">IFERROR(_xlfn.CONCAT("D",MATCH(A902,INDIRECT("'"&amp;E902&amp;"'!C"&amp;$O$892&amp;":C"&amp;$O$894),0)+$O$892-1),"")</f>
        <v>D247</v>
      </c>
      <c r="D902" s="897" t="s">
        <v>1367</v>
      </c>
      <c r="E902" s="897" t="s">
        <v>1535</v>
      </c>
      <c r="F902" s="1409" t="s">
        <v>1403</v>
      </c>
      <c r="G902" s="1409" t="str">
        <f>IF(T902&lt;&gt;"","D","")</f>
        <v/>
      </c>
      <c r="H902" s="1409" t="s">
        <v>1926</v>
      </c>
      <c r="I902" s="857" t="str">
        <f t="shared" si="167"/>
        <v/>
      </c>
      <c r="J902" s="1409"/>
      <c r="K902" s="1409" t="str">
        <f t="shared" si="168"/>
        <v/>
      </c>
      <c r="L902" s="897" t="s">
        <v>1403</v>
      </c>
      <c r="M902" s="1410">
        <v>885</v>
      </c>
      <c r="N902" s="1409"/>
      <c r="O902" s="1408"/>
      <c r="P902" s="1408"/>
      <c r="Q902" s="1408"/>
      <c r="R902" s="1409" t="s">
        <v>395</v>
      </c>
      <c r="S902" s="1408"/>
      <c r="T902" s="1409" t="str">
        <f t="shared" si="164"/>
        <v/>
      </c>
      <c r="U902" s="1408"/>
      <c r="V902" s="1408"/>
      <c r="W902" s="1408"/>
      <c r="X902" s="1408"/>
      <c r="Y902" s="1408"/>
      <c r="Z902" s="1408"/>
      <c r="AA902" s="1408"/>
    </row>
    <row r="903" spans="1:27" ht="30" x14ac:dyDescent="0.25">
      <c r="A903" s="920" t="s">
        <v>1514</v>
      </c>
      <c r="B903" s="897" t="str">
        <f ca="1">IFERROR(_xlfn.CONCAT("C",MATCH(A903,INDIRECT("'"&amp;E903&amp;"'!C"&amp;$O$892&amp;":C"&amp;$O$894),0)+$O$892-1),"")</f>
        <v>C249</v>
      </c>
      <c r="C903" s="897" t="str">
        <f ca="1">IFERROR(_xlfn.CONCAT("D",MATCH(A903,INDIRECT("'"&amp;E903&amp;"'!C"&amp;$O$892&amp;":C"&amp;$O$894),0)+$O$892-1),"")</f>
        <v>D249</v>
      </c>
      <c r="D903" s="897" t="s">
        <v>1367</v>
      </c>
      <c r="E903" s="897" t="s">
        <v>1535</v>
      </c>
      <c r="F903" s="1409" t="s">
        <v>1514</v>
      </c>
      <c r="G903" s="1409" t="str">
        <f>IF(T903&lt;&gt;"","AN","")</f>
        <v/>
      </c>
      <c r="H903" s="1409" t="s">
        <v>1926</v>
      </c>
      <c r="I903" s="857" t="str">
        <f t="shared" si="167"/>
        <v/>
      </c>
      <c r="J903" s="1409" t="str">
        <f t="shared" si="163"/>
        <v/>
      </c>
      <c r="K903" s="1409" t="str">
        <f t="shared" si="168"/>
        <v/>
      </c>
      <c r="L903" s="898" t="s">
        <v>1514</v>
      </c>
      <c r="M903" s="1410">
        <v>886</v>
      </c>
      <c r="N903" s="1409"/>
      <c r="O903" s="1408"/>
      <c r="P903" s="1409" t="str" cm="1">
        <f t="array" aca="1" ref="P903" ca="1">_xlfn.CONCAT("F",RIGHT(B903, LEN(B903) - MAX(IF(ISNUMBER(MID(B903, ROW(INDIRECT("1:"&amp;LEN(B903))), 1) *1)=FALSE, ROW(INDIRECT("1:"&amp;LEN(B903))), 0))))</f>
        <v>F249</v>
      </c>
      <c r="Q903" s="1409" t="str" cm="1">
        <f t="array" aca="1" ref="Q903" ca="1">_xlfn.CONCAT("E",RIGHT(C903, LEN(C903) - MAX(IF(ISNUMBER(MID(C903, ROW(INDIRECT("1:"&amp;LEN(C903))), 1) *1)=FALSE, ROW(INDIRECT("1:"&amp;LEN(C903))), 0))))</f>
        <v>E249</v>
      </c>
      <c r="R903" s="1409" t="s">
        <v>395</v>
      </c>
      <c r="S903" s="1408"/>
      <c r="T903" s="1409" t="str">
        <f t="shared" si="164"/>
        <v/>
      </c>
      <c r="U903" s="1408"/>
      <c r="V903" s="1408"/>
      <c r="W903" s="1408"/>
      <c r="X903" s="1408"/>
      <c r="Y903" s="1408"/>
      <c r="Z903" s="1408"/>
      <c r="AA903" s="1408"/>
    </row>
    <row r="904" spans="1:27" x14ac:dyDescent="0.25">
      <c r="A904" s="926" t="s">
        <v>1511</v>
      </c>
      <c r="B904" s="897" t="str">
        <f ca="1">_xlfn.CONCAT(IFERROR(SUBSTITUTE(ADDRESS(1,MATCH(A904,INDIRECT("'"&amp;E904&amp;"'"&amp;"!A" &amp; $O$892 + 8 &amp; ":Z" &amp; $O$892+ 8),0),4),1,""),""),$O$892 + 8)</f>
        <v>H247</v>
      </c>
      <c r="C904" s="897" t="str">
        <f ca="1">_xlfn.CONCAT(IFERROR(SUBSTITUTE(ADDRESS(1,MATCH(A904,INDIRECT("'"&amp;E904&amp;"'"&amp;"!A" &amp; $O$892 + 8 &amp; ":Z" &amp; $O$892+ 8),0),4),1,""),""),$O$892 + 9)</f>
        <v>H248</v>
      </c>
      <c r="D904" s="897" t="s">
        <v>1367</v>
      </c>
      <c r="E904" s="897" t="s">
        <v>1535</v>
      </c>
      <c r="F904" s="1409" t="s">
        <v>1511</v>
      </c>
      <c r="G904" s="1409" t="str">
        <f>IF(T904&lt;&gt;"","AL","")</f>
        <v/>
      </c>
      <c r="H904" s="1409" t="s">
        <v>1926</v>
      </c>
      <c r="I904" s="857" t="str">
        <f t="shared" si="167"/>
        <v/>
      </c>
      <c r="J904" s="1409" t="str">
        <f t="shared" si="163"/>
        <v/>
      </c>
      <c r="K904" s="1409" t="str">
        <f t="shared" si="168"/>
        <v/>
      </c>
      <c r="L904" s="897" t="s">
        <v>1511</v>
      </c>
      <c r="M904" s="1410">
        <v>887</v>
      </c>
      <c r="N904" s="1409"/>
      <c r="O904" s="1408"/>
      <c r="P904" s="1408"/>
      <c r="Q904" s="1408"/>
      <c r="R904" s="1409" t="s">
        <v>395</v>
      </c>
      <c r="S904" s="1408"/>
      <c r="T904" s="1409" t="str">
        <f t="shared" si="164"/>
        <v/>
      </c>
      <c r="U904" s="1408"/>
      <c r="V904" s="1408"/>
      <c r="W904" s="1408"/>
      <c r="X904" s="1408"/>
      <c r="Y904" s="1408"/>
      <c r="Z904" s="1408"/>
      <c r="AA904" s="1408"/>
    </row>
    <row r="905" spans="1:27" x14ac:dyDescent="0.25">
      <c r="A905" s="926" t="s">
        <v>1525</v>
      </c>
      <c r="B905" s="897" t="str">
        <f ca="1">_xlfn.CONCAT(IFERROR(SUBSTITUTE(ADDRESS(1,MATCH(A905,INDIRECT("'"&amp;E905&amp;"'"&amp;"!A" &amp; $O$892 + 8 &amp; ":Z" &amp; $O$892+ 8),0),4),1,""),""),$O$892 + 8)</f>
        <v>J247</v>
      </c>
      <c r="C905" s="897" t="str">
        <f ca="1">_xlfn.CONCAT(IFERROR(SUBSTITUTE(ADDRESS(1,MATCH(A905,INDIRECT("'"&amp;E905&amp;"'"&amp;"!A" &amp; $O$892 + 8 &amp; ":Z" &amp; $O$892+ 8),0),4),1,""),""),$O$892 + 9)</f>
        <v>J248</v>
      </c>
      <c r="D905" s="897" t="s">
        <v>1367</v>
      </c>
      <c r="E905" s="897" t="s">
        <v>1535</v>
      </c>
      <c r="F905" s="1409" t="s">
        <v>1932</v>
      </c>
      <c r="G905" s="1409" t="str">
        <f>IF(T905&lt;&gt;"","L","")</f>
        <v/>
      </c>
      <c r="H905" s="1409" t="s">
        <v>1926</v>
      </c>
      <c r="I905" s="857" t="str">
        <f t="shared" si="167"/>
        <v/>
      </c>
      <c r="J905" s="1409" t="str">
        <f t="shared" si="163"/>
        <v/>
      </c>
      <c r="K905" s="1409" t="str">
        <f t="shared" si="168"/>
        <v/>
      </c>
      <c r="L905" s="897" t="s">
        <v>1525</v>
      </c>
      <c r="M905" s="1410">
        <v>888</v>
      </c>
      <c r="N905" s="1409"/>
      <c r="O905" s="1408"/>
      <c r="P905" s="1408"/>
      <c r="Q905" s="1408"/>
      <c r="R905" s="1409" t="s">
        <v>395</v>
      </c>
      <c r="S905" s="1408"/>
      <c r="T905" s="1409" t="str">
        <f t="shared" si="164"/>
        <v/>
      </c>
      <c r="U905" s="1408"/>
      <c r="V905" s="1408"/>
      <c r="W905" s="1408"/>
      <c r="X905" s="1408"/>
      <c r="Y905" s="1408"/>
      <c r="Z905" s="1408"/>
      <c r="AA905" s="1408"/>
    </row>
    <row r="906" spans="1:27" x14ac:dyDescent="0.25">
      <c r="A906" s="926" t="s">
        <v>1404</v>
      </c>
      <c r="B906" s="897" t="str">
        <f ca="1">_xlfn.CONCAT(IFERROR(SUBSTITUTE(ADDRESS(1,MATCH(A906,INDIRECT("'"&amp;E906&amp;"'"&amp;"!A" &amp; $O$892 + 5 &amp; ":Z" &amp; $O$892+ 5),0),4),1,""),""),$O$892 + 5)</f>
        <v>H244</v>
      </c>
      <c r="C906" s="897" t="str">
        <f ca="1">_xlfn.CONCAT(IFERROR(SUBSTITUTE(ADDRESS(1,MATCH(A906,INDIRECT("'"&amp;E906&amp;"'"&amp;"!A" &amp; $O$892 + 5 &amp; ":Z" &amp; $O$892+ 5),0),4),1,""),""),$O$892 + 6)</f>
        <v>H245</v>
      </c>
      <c r="D906" s="897" t="s">
        <v>1367</v>
      </c>
      <c r="E906" s="897" t="s">
        <v>1535</v>
      </c>
      <c r="F906" s="919" t="s">
        <v>1404</v>
      </c>
      <c r="G906" s="1409" t="str">
        <f>IF(T906&lt;&gt;"","AH","")</f>
        <v/>
      </c>
      <c r="H906" s="1409" t="s">
        <v>1926</v>
      </c>
      <c r="I906" s="857" t="str">
        <f t="shared" si="167"/>
        <v/>
      </c>
      <c r="J906" s="1409" t="str">
        <f t="shared" si="163"/>
        <v/>
      </c>
      <c r="K906" s="1409" t="str">
        <f t="shared" si="168"/>
        <v/>
      </c>
      <c r="L906" s="897" t="s">
        <v>1404</v>
      </c>
      <c r="M906" s="1410">
        <v>889</v>
      </c>
      <c r="N906" s="1409"/>
      <c r="O906" s="1408"/>
      <c r="P906" s="1408"/>
      <c r="Q906" s="1408"/>
      <c r="R906" s="1409" t="s">
        <v>395</v>
      </c>
      <c r="S906" s="1408"/>
      <c r="T906" s="1409" t="str">
        <f t="shared" si="164"/>
        <v/>
      </c>
      <c r="U906" s="1408"/>
      <c r="V906" s="1408"/>
      <c r="W906" s="1408"/>
      <c r="X906" s="1408"/>
      <c r="Y906" s="1408"/>
      <c r="Z906" s="1408"/>
      <c r="AA906" s="1408"/>
    </row>
    <row r="907" spans="1:27" x14ac:dyDescent="0.25">
      <c r="A907" s="926" t="s">
        <v>1405</v>
      </c>
      <c r="B907" s="897" t="str">
        <f ca="1">_xlfn.CONCAT(IFERROR(SUBSTITUTE(ADDRESS(1,MATCH(A907,INDIRECT("'"&amp;E907&amp;"'"&amp;"!A" &amp; $O$892 + 5 &amp; ":Z" &amp; $O$892+ 5),0),4),1,""),""),$O$892 + 5)</f>
        <v>J244</v>
      </c>
      <c r="C907" s="897" t="str">
        <f ca="1">_xlfn.CONCAT(IFERROR(SUBSTITUTE(ADDRESS(1,MATCH(A907,INDIRECT("'"&amp;E907&amp;"'"&amp;"!A" &amp; $O$892 + 5 &amp; ":Z" &amp; $O$892+ 5),0),4),1,""),""),$O$892 + 6)</f>
        <v>J245</v>
      </c>
      <c r="D907" s="897" t="s">
        <v>1367</v>
      </c>
      <c r="E907" s="897" t="s">
        <v>1535</v>
      </c>
      <c r="F907" s="919"/>
      <c r="G907" s="1409"/>
      <c r="H907" s="1409"/>
      <c r="I907" s="857" t="str">
        <f t="shared" si="167"/>
        <v/>
      </c>
      <c r="J907" s="1409"/>
      <c r="K907" s="1409" t="str">
        <f t="shared" si="168"/>
        <v/>
      </c>
      <c r="L907" s="897" t="s">
        <v>1405</v>
      </c>
      <c r="M907" s="1410">
        <v>890</v>
      </c>
      <c r="N907" s="1409"/>
      <c r="O907" s="1408"/>
      <c r="P907" s="1408"/>
      <c r="Q907" s="1408"/>
      <c r="R907" s="1409" t="s">
        <v>395</v>
      </c>
      <c r="S907" s="1408"/>
      <c r="T907" s="1409" t="str">
        <f t="shared" si="164"/>
        <v/>
      </c>
      <c r="U907" s="1408"/>
      <c r="V907" s="1408"/>
      <c r="W907" s="1408"/>
      <c r="X907" s="1408"/>
      <c r="Y907" s="1408"/>
      <c r="Z907" s="1408"/>
      <c r="AA907" s="1408"/>
    </row>
    <row r="908" spans="1:27" x14ac:dyDescent="0.25">
      <c r="A908" s="926" t="s">
        <v>1406</v>
      </c>
      <c r="B908" s="897" t="str">
        <f ca="1">_xlfn.CONCAT(IFERROR(SUBSTITUTE(ADDRESS(1,MATCH(A908,INDIRECT("'"&amp;E908&amp;"'"&amp;"!A" &amp; $O$892 + 5 &amp; ":Z" &amp; $O$892+ 5),0),4),1,""),""),$O$892 + 5)</f>
        <v>L244</v>
      </c>
      <c r="C908" s="897" t="str">
        <f ca="1">_xlfn.CONCAT(IFERROR(SUBSTITUTE(ADDRESS(1,MATCH(A908,INDIRECT("'"&amp;E908&amp;"'"&amp;"!A" &amp; $O$892 + 5 &amp; ":Z" &amp; $O$892+ 5),0),4),1,""),""),$O$892 + 6)</f>
        <v>L245</v>
      </c>
      <c r="D908" s="897" t="s">
        <v>1367</v>
      </c>
      <c r="E908" s="897" t="s">
        <v>1535</v>
      </c>
      <c r="F908" s="1409" t="s">
        <v>1896</v>
      </c>
      <c r="G908" s="1409" t="str">
        <f>IF(T908&lt;&gt;"","AI","")</f>
        <v/>
      </c>
      <c r="H908" s="1409" t="s">
        <v>1926</v>
      </c>
      <c r="I908" s="857" t="str">
        <f t="shared" si="167"/>
        <v/>
      </c>
      <c r="J908" s="1409"/>
      <c r="K908" s="1409" t="str">
        <f t="shared" si="168"/>
        <v/>
      </c>
      <c r="L908" s="897" t="s">
        <v>1406</v>
      </c>
      <c r="M908" s="1410">
        <v>891</v>
      </c>
      <c r="N908" s="1409"/>
      <c r="O908" s="1408"/>
      <c r="P908" s="1408"/>
      <c r="Q908" s="1408"/>
      <c r="R908" s="1409" t="s">
        <v>395</v>
      </c>
      <c r="S908" s="1408"/>
      <c r="T908" s="1409" t="str">
        <f t="shared" si="164"/>
        <v/>
      </c>
      <c r="U908" s="1408"/>
      <c r="V908" s="1408"/>
      <c r="W908" s="1408"/>
      <c r="X908" s="1408"/>
      <c r="Y908" s="1408"/>
      <c r="Z908" s="1408"/>
      <c r="AA908" s="1408"/>
    </row>
    <row r="909" spans="1:27" x14ac:dyDescent="0.25">
      <c r="A909" s="926" t="s">
        <v>1527</v>
      </c>
      <c r="B909" s="897" t="str">
        <f ca="1">_xlfn.CONCAT(IFERROR(SUBSTITUTE(ADDRESS(1,MATCH(A909,INDIRECT("'"&amp;E909&amp;"'"&amp;"!A" &amp; $O$892 + 8 &amp; ":Z" &amp; $O$892+ 8),0),4),1,""),""),$O$892 + 8)</f>
        <v>P247</v>
      </c>
      <c r="C909" s="897" t="str">
        <f ca="1">_xlfn.CONCAT(IFERROR(SUBSTITUTE(ADDRESS(1,MATCH(A909,INDIRECT("'"&amp;E909&amp;"'"&amp;"!A" &amp; $O$892 + 8 &amp; ":Z" &amp; $O$892+ 8),0),4),1,""),""),$O$892 + 9)</f>
        <v>P248</v>
      </c>
      <c r="D909" s="897" t="s">
        <v>1367</v>
      </c>
      <c r="E909" s="897" t="s">
        <v>1535</v>
      </c>
      <c r="F909" s="1409" t="s">
        <v>1527</v>
      </c>
      <c r="G909" s="1409" t="str">
        <f>IF(T909&lt;&gt;"","P","")</f>
        <v/>
      </c>
      <c r="H909" s="1409" t="s">
        <v>1926</v>
      </c>
      <c r="I909" s="857" t="str">
        <f t="shared" si="167"/>
        <v/>
      </c>
      <c r="J909" s="1409" t="str">
        <f t="shared" si="163"/>
        <v/>
      </c>
      <c r="K909" s="1409" t="str">
        <f t="shared" si="168"/>
        <v/>
      </c>
      <c r="L909" s="897" t="s">
        <v>1527</v>
      </c>
      <c r="M909" s="1410">
        <v>892</v>
      </c>
      <c r="N909" s="1409"/>
      <c r="O909" s="1408"/>
      <c r="P909" s="1408"/>
      <c r="Q909" s="1408"/>
      <c r="R909" s="1409" t="s">
        <v>395</v>
      </c>
      <c r="S909" s="1408"/>
      <c r="T909" s="1409" t="str">
        <f t="shared" si="164"/>
        <v/>
      </c>
      <c r="U909" s="1408"/>
      <c r="V909" s="1408"/>
      <c r="W909" s="1408"/>
      <c r="X909" s="1408"/>
      <c r="Y909" s="1408"/>
      <c r="Z909" s="1408"/>
      <c r="AA909" s="1408"/>
    </row>
    <row r="910" spans="1:27" x14ac:dyDescent="0.25">
      <c r="A910" s="1082" t="s">
        <v>1510</v>
      </c>
      <c r="B910" s="897" t="str">
        <f ca="1">IFERROR(_xlfn.CONCAT("C",MATCH(A910,INDIRECT("'"&amp;E910&amp;"'!C"&amp;$O$911&amp;":C"&amp;$O$913),0)+$O$911-1),"")</f>
        <v>C257</v>
      </c>
      <c r="C910" s="897" t="str">
        <f ca="1">IFERROR(_xlfn.CONCAT("D",MATCH(A910,INDIRECT("'"&amp;E910&amp;"'!C"&amp;$O$911&amp;":C"&amp;$O$913),0)+$O$911-1),"")</f>
        <v>D257</v>
      </c>
      <c r="D910" s="897" t="s">
        <v>1367</v>
      </c>
      <c r="E910" s="897" t="s">
        <v>1535</v>
      </c>
      <c r="F910" s="1409" t="s">
        <v>1510</v>
      </c>
      <c r="G910" s="1409" t="str">
        <f>IF(T910&lt;&gt;"","A","")</f>
        <v/>
      </c>
      <c r="H910" s="1409" t="s">
        <v>1926</v>
      </c>
      <c r="I910" s="857" t="str">
        <f t="shared" si="167"/>
        <v/>
      </c>
      <c r="J910" s="1409"/>
      <c r="K910" s="1409" t="str">
        <f t="shared" si="168"/>
        <v/>
      </c>
      <c r="L910" s="897" t="s">
        <v>1510</v>
      </c>
      <c r="M910" s="1410">
        <v>893</v>
      </c>
      <c r="N910" s="1409"/>
      <c r="O910" s="1408" t="s">
        <v>726</v>
      </c>
      <c r="P910" s="1408"/>
      <c r="Q910" s="1408"/>
      <c r="R910" s="1409" t="s">
        <v>395</v>
      </c>
      <c r="S910" s="1408"/>
      <c r="T910" s="1409" t="str">
        <f t="shared" ref="T910:T927" si="169">IF(Q$911="Yes",18,"")</f>
        <v/>
      </c>
      <c r="U910" s="1408"/>
      <c r="V910" s="1408"/>
      <c r="W910" s="1408"/>
      <c r="X910" s="1408"/>
      <c r="Y910" s="1408"/>
      <c r="Z910" s="1408"/>
      <c r="AA910" s="1408"/>
    </row>
    <row r="911" spans="1:27" x14ac:dyDescent="0.25">
      <c r="A911" s="1082" t="s">
        <v>1724</v>
      </c>
      <c r="B911" s="897" t="str">
        <f ca="1">_xlfn.CONCAT(IFERROR(SUBSTITUTE(ADDRESS(1,MATCH(A911,INDIRECT("'"&amp;E911&amp;"'"&amp;"!A" &amp; $O$911 + 11 &amp; ":Z" &amp; $O$911 + 11),0),4),1,""),""),$O$911 + 11)</f>
        <v>T264</v>
      </c>
      <c r="C911" s="897" t="str">
        <f ca="1">_xlfn.CONCAT(IFERROR(SUBSTITUTE(ADDRESS(1,MATCH(A911,INDIRECT("'"&amp;E911&amp;"'"&amp;"!A" &amp; $O$911 + 11 &amp; ":Z" &amp; $O$911 + 11),0),4),1,""),""),$O$911 + 12)</f>
        <v>T265</v>
      </c>
      <c r="D911" s="897" t="s">
        <v>1367</v>
      </c>
      <c r="E911" s="897" t="s">
        <v>1535</v>
      </c>
      <c r="F911" s="1409"/>
      <c r="G911" s="1409"/>
      <c r="H911" s="1409"/>
      <c r="I911" s="857" t="str">
        <f t="shared" si="167"/>
        <v/>
      </c>
      <c r="J911" s="1409" t="str">
        <f>IF(M911&lt;&gt;"",IF($Q$911="Yes",Q$1&amp;M911,""))</f>
        <v/>
      </c>
      <c r="K911" s="1409" t="str">
        <f t="shared" si="168"/>
        <v/>
      </c>
      <c r="L911" s="897" t="s">
        <v>1724</v>
      </c>
      <c r="M911" s="1410">
        <v>894</v>
      </c>
      <c r="N911" s="1409"/>
      <c r="O911" s="1408">
        <f>'Configurable Tab'!H20</f>
        <v>253</v>
      </c>
      <c r="P911" s="1408">
        <f>'Configurable Tab'!J20</f>
        <v>0</v>
      </c>
      <c r="Q911" s="1408" t="s">
        <v>649</v>
      </c>
      <c r="R911" s="1409" t="s">
        <v>395</v>
      </c>
      <c r="S911" s="1408"/>
      <c r="T911" s="1409" t="str">
        <f t="shared" si="169"/>
        <v/>
      </c>
      <c r="U911" s="1408"/>
      <c r="V911" s="1408"/>
      <c r="W911" s="1408"/>
      <c r="X911" s="1408"/>
      <c r="Y911" s="1408"/>
      <c r="Z911" s="1408"/>
      <c r="AA911" s="1408"/>
    </row>
    <row r="912" spans="1:27" x14ac:dyDescent="0.25">
      <c r="A912" s="1082" t="s">
        <v>1400</v>
      </c>
      <c r="B912" s="897" t="str">
        <f ca="1">IFERROR(_xlfn.CONCAT("C",MATCH(A912,INDIRECT("'"&amp;E912&amp;"'!C"&amp;$O$911&amp;":C"&amp;$O$913),0)+$O$911-1),"")</f>
        <v>C255</v>
      </c>
      <c r="C912" s="897" t="str">
        <f ca="1">IFERROR(_xlfn.CONCAT("D",MATCH(A912,INDIRECT("'"&amp;E912&amp;"'!C"&amp;$O$911&amp;":C"&amp;$O$913),0)+$O$911-1),"")</f>
        <v>D255</v>
      </c>
      <c r="D912" s="897" t="s">
        <v>1367</v>
      </c>
      <c r="E912" s="897" t="s">
        <v>1535</v>
      </c>
      <c r="F912" s="1409" t="s">
        <v>1400</v>
      </c>
      <c r="G912" s="1409" t="str">
        <f>IF(T912&lt;&gt;"","B","")</f>
        <v/>
      </c>
      <c r="H912" s="1409" t="s">
        <v>1926</v>
      </c>
      <c r="I912" s="857" t="str">
        <f t="shared" si="167"/>
        <v/>
      </c>
      <c r="J912" s="1409"/>
      <c r="K912" s="1409" t="str">
        <f t="shared" si="168"/>
        <v/>
      </c>
      <c r="L912" s="897" t="s">
        <v>1400</v>
      </c>
      <c r="M912" s="1410">
        <v>895</v>
      </c>
      <c r="N912" s="1409"/>
      <c r="O912" s="1408" t="s">
        <v>727</v>
      </c>
      <c r="P912" s="1408"/>
      <c r="Q912" s="1408"/>
      <c r="R912" s="1409" t="s">
        <v>395</v>
      </c>
      <c r="S912" s="1408"/>
      <c r="T912" s="1409" t="str">
        <f t="shared" si="169"/>
        <v/>
      </c>
      <c r="U912" s="1408"/>
      <c r="V912" s="1408"/>
      <c r="W912" s="1408"/>
      <c r="X912" s="1408"/>
      <c r="Y912" s="1408"/>
      <c r="Z912" s="1408"/>
      <c r="AA912" s="1408"/>
    </row>
    <row r="913" spans="1:27" x14ac:dyDescent="0.25">
      <c r="A913" s="1082" t="s">
        <v>1397</v>
      </c>
      <c r="B913" s="897" t="str">
        <f t="shared" ref="B913:B919" ca="1" si="170">_xlfn.CONCAT(IFERROR(SUBSTITUTE(ADDRESS(1,MATCH(A913,INDIRECT("'"&amp;E913&amp;"'"&amp;"!A" &amp; $O$911 + 2 &amp; ":Z" &amp; $O$911 + 2),0),4),1,""),""),$O$911 + 2)</f>
        <v>H255</v>
      </c>
      <c r="C913" s="897" t="str">
        <f t="shared" ref="C913:C919" ca="1" si="171">_xlfn.CONCAT(IFERROR(SUBSTITUTE(ADDRESS(1,MATCH(A913,INDIRECT("'"&amp;E913&amp;"'"&amp;"!A" &amp; $O$911 + 2 &amp; ":Z" &amp; $O$911 + 2),0),4),1,""),""),$O$911 + 3)</f>
        <v>H256</v>
      </c>
      <c r="D913" s="897" t="s">
        <v>1367</v>
      </c>
      <c r="E913" s="897" t="s">
        <v>1535</v>
      </c>
      <c r="F913" s="1409" t="s">
        <v>1927</v>
      </c>
      <c r="G913" s="1409" t="str">
        <f>IF(T913&lt;&gt;"","E","")</f>
        <v/>
      </c>
      <c r="H913" s="1409" t="s">
        <v>1926</v>
      </c>
      <c r="I913" s="857" t="str">
        <f t="shared" si="167"/>
        <v/>
      </c>
      <c r="J913" s="1409" t="str">
        <f t="shared" ref="J913:J919" si="172">IF(M913&lt;&gt;"",IF($Q$911="Yes",Q$1&amp;M913,""))</f>
        <v/>
      </c>
      <c r="K913" s="1409" t="str">
        <f t="shared" si="168"/>
        <v/>
      </c>
      <c r="L913" s="897" t="s">
        <v>1397</v>
      </c>
      <c r="M913" s="1410">
        <v>896</v>
      </c>
      <c r="N913" s="1409"/>
      <c r="O913" s="1408">
        <f>'Configurable Tab'!I20</f>
        <v>266</v>
      </c>
      <c r="P913" s="1408"/>
      <c r="Q913" s="1408"/>
      <c r="R913" s="1409" t="s">
        <v>395</v>
      </c>
      <c r="S913" s="1408"/>
      <c r="T913" s="1409" t="str">
        <f t="shared" si="169"/>
        <v/>
      </c>
      <c r="U913" s="1408"/>
      <c r="V913" s="1408"/>
      <c r="W913" s="1408"/>
      <c r="X913" s="1408"/>
      <c r="Y913" s="1408"/>
      <c r="Z913" s="1408"/>
      <c r="AA913" s="1408"/>
    </row>
    <row r="914" spans="1:27" x14ac:dyDescent="0.25">
      <c r="A914" s="1082" t="s">
        <v>1398</v>
      </c>
      <c r="B914" s="897" t="str">
        <f t="shared" ca="1" si="170"/>
        <v>J255</v>
      </c>
      <c r="C914" s="897" t="str">
        <f t="shared" ca="1" si="171"/>
        <v>J256</v>
      </c>
      <c r="D914" s="897" t="s">
        <v>1367</v>
      </c>
      <c r="E914" s="897" t="s">
        <v>1535</v>
      </c>
      <c r="F914" s="1409" t="s">
        <v>1928</v>
      </c>
      <c r="G914" s="1409" t="str">
        <f>IF(T914&lt;&gt;"","I","")</f>
        <v/>
      </c>
      <c r="H914" s="1409" t="s">
        <v>1926</v>
      </c>
      <c r="I914" s="857" t="str">
        <f t="shared" si="167"/>
        <v/>
      </c>
      <c r="J914" s="1409" t="str">
        <f t="shared" si="172"/>
        <v/>
      </c>
      <c r="K914" s="1409" t="str">
        <f t="shared" si="168"/>
        <v/>
      </c>
      <c r="L914" s="897" t="s">
        <v>1398</v>
      </c>
      <c r="M914" s="1410">
        <v>897</v>
      </c>
      <c r="N914" s="1409"/>
      <c r="O914" s="1408" t="s">
        <v>1725</v>
      </c>
      <c r="P914" s="1408"/>
      <c r="Q914" s="1408"/>
      <c r="R914" s="1409" t="s">
        <v>395</v>
      </c>
      <c r="S914" s="1408"/>
      <c r="T914" s="1409" t="str">
        <f t="shared" si="169"/>
        <v/>
      </c>
      <c r="U914" s="1408"/>
      <c r="V914" s="1408"/>
      <c r="W914" s="1408"/>
      <c r="X914" s="1408"/>
      <c r="Y914" s="1408"/>
      <c r="Z914" s="1408"/>
      <c r="AA914" s="1408"/>
    </row>
    <row r="915" spans="1:27" x14ac:dyDescent="0.25">
      <c r="A915" s="1082" t="s">
        <v>1414</v>
      </c>
      <c r="B915" s="897" t="str">
        <f t="shared" ca="1" si="170"/>
        <v>L255</v>
      </c>
      <c r="C915" s="897" t="str">
        <f t="shared" ca="1" si="171"/>
        <v>L256</v>
      </c>
      <c r="D915" s="897" t="s">
        <v>1367</v>
      </c>
      <c r="E915" s="897" t="s">
        <v>1535</v>
      </c>
      <c r="F915" s="1409" t="s">
        <v>1929</v>
      </c>
      <c r="G915" s="1409" t="str">
        <f>IF(T915&lt;&gt;"","H","")</f>
        <v/>
      </c>
      <c r="H915" s="1409" t="s">
        <v>1926</v>
      </c>
      <c r="I915" s="857" t="str">
        <f t="shared" si="167"/>
        <v/>
      </c>
      <c r="J915" s="1409" t="str">
        <f t="shared" si="172"/>
        <v/>
      </c>
      <c r="K915" s="1409" t="str">
        <f t="shared" si="168"/>
        <v/>
      </c>
      <c r="L915" s="897" t="s">
        <v>1414</v>
      </c>
      <c r="M915" s="1410">
        <v>898</v>
      </c>
      <c r="N915" s="1409"/>
      <c r="O915" s="1408"/>
      <c r="P915" s="1408"/>
      <c r="Q915" s="1408"/>
      <c r="R915" s="1409" t="s">
        <v>395</v>
      </c>
      <c r="S915" s="1408"/>
      <c r="T915" s="1409" t="str">
        <f t="shared" si="169"/>
        <v/>
      </c>
      <c r="U915" s="1408"/>
      <c r="V915" s="1408"/>
      <c r="W915" s="1408"/>
      <c r="X915" s="1408"/>
      <c r="Y915" s="1408"/>
      <c r="Z915" s="1408"/>
      <c r="AA915" s="1408"/>
    </row>
    <row r="916" spans="1:27" x14ac:dyDescent="0.25">
      <c r="A916" s="1082" t="s">
        <v>1399</v>
      </c>
      <c r="B916" s="897" t="str">
        <f t="shared" ca="1" si="170"/>
        <v>N255</v>
      </c>
      <c r="C916" s="897" t="str">
        <f t="shared" ca="1" si="171"/>
        <v>N256</v>
      </c>
      <c r="D916" s="897" t="s">
        <v>1367</v>
      </c>
      <c r="E916" s="897" t="s">
        <v>1535</v>
      </c>
      <c r="F916" s="1409" t="s">
        <v>1399</v>
      </c>
      <c r="G916" s="1409" t="str">
        <f>IF(T916&lt;&gt;"",IF(Q914="Credit Memo","J",IF(Q914="Check","K","")),"")</f>
        <v/>
      </c>
      <c r="H916" s="1409" t="s">
        <v>1926</v>
      </c>
      <c r="I916" s="857" t="str">
        <f t="shared" si="167"/>
        <v/>
      </c>
      <c r="J916" s="1409" t="str">
        <f t="shared" si="172"/>
        <v/>
      </c>
      <c r="K916" s="1409" t="str">
        <f t="shared" si="168"/>
        <v/>
      </c>
      <c r="L916" s="897" t="s">
        <v>1399</v>
      </c>
      <c r="M916" s="1410">
        <v>899</v>
      </c>
      <c r="N916" s="1409"/>
      <c r="O916" s="1408"/>
      <c r="P916" s="1408"/>
      <c r="Q916" s="1408"/>
      <c r="R916" s="1409" t="s">
        <v>395</v>
      </c>
      <c r="S916" s="1408"/>
      <c r="T916" s="1409" t="str">
        <f t="shared" si="169"/>
        <v/>
      </c>
      <c r="U916" s="1408"/>
      <c r="V916" s="1408"/>
      <c r="W916" s="1408"/>
      <c r="X916" s="1408"/>
      <c r="Y916" s="1408"/>
      <c r="Z916" s="1408"/>
      <c r="AA916" s="1408"/>
    </row>
    <row r="917" spans="1:27" x14ac:dyDescent="0.25">
      <c r="A917" s="1082" t="s">
        <v>1505</v>
      </c>
      <c r="B917" s="897" t="str">
        <f t="shared" ca="1" si="170"/>
        <v>P255</v>
      </c>
      <c r="C917" s="897" t="str">
        <f t="shared" ca="1" si="171"/>
        <v>P256</v>
      </c>
      <c r="D917" s="897" t="s">
        <v>1367</v>
      </c>
      <c r="E917" s="897" t="s">
        <v>1535</v>
      </c>
      <c r="F917" s="1409" t="s">
        <v>1930</v>
      </c>
      <c r="G917" s="1409" t="str">
        <f>IF(T917&lt;&gt;"","F","")</f>
        <v/>
      </c>
      <c r="H917" s="1409" t="s">
        <v>1926</v>
      </c>
      <c r="I917" s="857" t="str">
        <f t="shared" si="167"/>
        <v/>
      </c>
      <c r="J917" s="1409" t="str">
        <f t="shared" si="172"/>
        <v/>
      </c>
      <c r="K917" s="1409" t="str">
        <f t="shared" si="168"/>
        <v/>
      </c>
      <c r="L917" s="897" t="s">
        <v>1505</v>
      </c>
      <c r="M917" s="1410">
        <v>900</v>
      </c>
      <c r="N917" s="1409"/>
      <c r="O917" s="1408"/>
      <c r="P917" s="1408"/>
      <c r="Q917" s="1408"/>
      <c r="R917" s="1409" t="s">
        <v>395</v>
      </c>
      <c r="S917" s="1408"/>
      <c r="T917" s="1409" t="str">
        <f t="shared" si="169"/>
        <v/>
      </c>
      <c r="U917" s="1408"/>
      <c r="V917" s="1408"/>
      <c r="W917" s="1408"/>
      <c r="X917" s="1408"/>
      <c r="Y917" s="1408"/>
      <c r="Z917" s="1408"/>
      <c r="AA917" s="1408"/>
    </row>
    <row r="918" spans="1:27" x14ac:dyDescent="0.25">
      <c r="A918" s="1082" t="s">
        <v>1506</v>
      </c>
      <c r="B918" s="897" t="str">
        <f t="shared" ca="1" si="170"/>
        <v>R255</v>
      </c>
      <c r="C918" s="897" t="str">
        <f t="shared" ca="1" si="171"/>
        <v>R256</v>
      </c>
      <c r="D918" s="897" t="s">
        <v>1367</v>
      </c>
      <c r="E918" s="897" t="s">
        <v>1535</v>
      </c>
      <c r="F918" s="1409" t="s">
        <v>1931</v>
      </c>
      <c r="G918" s="1409" t="str">
        <f>IF(T918&lt;&gt;"","G","")</f>
        <v/>
      </c>
      <c r="H918" s="1409" t="s">
        <v>1926</v>
      </c>
      <c r="I918" s="857" t="str">
        <f t="shared" si="167"/>
        <v/>
      </c>
      <c r="J918" s="1409" t="str">
        <f t="shared" si="172"/>
        <v/>
      </c>
      <c r="K918" s="1409" t="str">
        <f t="shared" si="168"/>
        <v/>
      </c>
      <c r="L918" s="897" t="s">
        <v>1506</v>
      </c>
      <c r="M918" s="1410">
        <v>901</v>
      </c>
      <c r="N918" s="1409"/>
      <c r="O918" s="1408"/>
      <c r="P918" s="1408"/>
      <c r="Q918" s="1408"/>
      <c r="R918" s="1409" t="s">
        <v>395</v>
      </c>
      <c r="S918" s="1408"/>
      <c r="T918" s="1409" t="str">
        <f t="shared" si="169"/>
        <v/>
      </c>
      <c r="U918" s="1408"/>
      <c r="V918" s="1408"/>
      <c r="W918" s="1408"/>
      <c r="X918" s="1408"/>
      <c r="Y918" s="1408"/>
      <c r="Z918" s="1408"/>
      <c r="AA918" s="1408"/>
    </row>
    <row r="919" spans="1:27" x14ac:dyDescent="0.25">
      <c r="A919" s="1082" t="s">
        <v>1507</v>
      </c>
      <c r="B919" s="897" t="str">
        <f t="shared" ca="1" si="170"/>
        <v>T255</v>
      </c>
      <c r="C919" s="897" t="str">
        <f t="shared" ca="1" si="171"/>
        <v>T256</v>
      </c>
      <c r="D919" s="897" t="s">
        <v>1367</v>
      </c>
      <c r="E919" s="897" t="s">
        <v>1535</v>
      </c>
      <c r="F919" s="919" t="s">
        <v>1507</v>
      </c>
      <c r="G919" s="1409" t="str">
        <f>IF(T919&lt;&gt;"","AW","")</f>
        <v/>
      </c>
      <c r="H919" s="1409" t="s">
        <v>1926</v>
      </c>
      <c r="I919" s="857" t="str">
        <f t="shared" si="167"/>
        <v/>
      </c>
      <c r="J919" s="1409" t="str">
        <f t="shared" si="172"/>
        <v/>
      </c>
      <c r="K919" s="1409" t="str">
        <f t="shared" si="168"/>
        <v/>
      </c>
      <c r="L919" s="897" t="s">
        <v>1507</v>
      </c>
      <c r="M919" s="1410">
        <v>902</v>
      </c>
      <c r="N919" s="1409"/>
      <c r="O919" s="1408"/>
      <c r="P919" s="1408"/>
      <c r="Q919" s="1408"/>
      <c r="R919" s="1409" t="s">
        <v>395</v>
      </c>
      <c r="S919" s="1408"/>
      <c r="T919" s="1409" t="str">
        <f t="shared" si="169"/>
        <v/>
      </c>
      <c r="U919" s="1408"/>
      <c r="V919" s="1408"/>
      <c r="W919" s="1408"/>
      <c r="X919" s="1408"/>
      <c r="Y919" s="1408"/>
      <c r="Z919" s="1408"/>
      <c r="AA919" s="1408"/>
    </row>
    <row r="920" spans="1:27" x14ac:dyDescent="0.25">
      <c r="A920" s="1082" t="s">
        <v>1402</v>
      </c>
      <c r="B920" s="897" t="str">
        <f ca="1">IFERROR(_xlfn.CONCAT("C",MATCH(A920,INDIRECT("'"&amp;E920&amp;"'!C"&amp;$O$911&amp;":C"&amp;$O$913),0)+$O$911-1),"")</f>
        <v>C259</v>
      </c>
      <c r="C920" s="897" t="str">
        <f ca="1">IFERROR(_xlfn.CONCAT("D",MATCH(A920,INDIRECT("'"&amp;E920&amp;"'!C"&amp;$O$911&amp;":C"&amp;$O$913),0)+$O$911-1),"")</f>
        <v>D259</v>
      </c>
      <c r="D920" s="897" t="s">
        <v>1367</v>
      </c>
      <c r="E920" s="897" t="s">
        <v>1535</v>
      </c>
      <c r="F920" s="1409" t="s">
        <v>1402</v>
      </c>
      <c r="G920" s="1409" t="str">
        <f>IF(T920&lt;&gt;"","C","")</f>
        <v/>
      </c>
      <c r="H920" s="1409" t="s">
        <v>1926</v>
      </c>
      <c r="I920" s="857" t="str">
        <f t="shared" si="167"/>
        <v/>
      </c>
      <c r="J920" s="1409"/>
      <c r="K920" s="1409" t="str">
        <f t="shared" si="168"/>
        <v/>
      </c>
      <c r="L920" s="897" t="s">
        <v>1402</v>
      </c>
      <c r="M920" s="1410">
        <v>903</v>
      </c>
      <c r="N920" s="1409"/>
      <c r="O920" s="1408"/>
      <c r="P920" s="1408"/>
      <c r="Q920" s="1408"/>
      <c r="R920" s="1409" t="s">
        <v>395</v>
      </c>
      <c r="S920" s="1408"/>
      <c r="T920" s="1409" t="str">
        <f t="shared" si="169"/>
        <v/>
      </c>
      <c r="U920" s="1408"/>
      <c r="V920" s="1408"/>
      <c r="W920" s="1408"/>
      <c r="X920" s="1408"/>
      <c r="Y920" s="1408"/>
      <c r="Z920" s="1408"/>
      <c r="AA920" s="1408"/>
    </row>
    <row r="921" spans="1:27" x14ac:dyDescent="0.25">
      <c r="A921" s="1082" t="s">
        <v>1403</v>
      </c>
      <c r="B921" s="897" t="str">
        <f t="shared" ref="B921:B922" ca="1" si="173">IFERROR(_xlfn.CONCAT("C",MATCH(A921,INDIRECT("'"&amp;E921&amp;"'!C"&amp;$O$911&amp;":C"&amp;$O$913),0)+$O$911-1),"")</f>
        <v>C261</v>
      </c>
      <c r="C921" s="897" t="str">
        <f ca="1">IFERROR(_xlfn.CONCAT("D",MATCH(A921,INDIRECT("'"&amp;E921&amp;"'!C"&amp;$O$911&amp;":C"&amp;$O$913),0)+$O$911-1),"")</f>
        <v>D261</v>
      </c>
      <c r="D921" s="897" t="s">
        <v>1367</v>
      </c>
      <c r="E921" s="897" t="s">
        <v>1535</v>
      </c>
      <c r="F921" s="1409" t="s">
        <v>1403</v>
      </c>
      <c r="G921" s="1409" t="str">
        <f>IF(T921&lt;&gt;"","D","")</f>
        <v/>
      </c>
      <c r="H921" s="1409" t="s">
        <v>1926</v>
      </c>
      <c r="I921" s="857" t="str">
        <f t="shared" si="167"/>
        <v/>
      </c>
      <c r="J921" s="1409"/>
      <c r="K921" s="1409" t="str">
        <f t="shared" si="168"/>
        <v/>
      </c>
      <c r="L921" s="897" t="s">
        <v>1403</v>
      </c>
      <c r="M921" s="1410">
        <v>904</v>
      </c>
      <c r="N921" s="1409"/>
      <c r="O921" s="1408"/>
      <c r="P921" s="1408"/>
      <c r="Q921" s="1408"/>
      <c r="R921" s="1409" t="s">
        <v>395</v>
      </c>
      <c r="S921" s="1408"/>
      <c r="T921" s="1409" t="str">
        <f t="shared" si="169"/>
        <v/>
      </c>
      <c r="U921" s="1408"/>
      <c r="V921" s="1408"/>
      <c r="W921" s="1408"/>
      <c r="X921" s="1408"/>
      <c r="Y921" s="1408"/>
      <c r="Z921" s="1408"/>
      <c r="AA921" s="1408"/>
    </row>
    <row r="922" spans="1:27" ht="30" x14ac:dyDescent="0.25">
      <c r="A922" s="1101" t="s">
        <v>1514</v>
      </c>
      <c r="B922" s="897" t="str">
        <f t="shared" ca="1" si="173"/>
        <v>C263</v>
      </c>
      <c r="C922" s="897" t="str">
        <f ca="1">IFERROR(_xlfn.CONCAT("D",MATCH(A922,INDIRECT("'"&amp;E922&amp;"'!C"&amp;$O$911&amp;":C"&amp;$O$913),0)+$O$911-1),"")</f>
        <v>D263</v>
      </c>
      <c r="D922" s="897" t="s">
        <v>1367</v>
      </c>
      <c r="E922" s="897" t="s">
        <v>1535</v>
      </c>
      <c r="F922" s="1409" t="s">
        <v>1514</v>
      </c>
      <c r="G922" s="1409" t="str">
        <f>IF(T922&lt;&gt;"","AN","")</f>
        <v/>
      </c>
      <c r="H922" s="1409" t="s">
        <v>1926</v>
      </c>
      <c r="I922" s="857" t="str">
        <f t="shared" si="167"/>
        <v/>
      </c>
      <c r="J922" s="1409" t="str">
        <f>IF(M922&lt;&gt;"",IF($Q$911="Yes",Q$1&amp;M922,""))</f>
        <v/>
      </c>
      <c r="K922" s="1409" t="str">
        <f t="shared" si="168"/>
        <v/>
      </c>
      <c r="L922" s="898" t="s">
        <v>1514</v>
      </c>
      <c r="M922" s="1410">
        <v>905</v>
      </c>
      <c r="N922" s="1409"/>
      <c r="O922" s="1408"/>
      <c r="P922" s="1409" t="str" cm="1">
        <f t="array" aca="1" ref="P922" ca="1">_xlfn.CONCAT("F",RIGHT(B922, LEN(B922) - MAX(IF(ISNUMBER(MID(B922, ROW(INDIRECT("1:"&amp;LEN(B922))), 1) *1)=FALSE, ROW(INDIRECT("1:"&amp;LEN(B922))), 0))))</f>
        <v>F263</v>
      </c>
      <c r="Q922" s="1409" t="str" cm="1">
        <f t="array" aca="1" ref="Q922" ca="1">_xlfn.CONCAT("E",RIGHT(C922, LEN(C922) - MAX(IF(ISNUMBER(MID(C922, ROW(INDIRECT("1:"&amp;LEN(C922))), 1) *1)=FALSE, ROW(INDIRECT("1:"&amp;LEN(C922))), 0))))</f>
        <v>E263</v>
      </c>
      <c r="R922" s="1409" t="s">
        <v>395</v>
      </c>
      <c r="S922" s="1408"/>
      <c r="T922" s="1409" t="str">
        <f t="shared" si="169"/>
        <v/>
      </c>
      <c r="U922" s="1408"/>
      <c r="V922" s="1408"/>
      <c r="W922" s="1408"/>
      <c r="X922" s="1408"/>
      <c r="Y922" s="1408"/>
      <c r="Z922" s="1408"/>
      <c r="AA922" s="1408"/>
    </row>
    <row r="923" spans="1:27" x14ac:dyDescent="0.25">
      <c r="A923" s="1082" t="s">
        <v>1511</v>
      </c>
      <c r="B923" s="897" t="str">
        <f ca="1">_xlfn.CONCAT(IFERROR(SUBSTITUTE(ADDRESS(1,MATCH(A923,INDIRECT("'"&amp;E923&amp;"'"&amp;"!A" &amp; $O$911 + 8 &amp; ":Z" &amp; $O$911 + 8),0),4),1,""),""),$O$911 + 8)</f>
        <v>H261</v>
      </c>
      <c r="C923" s="897" t="str">
        <f ca="1">_xlfn.CONCAT(IFERROR(SUBSTITUTE(ADDRESS(1,MATCH(A923,INDIRECT("'"&amp;E923&amp;"'"&amp;"!A" &amp; $O$911 + 8 &amp; ":Z" &amp; $O$911 + 8),0),4),1,""),""),$O$911 + 9)</f>
        <v>H262</v>
      </c>
      <c r="D923" s="897" t="s">
        <v>1367</v>
      </c>
      <c r="E923" s="897" t="s">
        <v>1535</v>
      </c>
      <c r="F923" s="1409" t="s">
        <v>1511</v>
      </c>
      <c r="G923" s="1409" t="str">
        <f>IF(T923&lt;&gt;"","AL","")</f>
        <v/>
      </c>
      <c r="H923" s="1409" t="s">
        <v>1926</v>
      </c>
      <c r="I923" s="857" t="str">
        <f t="shared" si="167"/>
        <v/>
      </c>
      <c r="J923" s="1409" t="str">
        <f>IF(M923&lt;&gt;"",IF($Q$911="Yes",Q$1&amp;M923,""))</f>
        <v/>
      </c>
      <c r="K923" s="1409" t="str">
        <f t="shared" si="168"/>
        <v/>
      </c>
      <c r="L923" s="897" t="s">
        <v>1511</v>
      </c>
      <c r="M923" s="1410">
        <v>906</v>
      </c>
      <c r="N923" s="1409"/>
      <c r="O923" s="1408"/>
      <c r="P923" s="1408"/>
      <c r="Q923" s="1408"/>
      <c r="R923" s="1409" t="s">
        <v>395</v>
      </c>
      <c r="S923" s="1408"/>
      <c r="T923" s="1409" t="str">
        <f t="shared" si="169"/>
        <v/>
      </c>
      <c r="U923" s="1408"/>
      <c r="V923" s="1408"/>
      <c r="W923" s="1408"/>
      <c r="X923" s="1408"/>
      <c r="Y923" s="1408"/>
      <c r="Z923" s="1408"/>
      <c r="AA923" s="1408"/>
    </row>
    <row r="924" spans="1:27" x14ac:dyDescent="0.25">
      <c r="A924" s="1082" t="s">
        <v>1525</v>
      </c>
      <c r="B924" s="897" t="str">
        <f ca="1">_xlfn.CONCAT(IFERROR(SUBSTITUTE(ADDRESS(1,MATCH(A924,INDIRECT("'"&amp;E924&amp;"'"&amp;"!A" &amp; $O$911 + 8 &amp; ":Z" &amp; $O$911 + 8),0),4),1,""),""),$O$911 + 8)</f>
        <v>J261</v>
      </c>
      <c r="C924" s="897" t="str">
        <f ca="1">_xlfn.CONCAT(IFERROR(SUBSTITUTE(ADDRESS(1,MATCH(A924,INDIRECT("'"&amp;E924&amp;"'"&amp;"!A" &amp; $O$911 + 8 &amp; ":Z" &amp; $O$911 + 8),0),4),1,""),""),$O$911 + 9)</f>
        <v>J262</v>
      </c>
      <c r="D924" s="897" t="s">
        <v>1367</v>
      </c>
      <c r="E924" s="897" t="s">
        <v>1535</v>
      </c>
      <c r="F924" s="1409" t="s">
        <v>1932</v>
      </c>
      <c r="G924" s="1409" t="str">
        <f>IF(T924&lt;&gt;"","L","")</f>
        <v/>
      </c>
      <c r="H924" s="1409" t="s">
        <v>1926</v>
      </c>
      <c r="I924" s="857" t="str">
        <f t="shared" si="167"/>
        <v/>
      </c>
      <c r="J924" s="1409" t="str">
        <f>IF(M924&lt;&gt;"",IF($Q$911="Yes",Q$1&amp;M924,""))</f>
        <v/>
      </c>
      <c r="K924" s="1409" t="str">
        <f t="shared" si="168"/>
        <v/>
      </c>
      <c r="L924" s="897" t="s">
        <v>1525</v>
      </c>
      <c r="M924" s="1410">
        <v>907</v>
      </c>
      <c r="N924" s="1409"/>
      <c r="O924" s="1408"/>
      <c r="P924" s="1408"/>
      <c r="Q924" s="1408"/>
      <c r="R924" s="1409" t="s">
        <v>395</v>
      </c>
      <c r="S924" s="1408"/>
      <c r="T924" s="1409" t="str">
        <f t="shared" si="169"/>
        <v/>
      </c>
      <c r="U924" s="1408"/>
      <c r="V924" s="1408"/>
      <c r="W924" s="1408"/>
      <c r="X924" s="1408"/>
      <c r="Y924" s="1408"/>
      <c r="Z924" s="1408"/>
      <c r="AA924" s="1408"/>
    </row>
    <row r="925" spans="1:27" x14ac:dyDescent="0.25">
      <c r="A925" s="1082" t="s">
        <v>1404</v>
      </c>
      <c r="B925" s="897" t="str">
        <f ca="1">_xlfn.CONCAT(IFERROR(SUBSTITUTE(ADDRESS(1,MATCH(A925,INDIRECT("'"&amp;E925&amp;"'"&amp;"!A" &amp; $O$911 + 5 &amp; ":Z" &amp; $O$911 + 5),0),4),1,""),""),$O$911 + 5)</f>
        <v>H258</v>
      </c>
      <c r="C925" s="897" t="str">
        <f ca="1">_xlfn.CONCAT(IFERROR(SUBSTITUTE(ADDRESS(1,MATCH(A925,INDIRECT("'"&amp;E925&amp;"'"&amp;"!A" &amp; $O$911 + 5 &amp; ":Z" &amp; $O$911 + 5),0),4),1,""),""),$O$911 + 6)</f>
        <v>H259</v>
      </c>
      <c r="D925" s="897" t="s">
        <v>1367</v>
      </c>
      <c r="E925" s="897" t="s">
        <v>1535</v>
      </c>
      <c r="F925" s="919" t="s">
        <v>1404</v>
      </c>
      <c r="G925" s="1409" t="str">
        <f>IF(T925&lt;&gt;"","AH","")</f>
        <v/>
      </c>
      <c r="H925" s="1409" t="s">
        <v>1926</v>
      </c>
      <c r="I925" s="857" t="str">
        <f t="shared" si="167"/>
        <v/>
      </c>
      <c r="J925" s="1409" t="str">
        <f>IF(M925&lt;&gt;"",IF($Q$911="Yes",Q$1&amp;M925,""))</f>
        <v/>
      </c>
      <c r="K925" s="1409" t="str">
        <f t="shared" si="168"/>
        <v/>
      </c>
      <c r="L925" s="897" t="s">
        <v>1404</v>
      </c>
      <c r="M925" s="1410">
        <v>908</v>
      </c>
      <c r="N925" s="1409"/>
      <c r="O925" s="1408"/>
      <c r="P925" s="1408"/>
      <c r="Q925" s="1408"/>
      <c r="R925" s="1409" t="s">
        <v>395</v>
      </c>
      <c r="S925" s="1408"/>
      <c r="T925" s="1409" t="str">
        <f t="shared" si="169"/>
        <v/>
      </c>
      <c r="U925" s="1408"/>
      <c r="V925" s="1408"/>
      <c r="W925" s="1408"/>
      <c r="X925" s="1408"/>
      <c r="Y925" s="1408"/>
      <c r="Z925" s="1408"/>
      <c r="AA925" s="1408"/>
    </row>
    <row r="926" spans="1:27" x14ac:dyDescent="0.25">
      <c r="A926" s="1082" t="s">
        <v>1405</v>
      </c>
      <c r="B926" s="897" t="str">
        <f ca="1">_xlfn.CONCAT(IFERROR(SUBSTITUTE(ADDRESS(1,MATCH(A926,INDIRECT("'"&amp;E926&amp;"'"&amp;"!A" &amp; $O$911 + 5 &amp; ":Z" &amp; $O$911 + 5),0),4),1,""),""),$O$911 + 5)</f>
        <v>J258</v>
      </c>
      <c r="C926" s="897" t="str">
        <f ca="1">_xlfn.CONCAT(IFERROR(SUBSTITUTE(ADDRESS(1,MATCH(A926,INDIRECT("'"&amp;E926&amp;"'"&amp;"!A" &amp; $O$911 + 5 &amp; ":Z" &amp; $O$911 + 5),0),4),1,""),""),$O$911 + 6)</f>
        <v>J259</v>
      </c>
      <c r="D926" s="897" t="s">
        <v>1367</v>
      </c>
      <c r="E926" s="897" t="s">
        <v>1535</v>
      </c>
      <c r="F926" s="919"/>
      <c r="G926" s="1409"/>
      <c r="H926" s="1409"/>
      <c r="I926" s="857" t="str">
        <f t="shared" si="167"/>
        <v/>
      </c>
      <c r="J926" s="1409"/>
      <c r="K926" s="1409" t="str">
        <f t="shared" si="168"/>
        <v/>
      </c>
      <c r="L926" s="897" t="s">
        <v>1405</v>
      </c>
      <c r="M926" s="1410">
        <v>909</v>
      </c>
      <c r="N926" s="1409"/>
      <c r="O926" s="1408"/>
      <c r="P926" s="1408"/>
      <c r="Q926" s="1408"/>
      <c r="R926" s="1409" t="s">
        <v>395</v>
      </c>
      <c r="S926" s="1408"/>
      <c r="T926" s="1409" t="str">
        <f t="shared" si="169"/>
        <v/>
      </c>
      <c r="U926" s="1408"/>
      <c r="V926" s="1408"/>
      <c r="W926" s="1408"/>
      <c r="X926" s="1408"/>
      <c r="Y926" s="1408"/>
      <c r="Z926" s="1408"/>
      <c r="AA926" s="1408"/>
    </row>
    <row r="927" spans="1:27" x14ac:dyDescent="0.25">
      <c r="A927" s="1082" t="s">
        <v>1406</v>
      </c>
      <c r="B927" s="897" t="str">
        <f ca="1">_xlfn.CONCAT(IFERROR(SUBSTITUTE(ADDRESS(1,MATCH(A927,INDIRECT("'"&amp;E927&amp;"'"&amp;"!A" &amp; $O$911 + 5 &amp; ":Z" &amp; $O$911 + 5),0),4),1,""),""),$O$911 + 5)</f>
        <v>L258</v>
      </c>
      <c r="C927" s="897" t="str">
        <f ca="1">_xlfn.CONCAT(IFERROR(SUBSTITUTE(ADDRESS(1,MATCH(A927,INDIRECT("'"&amp;E927&amp;"'"&amp;"!A" &amp; $O$911 + 5 &amp; ":Z" &amp; $O$911 + 5),0),4),1,""),""),$O$911 + 6)</f>
        <v>L259</v>
      </c>
      <c r="D927" s="897" t="s">
        <v>1367</v>
      </c>
      <c r="E927" s="897" t="s">
        <v>1535</v>
      </c>
      <c r="F927" s="1409" t="s">
        <v>1896</v>
      </c>
      <c r="G927" s="1409" t="str">
        <f>IF(T927&lt;&gt;"","AI","")</f>
        <v/>
      </c>
      <c r="H927" s="1409" t="s">
        <v>1926</v>
      </c>
      <c r="I927" s="857" t="str">
        <f t="shared" si="167"/>
        <v/>
      </c>
      <c r="J927" s="1409"/>
      <c r="K927" s="1409" t="str">
        <f t="shared" si="168"/>
        <v/>
      </c>
      <c r="L927" s="897" t="s">
        <v>1406</v>
      </c>
      <c r="M927" s="1410">
        <v>910</v>
      </c>
      <c r="N927" s="1409"/>
      <c r="O927" s="1408"/>
      <c r="P927" s="1408"/>
      <c r="Q927" s="1408"/>
      <c r="R927" s="1409" t="s">
        <v>395</v>
      </c>
      <c r="S927" s="1408"/>
      <c r="T927" s="1409" t="str">
        <f t="shared" si="169"/>
        <v/>
      </c>
      <c r="U927" s="1408"/>
      <c r="V927" s="1408"/>
      <c r="W927" s="1408"/>
      <c r="X927" s="1408"/>
      <c r="Y927" s="1408"/>
      <c r="Z927" s="1408"/>
      <c r="AA927" s="1408"/>
    </row>
    <row r="928" spans="1:27" x14ac:dyDescent="0.25">
      <c r="A928" s="1082" t="s">
        <v>1527</v>
      </c>
      <c r="B928" s="897" t="str">
        <f ca="1">_xlfn.CONCAT(IFERROR(SUBSTITUTE(ADDRESS(1,MATCH(A928,INDIRECT("'"&amp;E928&amp;"'"&amp;"!A" &amp; $O$911 + 8 &amp; ":Z" &amp; $O$911 + 8),0),4),1,""),""),$O$911 + 8)</f>
        <v>P261</v>
      </c>
      <c r="C928" s="897" t="str">
        <f ca="1">_xlfn.CONCAT(IFERROR(SUBSTITUTE(ADDRESS(1,MATCH(A928,INDIRECT("'"&amp;E928&amp;"'"&amp;"!A" &amp; $O$911 + 8 &amp; ":Z" &amp; $O$911 + 8),0),4),1,""),""),$O$911 + 9)</f>
        <v>P262</v>
      </c>
      <c r="D928" s="897" t="s">
        <v>1367</v>
      </c>
      <c r="E928" s="897" t="s">
        <v>1535</v>
      </c>
      <c r="F928" s="1409" t="s">
        <v>1527</v>
      </c>
      <c r="G928" s="1409" t="str">
        <f>IF(T928&lt;&gt;"","P","")</f>
        <v/>
      </c>
      <c r="H928" s="1409" t="s">
        <v>1926</v>
      </c>
      <c r="I928" s="857" t="str">
        <f t="shared" si="167"/>
        <v/>
      </c>
      <c r="J928" s="1409" t="str">
        <f>IF(M928&lt;&gt;"",IF($Q$911="Yes",Q$1&amp;M928,""))</f>
        <v/>
      </c>
      <c r="K928" s="1409" t="str">
        <f t="shared" si="168"/>
        <v/>
      </c>
      <c r="L928" s="897" t="s">
        <v>1527</v>
      </c>
      <c r="M928" s="1410">
        <v>911</v>
      </c>
      <c r="N928" s="1409"/>
      <c r="O928" s="1408"/>
      <c r="P928" s="1408"/>
      <c r="Q928" s="1408"/>
      <c r="R928" s="1409" t="s">
        <v>395</v>
      </c>
      <c r="S928" s="1408"/>
      <c r="T928" s="1409" t="str">
        <f>IF(Q$911="Yes",18,"")</f>
        <v/>
      </c>
      <c r="U928" s="1408"/>
      <c r="V928" s="1408"/>
      <c r="W928" s="1408"/>
      <c r="X928" s="1408"/>
      <c r="Y928" s="1408"/>
      <c r="Z928" s="1408"/>
      <c r="AA928" s="1408"/>
    </row>
    <row r="929" spans="1:27" x14ac:dyDescent="0.25">
      <c r="A929" s="1102" t="s">
        <v>1510</v>
      </c>
      <c r="B929" s="897" t="str">
        <f ca="1">IFERROR(_xlfn.CONCAT("C",MATCH(A929,INDIRECT("'"&amp;E929&amp;"'!C"&amp;$O$930&amp;":C"&amp;$O$932),0)+$O$930-1),"")</f>
        <v>C271</v>
      </c>
      <c r="C929" s="897" t="str">
        <f ca="1">IFERROR(_xlfn.CONCAT("D",MATCH(A929,INDIRECT("'"&amp;E929&amp;"'!C"&amp;$O$930&amp;":C"&amp;$O$932),0)+$O$930-1),"")</f>
        <v>D271</v>
      </c>
      <c r="D929" s="897" t="s">
        <v>1367</v>
      </c>
      <c r="E929" s="897" t="s">
        <v>1535</v>
      </c>
      <c r="F929" s="1409" t="s">
        <v>1510</v>
      </c>
      <c r="G929" s="1409" t="str">
        <f>IF(T929&lt;&gt;"","A","")</f>
        <v/>
      </c>
      <c r="H929" s="1409" t="s">
        <v>1926</v>
      </c>
      <c r="I929" s="857" t="str">
        <f t="shared" si="167"/>
        <v/>
      </c>
      <c r="J929" s="1409"/>
      <c r="K929" s="1409" t="str">
        <f t="shared" si="168"/>
        <v/>
      </c>
      <c r="L929" s="897" t="s">
        <v>1510</v>
      </c>
      <c r="M929" s="1410">
        <v>912</v>
      </c>
      <c r="N929" s="1409"/>
      <c r="O929" s="1408" t="s">
        <v>726</v>
      </c>
      <c r="P929" s="1408"/>
      <c r="Q929" s="1408"/>
      <c r="R929" s="1409" t="s">
        <v>395</v>
      </c>
      <c r="S929" s="1408"/>
      <c r="T929" s="1409" t="str">
        <f t="shared" ref="T929:T946" si="174">IF(Q$930="Yes",19,"")</f>
        <v/>
      </c>
      <c r="U929" s="1408"/>
      <c r="V929" s="1408"/>
      <c r="W929" s="1408"/>
      <c r="X929" s="1408"/>
      <c r="Y929" s="1408"/>
      <c r="Z929" s="1408"/>
      <c r="AA929" s="1408"/>
    </row>
    <row r="930" spans="1:27" x14ac:dyDescent="0.25">
      <c r="A930" s="1102" t="s">
        <v>1724</v>
      </c>
      <c r="B930" s="897" t="str">
        <f ca="1">_xlfn.CONCAT(IFERROR(SUBSTITUTE(ADDRESS(1,MATCH(A930,INDIRECT("'"&amp;E930&amp;"'"&amp;"!A" &amp; $O$930 + 11 &amp; ":Z" &amp; $O$930 + 11),0),4),1,""),""),$O$930 + 11)</f>
        <v>T278</v>
      </c>
      <c r="C930" s="897" t="str">
        <f ca="1">_xlfn.CONCAT(IFERROR(SUBSTITUTE(ADDRESS(1,MATCH(A930,INDIRECT("'"&amp;E930&amp;"'"&amp;"!A" &amp; $O$930 + 11 &amp; ":Z" &amp; $O$930 + 11),0),4),1,""),""),$O$930 + 12)</f>
        <v>T279</v>
      </c>
      <c r="D930" s="897" t="s">
        <v>1367</v>
      </c>
      <c r="E930" s="897" t="s">
        <v>1535</v>
      </c>
      <c r="F930" s="1409"/>
      <c r="G930" s="1409"/>
      <c r="H930" s="1409"/>
      <c r="I930" s="857" t="str">
        <f t="shared" si="167"/>
        <v/>
      </c>
      <c r="J930" s="1409" t="str">
        <f t="shared" ref="J930:J947" si="175">IF(M930&lt;&gt;"",IF($Q$930="Yes",Q$1&amp;M930,""))</f>
        <v/>
      </c>
      <c r="K930" s="1409" t="str">
        <f t="shared" si="168"/>
        <v/>
      </c>
      <c r="L930" s="897" t="s">
        <v>1724</v>
      </c>
      <c r="M930" s="1410">
        <v>913</v>
      </c>
      <c r="N930" s="1409"/>
      <c r="O930" s="1408">
        <f>'Configurable Tab'!H21</f>
        <v>267</v>
      </c>
      <c r="P930" s="1408">
        <f>'Configurable Tab'!J21</f>
        <v>0</v>
      </c>
      <c r="Q930" s="1408" t="s">
        <v>649</v>
      </c>
      <c r="R930" s="1409" t="s">
        <v>395</v>
      </c>
      <c r="S930" s="1408"/>
      <c r="T930" s="1409" t="str">
        <f t="shared" si="174"/>
        <v/>
      </c>
      <c r="U930" s="1408"/>
      <c r="V930" s="1408"/>
      <c r="W930" s="1408"/>
      <c r="X930" s="1408"/>
      <c r="Y930" s="1408"/>
      <c r="Z930" s="1408"/>
      <c r="AA930" s="1408"/>
    </row>
    <row r="931" spans="1:27" x14ac:dyDescent="0.25">
      <c r="A931" s="1102" t="s">
        <v>1400</v>
      </c>
      <c r="B931" s="897" t="str">
        <f ca="1">IFERROR(_xlfn.CONCAT("C",MATCH(A931,INDIRECT("'"&amp;E931&amp;"'!C"&amp;$O$930&amp;":C"&amp;$O$932),0)+$O$930-1),"")</f>
        <v>C269</v>
      </c>
      <c r="C931" s="897" t="str">
        <f ca="1">IFERROR(_xlfn.CONCAT("D",MATCH(A931,INDIRECT("'"&amp;E931&amp;"'!C"&amp;$O$930&amp;":C"&amp;$O$932),0)+$O$930-1),"")</f>
        <v>D269</v>
      </c>
      <c r="D931" s="897" t="s">
        <v>1367</v>
      </c>
      <c r="E931" s="897" t="s">
        <v>1535</v>
      </c>
      <c r="F931" s="1409" t="s">
        <v>1400</v>
      </c>
      <c r="G931" s="1409" t="str">
        <f>IF(T931&lt;&gt;"","B","")</f>
        <v/>
      </c>
      <c r="H931" s="1409" t="s">
        <v>1926</v>
      </c>
      <c r="I931" s="857" t="str">
        <f t="shared" si="167"/>
        <v/>
      </c>
      <c r="J931" s="1409"/>
      <c r="K931" s="1409" t="str">
        <f t="shared" si="168"/>
        <v/>
      </c>
      <c r="L931" s="897" t="s">
        <v>1400</v>
      </c>
      <c r="M931" s="1410">
        <v>914</v>
      </c>
      <c r="N931" s="1409"/>
      <c r="O931" s="1408" t="s">
        <v>727</v>
      </c>
      <c r="P931" s="1408"/>
      <c r="Q931" s="1408"/>
      <c r="R931" s="1409" t="s">
        <v>395</v>
      </c>
      <c r="S931" s="1408"/>
      <c r="T931" s="1409" t="str">
        <f t="shared" si="174"/>
        <v/>
      </c>
      <c r="U931" s="1408"/>
      <c r="V931" s="1408"/>
      <c r="W931" s="1408"/>
      <c r="X931" s="1408"/>
      <c r="Y931" s="1408"/>
      <c r="Z931" s="1408"/>
      <c r="AA931" s="1408"/>
    </row>
    <row r="932" spans="1:27" x14ac:dyDescent="0.25">
      <c r="A932" s="1102" t="s">
        <v>1397</v>
      </c>
      <c r="B932" s="897" t="str">
        <f t="shared" ref="B932:B938" ca="1" si="176">_xlfn.CONCAT(IFERROR(SUBSTITUTE(ADDRESS(1,MATCH(A932,INDIRECT("'"&amp;E932&amp;"'"&amp;"!A" &amp; $O$930 + 2 &amp; ":Z" &amp; $O$930 + 2),0),4),1,""),""),$O$930 + 2)</f>
        <v>H269</v>
      </c>
      <c r="C932" s="897" t="str">
        <f t="shared" ref="C932:C938" ca="1" si="177">_xlfn.CONCAT(IFERROR(SUBSTITUTE(ADDRESS(1,MATCH(A932,INDIRECT("'"&amp;E932&amp;"'"&amp;"!A" &amp; $O$930 + 2 &amp; ":Z" &amp; $O$930 + 2),0),4),1,""),""),$O$930 + 3)</f>
        <v>H270</v>
      </c>
      <c r="D932" s="897" t="s">
        <v>1367</v>
      </c>
      <c r="E932" s="897" t="s">
        <v>1535</v>
      </c>
      <c r="F932" s="1409" t="s">
        <v>1927</v>
      </c>
      <c r="G932" s="1409" t="str">
        <f>IF(T932&lt;&gt;"","E","")</f>
        <v/>
      </c>
      <c r="H932" s="1409" t="s">
        <v>1926</v>
      </c>
      <c r="I932" s="857" t="str">
        <f t="shared" si="167"/>
        <v/>
      </c>
      <c r="J932" s="1409" t="str">
        <f t="shared" si="175"/>
        <v/>
      </c>
      <c r="K932" s="1409" t="str">
        <f t="shared" si="168"/>
        <v/>
      </c>
      <c r="L932" s="897" t="s">
        <v>1397</v>
      </c>
      <c r="M932" s="1410">
        <v>915</v>
      </c>
      <c r="N932" s="1409"/>
      <c r="O932" s="1408">
        <f>'Configurable Tab'!I21</f>
        <v>280</v>
      </c>
      <c r="P932" s="1408"/>
      <c r="Q932" s="1408"/>
      <c r="R932" s="1409" t="s">
        <v>395</v>
      </c>
      <c r="S932" s="1408"/>
      <c r="T932" s="1409" t="str">
        <f t="shared" si="174"/>
        <v/>
      </c>
      <c r="U932" s="1408"/>
      <c r="V932" s="1408"/>
      <c r="W932" s="1408"/>
      <c r="X932" s="1408"/>
      <c r="Y932" s="1408"/>
      <c r="Z932" s="1408"/>
      <c r="AA932" s="1408"/>
    </row>
    <row r="933" spans="1:27" x14ac:dyDescent="0.25">
      <c r="A933" s="1102" t="s">
        <v>1398</v>
      </c>
      <c r="B933" s="897" t="str">
        <f t="shared" ca="1" si="176"/>
        <v>J269</v>
      </c>
      <c r="C933" s="897" t="str">
        <f t="shared" ca="1" si="177"/>
        <v>J270</v>
      </c>
      <c r="D933" s="897" t="s">
        <v>1367</v>
      </c>
      <c r="E933" s="897" t="s">
        <v>1535</v>
      </c>
      <c r="F933" s="1409" t="s">
        <v>1928</v>
      </c>
      <c r="G933" s="1409" t="str">
        <f>IF(T933&lt;&gt;"","I","")</f>
        <v/>
      </c>
      <c r="H933" s="1409" t="s">
        <v>1926</v>
      </c>
      <c r="I933" s="857" t="str">
        <f t="shared" si="167"/>
        <v/>
      </c>
      <c r="J933" s="1409" t="str">
        <f t="shared" si="175"/>
        <v/>
      </c>
      <c r="K933" s="1409" t="str">
        <f t="shared" si="168"/>
        <v/>
      </c>
      <c r="L933" s="897" t="s">
        <v>1398</v>
      </c>
      <c r="M933" s="1410">
        <v>916</v>
      </c>
      <c r="N933" s="1409"/>
      <c r="O933" s="1408" t="s">
        <v>1726</v>
      </c>
      <c r="P933" s="1408"/>
      <c r="Q933" s="1408"/>
      <c r="R933" s="1409" t="s">
        <v>395</v>
      </c>
      <c r="S933" s="1408"/>
      <c r="T933" s="1409" t="str">
        <f t="shared" si="174"/>
        <v/>
      </c>
      <c r="U933" s="1408"/>
      <c r="V933" s="1408"/>
      <c r="W933" s="1408"/>
      <c r="X933" s="1408"/>
      <c r="Y933" s="1408"/>
      <c r="Z933" s="1408"/>
      <c r="AA933" s="1408"/>
    </row>
    <row r="934" spans="1:27" x14ac:dyDescent="0.25">
      <c r="A934" s="1102" t="s">
        <v>1414</v>
      </c>
      <c r="B934" s="897" t="str">
        <f t="shared" ca="1" si="176"/>
        <v>L269</v>
      </c>
      <c r="C934" s="897" t="str">
        <f t="shared" ca="1" si="177"/>
        <v>L270</v>
      </c>
      <c r="D934" s="897" t="s">
        <v>1367</v>
      </c>
      <c r="E934" s="897" t="s">
        <v>1535</v>
      </c>
      <c r="F934" s="1409" t="s">
        <v>1929</v>
      </c>
      <c r="G934" s="1409" t="str">
        <f>IF(T934&lt;&gt;"","H","")</f>
        <v/>
      </c>
      <c r="H934" s="1409" t="s">
        <v>1926</v>
      </c>
      <c r="I934" s="857" t="str">
        <f t="shared" si="167"/>
        <v/>
      </c>
      <c r="J934" s="1409" t="str">
        <f t="shared" si="175"/>
        <v/>
      </c>
      <c r="K934" s="1409" t="str">
        <f t="shared" si="168"/>
        <v/>
      </c>
      <c r="L934" s="897" t="s">
        <v>1414</v>
      </c>
      <c r="M934" s="1410">
        <v>917</v>
      </c>
      <c r="N934" s="1409"/>
      <c r="O934" s="1408"/>
      <c r="P934" s="1408"/>
      <c r="Q934" s="1408"/>
      <c r="R934" s="1409" t="s">
        <v>395</v>
      </c>
      <c r="S934" s="1408"/>
      <c r="T934" s="1409" t="str">
        <f t="shared" si="174"/>
        <v/>
      </c>
      <c r="U934" s="1408"/>
      <c r="V934" s="1408"/>
      <c r="W934" s="1408"/>
      <c r="X934" s="1408"/>
      <c r="Y934" s="1408"/>
      <c r="Z934" s="1408"/>
      <c r="AA934" s="1408"/>
    </row>
    <row r="935" spans="1:27" x14ac:dyDescent="0.25">
      <c r="A935" s="1102" t="s">
        <v>1399</v>
      </c>
      <c r="B935" s="897" t="str">
        <f t="shared" ca="1" si="176"/>
        <v>N269</v>
      </c>
      <c r="C935" s="897" t="str">
        <f t="shared" ca="1" si="177"/>
        <v>N270</v>
      </c>
      <c r="D935" s="897" t="s">
        <v>1367</v>
      </c>
      <c r="E935" s="897" t="s">
        <v>1535</v>
      </c>
      <c r="F935" s="1409" t="s">
        <v>1399</v>
      </c>
      <c r="G935" s="1409" t="str">
        <f>IF(T935&lt;&gt;"",IF(Q933="Credit Memo","J",IF(Q933="Check","K","")),"")</f>
        <v/>
      </c>
      <c r="H935" s="1409" t="s">
        <v>1926</v>
      </c>
      <c r="I935" s="857" t="str">
        <f t="shared" si="167"/>
        <v/>
      </c>
      <c r="J935" s="1409" t="str">
        <f t="shared" si="175"/>
        <v/>
      </c>
      <c r="K935" s="1409" t="str">
        <f t="shared" si="168"/>
        <v/>
      </c>
      <c r="L935" s="897" t="s">
        <v>1399</v>
      </c>
      <c r="M935" s="1410">
        <v>918</v>
      </c>
      <c r="N935" s="1409"/>
      <c r="O935" s="1408"/>
      <c r="P935" s="1408"/>
      <c r="Q935" s="1408"/>
      <c r="R935" s="1409" t="s">
        <v>395</v>
      </c>
      <c r="S935" s="1408"/>
      <c r="T935" s="1409" t="str">
        <f t="shared" si="174"/>
        <v/>
      </c>
      <c r="U935" s="1408"/>
      <c r="V935" s="1408"/>
      <c r="W935" s="1408"/>
      <c r="X935" s="1408"/>
      <c r="Y935" s="1408"/>
      <c r="Z935" s="1408"/>
      <c r="AA935" s="1408"/>
    </row>
    <row r="936" spans="1:27" x14ac:dyDescent="0.25">
      <c r="A936" s="1102" t="s">
        <v>1505</v>
      </c>
      <c r="B936" s="897" t="str">
        <f t="shared" ca="1" si="176"/>
        <v>P269</v>
      </c>
      <c r="C936" s="897" t="str">
        <f t="shared" ca="1" si="177"/>
        <v>P270</v>
      </c>
      <c r="D936" s="897" t="s">
        <v>1367</v>
      </c>
      <c r="E936" s="897" t="s">
        <v>1535</v>
      </c>
      <c r="F936" s="1409" t="s">
        <v>1930</v>
      </c>
      <c r="G936" s="1409" t="str">
        <f>IF(T936&lt;&gt;"","F","")</f>
        <v/>
      </c>
      <c r="H936" s="1409" t="s">
        <v>1926</v>
      </c>
      <c r="I936" s="857" t="str">
        <f t="shared" si="167"/>
        <v/>
      </c>
      <c r="J936" s="1409" t="str">
        <f t="shared" si="175"/>
        <v/>
      </c>
      <c r="K936" s="1409" t="str">
        <f t="shared" si="168"/>
        <v/>
      </c>
      <c r="L936" s="897" t="s">
        <v>1505</v>
      </c>
      <c r="M936" s="1410">
        <v>919</v>
      </c>
      <c r="N936" s="1409"/>
      <c r="O936" s="1408"/>
      <c r="P936" s="1408"/>
      <c r="Q936" s="1408"/>
      <c r="R936" s="1409" t="s">
        <v>395</v>
      </c>
      <c r="S936" s="1408"/>
      <c r="T936" s="1409" t="str">
        <f t="shared" si="174"/>
        <v/>
      </c>
      <c r="U936" s="1408"/>
      <c r="V936" s="1408"/>
      <c r="W936" s="1408"/>
      <c r="X936" s="1408"/>
      <c r="Y936" s="1408"/>
      <c r="Z936" s="1408"/>
      <c r="AA936" s="1408"/>
    </row>
    <row r="937" spans="1:27" x14ac:dyDescent="0.25">
      <c r="A937" s="1102" t="s">
        <v>1506</v>
      </c>
      <c r="B937" s="897" t="str">
        <f t="shared" ca="1" si="176"/>
        <v>R269</v>
      </c>
      <c r="C937" s="897" t="str">
        <f t="shared" ca="1" si="177"/>
        <v>R270</v>
      </c>
      <c r="D937" s="897" t="s">
        <v>1367</v>
      </c>
      <c r="E937" s="897" t="s">
        <v>1535</v>
      </c>
      <c r="F937" s="1409" t="s">
        <v>1931</v>
      </c>
      <c r="G937" s="1409" t="str">
        <f>IF(T937&lt;&gt;"","G","")</f>
        <v/>
      </c>
      <c r="H937" s="1409" t="s">
        <v>1926</v>
      </c>
      <c r="I937" s="857" t="str">
        <f t="shared" si="167"/>
        <v/>
      </c>
      <c r="J937" s="1409" t="str">
        <f t="shared" si="175"/>
        <v/>
      </c>
      <c r="K937" s="1409" t="str">
        <f t="shared" si="168"/>
        <v/>
      </c>
      <c r="L937" s="897" t="s">
        <v>1506</v>
      </c>
      <c r="M937" s="1410">
        <v>920</v>
      </c>
      <c r="N937" s="1409"/>
      <c r="O937" s="1408"/>
      <c r="P937" s="1408"/>
      <c r="Q937" s="1408"/>
      <c r="R937" s="1409" t="s">
        <v>395</v>
      </c>
      <c r="S937" s="1408"/>
      <c r="T937" s="1409" t="str">
        <f t="shared" si="174"/>
        <v/>
      </c>
      <c r="U937" s="1408"/>
      <c r="V937" s="1408"/>
      <c r="W937" s="1408"/>
      <c r="X937" s="1408"/>
      <c r="Y937" s="1408"/>
      <c r="Z937" s="1408"/>
      <c r="AA937" s="1408"/>
    </row>
    <row r="938" spans="1:27" x14ac:dyDescent="0.25">
      <c r="A938" s="1102" t="s">
        <v>1507</v>
      </c>
      <c r="B938" s="897" t="str">
        <f t="shared" ca="1" si="176"/>
        <v>T269</v>
      </c>
      <c r="C938" s="897" t="str">
        <f t="shared" ca="1" si="177"/>
        <v>T270</v>
      </c>
      <c r="D938" s="897" t="s">
        <v>1367</v>
      </c>
      <c r="E938" s="897" t="s">
        <v>1535</v>
      </c>
      <c r="F938" s="919" t="s">
        <v>1507</v>
      </c>
      <c r="G938" s="1409" t="str">
        <f>IF(T938&lt;&gt;"","AW","")</f>
        <v/>
      </c>
      <c r="H938" s="1409" t="s">
        <v>1926</v>
      </c>
      <c r="I938" s="857" t="str">
        <f t="shared" si="167"/>
        <v/>
      </c>
      <c r="J938" s="1409" t="str">
        <f t="shared" si="175"/>
        <v/>
      </c>
      <c r="K938" s="1409" t="str">
        <f t="shared" si="168"/>
        <v/>
      </c>
      <c r="L938" s="897" t="s">
        <v>1507</v>
      </c>
      <c r="M938" s="1410">
        <v>921</v>
      </c>
      <c r="N938" s="1409"/>
      <c r="O938" s="1408"/>
      <c r="P938" s="1408"/>
      <c r="Q938" s="1408"/>
      <c r="R938" s="1409" t="s">
        <v>395</v>
      </c>
      <c r="S938" s="1408"/>
      <c r="T938" s="1409" t="str">
        <f t="shared" si="174"/>
        <v/>
      </c>
      <c r="U938" s="1408"/>
      <c r="V938" s="1408"/>
      <c r="W938" s="1408"/>
      <c r="X938" s="1408"/>
      <c r="Y938" s="1408"/>
      <c r="Z938" s="1408"/>
      <c r="AA938" s="1408"/>
    </row>
    <row r="939" spans="1:27" x14ac:dyDescent="0.25">
      <c r="A939" s="1102" t="s">
        <v>1402</v>
      </c>
      <c r="B939" s="897" t="str">
        <f ca="1">IFERROR(_xlfn.CONCAT("C",MATCH(A939,INDIRECT("'"&amp;E939&amp;"'!C"&amp;$O$930&amp;":C"&amp;$O$932),0)+$O$930-1),"")</f>
        <v>C273</v>
      </c>
      <c r="C939" s="897" t="str">
        <f ca="1">IFERROR(_xlfn.CONCAT("D",MATCH(A939,INDIRECT("'"&amp;E939&amp;"'!C"&amp;$O$930&amp;":C"&amp;$O$932),0)+$O$930-1),"")</f>
        <v>D273</v>
      </c>
      <c r="D939" s="897" t="s">
        <v>1367</v>
      </c>
      <c r="E939" s="897" t="s">
        <v>1535</v>
      </c>
      <c r="F939" s="1409" t="s">
        <v>1402</v>
      </c>
      <c r="G939" s="1409" t="str">
        <f>IF(T939&lt;&gt;"","C","")</f>
        <v/>
      </c>
      <c r="H939" s="1409" t="s">
        <v>1926</v>
      </c>
      <c r="I939" s="857" t="str">
        <f t="shared" si="167"/>
        <v/>
      </c>
      <c r="J939" s="1409"/>
      <c r="K939" s="1409" t="str">
        <f t="shared" si="168"/>
        <v/>
      </c>
      <c r="L939" s="897" t="s">
        <v>1402</v>
      </c>
      <c r="M939" s="1410">
        <v>922</v>
      </c>
      <c r="N939" s="1409"/>
      <c r="O939" s="1408"/>
      <c r="P939" s="1408"/>
      <c r="Q939" s="1408"/>
      <c r="R939" s="1409" t="s">
        <v>395</v>
      </c>
      <c r="S939" s="1408"/>
      <c r="T939" s="1409" t="str">
        <f t="shared" si="174"/>
        <v/>
      </c>
      <c r="U939" s="1408"/>
      <c r="V939" s="1408"/>
      <c r="W939" s="1408"/>
      <c r="X939" s="1408"/>
      <c r="Y939" s="1408"/>
      <c r="Z939" s="1408"/>
      <c r="AA939" s="1408"/>
    </row>
    <row r="940" spans="1:27" x14ac:dyDescent="0.25">
      <c r="A940" s="1102" t="s">
        <v>1403</v>
      </c>
      <c r="B940" s="897" t="str">
        <f ca="1">IFERROR(_xlfn.CONCAT("C",MATCH(A940,INDIRECT("'"&amp;E940&amp;"'!C"&amp;$O$930&amp;":C"&amp;$O$932),0)+$O$930-1),"")</f>
        <v>C275</v>
      </c>
      <c r="C940" s="897" t="str">
        <f ca="1">IFERROR(_xlfn.CONCAT("D",MATCH(A940,INDIRECT("'"&amp;E940&amp;"'!C"&amp;$O$930&amp;":C"&amp;$O$932),0)+$O$930-1),"")</f>
        <v>D275</v>
      </c>
      <c r="D940" s="897" t="s">
        <v>1367</v>
      </c>
      <c r="E940" s="897" t="s">
        <v>1535</v>
      </c>
      <c r="F940" s="1409" t="s">
        <v>1403</v>
      </c>
      <c r="G940" s="1409" t="str">
        <f>IF(T940&lt;&gt;"","D","")</f>
        <v/>
      </c>
      <c r="H940" s="1409" t="s">
        <v>1926</v>
      </c>
      <c r="I940" s="857" t="str">
        <f t="shared" si="167"/>
        <v/>
      </c>
      <c r="J940" s="1409"/>
      <c r="K940" s="1409" t="str">
        <f t="shared" si="168"/>
        <v/>
      </c>
      <c r="L940" s="897" t="s">
        <v>1403</v>
      </c>
      <c r="M940" s="1410">
        <v>923</v>
      </c>
      <c r="N940" s="1409"/>
      <c r="O940" s="1408"/>
      <c r="P940" s="1408"/>
      <c r="Q940" s="1408"/>
      <c r="R940" s="1409" t="s">
        <v>395</v>
      </c>
      <c r="S940" s="1408"/>
      <c r="T940" s="1409" t="str">
        <f t="shared" si="174"/>
        <v/>
      </c>
      <c r="U940" s="1408"/>
      <c r="V940" s="1408"/>
      <c r="W940" s="1408"/>
      <c r="X940" s="1408"/>
      <c r="Y940" s="1408"/>
      <c r="Z940" s="1408"/>
      <c r="AA940" s="1408"/>
    </row>
    <row r="941" spans="1:27" ht="30" x14ac:dyDescent="0.25">
      <c r="A941" s="1103" t="s">
        <v>1514</v>
      </c>
      <c r="B941" s="897" t="str">
        <f ca="1">IFERROR(_xlfn.CONCAT("C",MATCH(A941,INDIRECT("'"&amp;E941&amp;"'!C"&amp;$O$930&amp;":C"&amp;$O$932),0)+$O$930-1),"")</f>
        <v>C277</v>
      </c>
      <c r="C941" s="897" t="str">
        <f ca="1">IFERROR(_xlfn.CONCAT("D",MATCH(A941,INDIRECT("'"&amp;E941&amp;"'!C"&amp;$O$930&amp;":C"&amp;$O$932),0)+$O$930-1),"")</f>
        <v>D277</v>
      </c>
      <c r="D941" s="897" t="s">
        <v>1367</v>
      </c>
      <c r="E941" s="897" t="s">
        <v>1535</v>
      </c>
      <c r="F941" s="1409" t="s">
        <v>1514</v>
      </c>
      <c r="G941" s="1409" t="str">
        <f>IF(T941&lt;&gt;"","AN","")</f>
        <v/>
      </c>
      <c r="H941" s="1409" t="s">
        <v>1926</v>
      </c>
      <c r="I941" s="857" t="str">
        <f t="shared" si="167"/>
        <v/>
      </c>
      <c r="J941" s="1409" t="str">
        <f t="shared" si="175"/>
        <v/>
      </c>
      <c r="K941" s="1409" t="str">
        <f t="shared" si="168"/>
        <v/>
      </c>
      <c r="L941" s="898" t="s">
        <v>1514</v>
      </c>
      <c r="M941" s="1410">
        <v>924</v>
      </c>
      <c r="N941" s="1409"/>
      <c r="O941" s="1408"/>
      <c r="P941" s="1409" t="str" cm="1">
        <f t="array" aca="1" ref="P941" ca="1">_xlfn.CONCAT("F",RIGHT(B941, LEN(B941) - MAX(IF(ISNUMBER(MID(B941, ROW(INDIRECT("1:"&amp;LEN(B941))), 1) *1)=FALSE, ROW(INDIRECT("1:"&amp;LEN(B941))), 0))))</f>
        <v>F277</v>
      </c>
      <c r="Q941" s="1409" t="str" cm="1">
        <f t="array" aca="1" ref="Q941" ca="1">_xlfn.CONCAT("E",RIGHT(C941, LEN(C941) - MAX(IF(ISNUMBER(MID(C941, ROW(INDIRECT("1:"&amp;LEN(C941))), 1) *1)=FALSE, ROW(INDIRECT("1:"&amp;LEN(C941))), 0))))</f>
        <v>E277</v>
      </c>
      <c r="R941" s="1409" t="s">
        <v>395</v>
      </c>
      <c r="S941" s="1408"/>
      <c r="T941" s="1409" t="str">
        <f t="shared" si="174"/>
        <v/>
      </c>
      <c r="U941" s="1408"/>
      <c r="V941" s="1408"/>
      <c r="W941" s="1408"/>
      <c r="X941" s="1408"/>
      <c r="Y941" s="1408"/>
      <c r="Z941" s="1408"/>
      <c r="AA941" s="1408"/>
    </row>
    <row r="942" spans="1:27" x14ac:dyDescent="0.25">
      <c r="A942" s="1102" t="s">
        <v>1511</v>
      </c>
      <c r="B942" s="897" t="str">
        <f ca="1">_xlfn.CONCAT(IFERROR(SUBSTITUTE(ADDRESS(1,MATCH(A942,INDIRECT("'"&amp;E942&amp;"'"&amp;"!A" &amp; $O$930 + 8 &amp; ":Z" &amp; $O$930 + 8),0),4),1,""),""),$O$930 + 8)</f>
        <v>H275</v>
      </c>
      <c r="C942" s="897" t="str">
        <f ca="1">_xlfn.CONCAT(IFERROR(SUBSTITUTE(ADDRESS(1,MATCH(A942,INDIRECT("'"&amp;E942&amp;"'"&amp;"!A" &amp; $O$930 + 8 &amp; ":Z" &amp; $O$930 + 8),0),4),1,""),""),$O$930 + 9)</f>
        <v>H276</v>
      </c>
      <c r="D942" s="897" t="s">
        <v>1367</v>
      </c>
      <c r="E942" s="897" t="s">
        <v>1535</v>
      </c>
      <c r="F942" s="1409" t="s">
        <v>1511</v>
      </c>
      <c r="G942" s="1409" t="str">
        <f>IF(T942&lt;&gt;"","AL","")</f>
        <v/>
      </c>
      <c r="H942" s="1409" t="s">
        <v>1926</v>
      </c>
      <c r="I942" s="857" t="str">
        <f t="shared" si="167"/>
        <v/>
      </c>
      <c r="J942" s="1409" t="str">
        <f t="shared" si="175"/>
        <v/>
      </c>
      <c r="K942" s="1409" t="str">
        <f t="shared" si="168"/>
        <v/>
      </c>
      <c r="L942" s="897" t="s">
        <v>1511</v>
      </c>
      <c r="M942" s="1410">
        <v>925</v>
      </c>
      <c r="N942" s="1409"/>
      <c r="O942" s="1408"/>
      <c r="P942" s="1408"/>
      <c r="Q942" s="1408"/>
      <c r="R942" s="1409" t="s">
        <v>395</v>
      </c>
      <c r="S942" s="1408"/>
      <c r="T942" s="1409" t="str">
        <f t="shared" si="174"/>
        <v/>
      </c>
      <c r="U942" s="1408"/>
      <c r="V942" s="1408"/>
      <c r="W942" s="1408"/>
      <c r="X942" s="1408"/>
      <c r="Y942" s="1408"/>
      <c r="Z942" s="1408"/>
      <c r="AA942" s="1408"/>
    </row>
    <row r="943" spans="1:27" x14ac:dyDescent="0.25">
      <c r="A943" s="1102" t="s">
        <v>1525</v>
      </c>
      <c r="B943" s="897" t="str">
        <f ca="1">_xlfn.CONCAT(IFERROR(SUBSTITUTE(ADDRESS(1,MATCH(A943,INDIRECT("'"&amp;E943&amp;"'"&amp;"!A" &amp; $O$930 + 8 &amp; ":Z" &amp; $O$930 + 8),0),4),1,""),""),$O$930 + 8)</f>
        <v>J275</v>
      </c>
      <c r="C943" s="897" t="str">
        <f ca="1">_xlfn.CONCAT(IFERROR(SUBSTITUTE(ADDRESS(1,MATCH(A943,INDIRECT("'"&amp;E943&amp;"'"&amp;"!A" &amp; $O$930 + 8 &amp; ":Z" &amp; $O$930 + 8),0),4),1,""),""),$O$930 + 9)</f>
        <v>J276</v>
      </c>
      <c r="D943" s="897" t="s">
        <v>1367</v>
      </c>
      <c r="E943" s="897" t="s">
        <v>1535</v>
      </c>
      <c r="F943" s="1409" t="s">
        <v>1932</v>
      </c>
      <c r="G943" s="1409" t="str">
        <f>IF(T943&lt;&gt;"","L","")</f>
        <v/>
      </c>
      <c r="H943" s="1409" t="s">
        <v>1926</v>
      </c>
      <c r="I943" s="857" t="str">
        <f t="shared" si="167"/>
        <v/>
      </c>
      <c r="J943" s="1409" t="str">
        <f t="shared" si="175"/>
        <v/>
      </c>
      <c r="K943" s="1409" t="str">
        <f t="shared" si="168"/>
        <v/>
      </c>
      <c r="L943" s="897" t="s">
        <v>1525</v>
      </c>
      <c r="M943" s="1410">
        <v>926</v>
      </c>
      <c r="N943" s="1409"/>
      <c r="O943" s="1408"/>
      <c r="P943" s="1408"/>
      <c r="Q943" s="1408"/>
      <c r="R943" s="1409" t="s">
        <v>395</v>
      </c>
      <c r="S943" s="1408"/>
      <c r="T943" s="1409" t="str">
        <f t="shared" si="174"/>
        <v/>
      </c>
      <c r="U943" s="1408"/>
      <c r="V943" s="1408"/>
      <c r="W943" s="1408"/>
      <c r="X943" s="1408"/>
      <c r="Y943" s="1408"/>
      <c r="Z943" s="1408"/>
      <c r="AA943" s="1408"/>
    </row>
    <row r="944" spans="1:27" x14ac:dyDescent="0.25">
      <c r="A944" s="1102" t="s">
        <v>1404</v>
      </c>
      <c r="B944" s="897" t="str">
        <f ca="1">_xlfn.CONCAT(IFERROR(SUBSTITUTE(ADDRESS(1,MATCH(A944,INDIRECT("'"&amp;E944&amp;"'"&amp;"!A" &amp; $O$930 + 5 &amp; ":Z" &amp; $O$930 + 5),0),4),1,""),""),$O$930 + 5)</f>
        <v>H272</v>
      </c>
      <c r="C944" s="897" t="str">
        <f ca="1">_xlfn.CONCAT(IFERROR(SUBSTITUTE(ADDRESS(1,MATCH(A944,INDIRECT("'"&amp;E944&amp;"'"&amp;"!A" &amp; $O$930 + 5 &amp; ":Z" &amp; $O$930 + 5),0),4),1,""),""),$O$930 + 6)</f>
        <v>H273</v>
      </c>
      <c r="D944" s="897" t="s">
        <v>1367</v>
      </c>
      <c r="E944" s="897" t="s">
        <v>1535</v>
      </c>
      <c r="F944" s="919" t="s">
        <v>1404</v>
      </c>
      <c r="G944" s="1409" t="str">
        <f>IF(T944&lt;&gt;"","AH","")</f>
        <v/>
      </c>
      <c r="H944" s="1409" t="s">
        <v>1926</v>
      </c>
      <c r="I944" s="857" t="str">
        <f t="shared" si="167"/>
        <v/>
      </c>
      <c r="J944" s="1409" t="str">
        <f t="shared" si="175"/>
        <v/>
      </c>
      <c r="K944" s="1409" t="str">
        <f t="shared" si="168"/>
        <v/>
      </c>
      <c r="L944" s="897" t="s">
        <v>1404</v>
      </c>
      <c r="M944" s="1410">
        <v>927</v>
      </c>
      <c r="N944" s="1409"/>
      <c r="O944" s="1408"/>
      <c r="P944" s="1408"/>
      <c r="Q944" s="1408"/>
      <c r="R944" s="1409" t="s">
        <v>395</v>
      </c>
      <c r="S944" s="1408"/>
      <c r="T944" s="1409" t="str">
        <f t="shared" si="174"/>
        <v/>
      </c>
      <c r="U944" s="1408"/>
      <c r="V944" s="1408"/>
      <c r="W944" s="1408"/>
      <c r="X944" s="1408"/>
      <c r="Y944" s="1408"/>
      <c r="Z944" s="1408"/>
      <c r="AA944" s="1408"/>
    </row>
    <row r="945" spans="1:27" x14ac:dyDescent="0.25">
      <c r="A945" s="1102" t="s">
        <v>1405</v>
      </c>
      <c r="B945" s="897" t="str">
        <f ca="1">_xlfn.CONCAT(IFERROR(SUBSTITUTE(ADDRESS(1,MATCH(A945,INDIRECT("'"&amp;E945&amp;"'"&amp;"!A" &amp; $O$930 + 5 &amp; ":Z" &amp; $O$930 + 5),0),4),1,""),""),$O$930 + 5)</f>
        <v>J272</v>
      </c>
      <c r="C945" s="897" t="str">
        <f ca="1">_xlfn.CONCAT(IFERROR(SUBSTITUTE(ADDRESS(1,MATCH(A945,INDIRECT("'"&amp;E945&amp;"'"&amp;"!A" &amp; $O$930 + 5 &amp; ":Z" &amp; $O$930 + 5),0),4),1,""),""),$O$930 + 6)</f>
        <v>J273</v>
      </c>
      <c r="D945" s="897" t="s">
        <v>1367</v>
      </c>
      <c r="E945" s="897" t="s">
        <v>1535</v>
      </c>
      <c r="F945" s="919"/>
      <c r="G945" s="1409"/>
      <c r="H945" s="1409"/>
      <c r="I945" s="857" t="str">
        <f t="shared" si="167"/>
        <v/>
      </c>
      <c r="J945" s="1409"/>
      <c r="K945" s="1409" t="str">
        <f t="shared" si="168"/>
        <v/>
      </c>
      <c r="L945" s="897" t="s">
        <v>1405</v>
      </c>
      <c r="M945" s="1410">
        <v>928</v>
      </c>
      <c r="N945" s="1409"/>
      <c r="O945" s="1408"/>
      <c r="P945" s="1408"/>
      <c r="Q945" s="1408"/>
      <c r="R945" s="1409" t="s">
        <v>395</v>
      </c>
      <c r="S945" s="1408"/>
      <c r="T945" s="1409" t="str">
        <f t="shared" si="174"/>
        <v/>
      </c>
      <c r="U945" s="1408"/>
      <c r="V945" s="1408"/>
      <c r="W945" s="1408"/>
      <c r="X945" s="1408"/>
      <c r="Y945" s="1408"/>
      <c r="Z945" s="1408"/>
      <c r="AA945" s="1408"/>
    </row>
    <row r="946" spans="1:27" x14ac:dyDescent="0.25">
      <c r="A946" s="1102" t="s">
        <v>1406</v>
      </c>
      <c r="B946" s="897" t="str">
        <f ca="1">_xlfn.CONCAT(IFERROR(SUBSTITUTE(ADDRESS(1,MATCH(A946,INDIRECT("'"&amp;E946&amp;"'"&amp;"!A" &amp; $O$930 + 5 &amp; ":Z" &amp; $O$930 + 5),0),4),1,""),""),$O$930 + 5)</f>
        <v>L272</v>
      </c>
      <c r="C946" s="897" t="str">
        <f ca="1">_xlfn.CONCAT(IFERROR(SUBSTITUTE(ADDRESS(1,MATCH(A946,INDIRECT("'"&amp;E946&amp;"'"&amp;"!A" &amp; $O$930 + 5 &amp; ":Z" &amp; $O$930 + 5),0),4),1,""),""),$O$930 + 6)</f>
        <v>L273</v>
      </c>
      <c r="D946" s="897" t="s">
        <v>1367</v>
      </c>
      <c r="E946" s="897" t="s">
        <v>1535</v>
      </c>
      <c r="F946" s="1409" t="s">
        <v>1896</v>
      </c>
      <c r="G946" s="1409" t="str">
        <f>IF(T946&lt;&gt;"","AI","")</f>
        <v/>
      </c>
      <c r="H946" s="1409" t="s">
        <v>1926</v>
      </c>
      <c r="I946" s="857" t="str">
        <f t="shared" si="167"/>
        <v/>
      </c>
      <c r="J946" s="1409"/>
      <c r="K946" s="1409" t="str">
        <f t="shared" si="168"/>
        <v/>
      </c>
      <c r="L946" s="897" t="s">
        <v>1406</v>
      </c>
      <c r="M946" s="1410">
        <v>929</v>
      </c>
      <c r="N946" s="1409"/>
      <c r="O946" s="1408"/>
      <c r="P946" s="1408"/>
      <c r="Q946" s="1408"/>
      <c r="R946" s="1409" t="s">
        <v>395</v>
      </c>
      <c r="S946" s="1408"/>
      <c r="T946" s="1409" t="str">
        <f t="shared" si="174"/>
        <v/>
      </c>
      <c r="U946" s="1408"/>
      <c r="V946" s="1408"/>
      <c r="W946" s="1408"/>
      <c r="X946" s="1408"/>
      <c r="Y946" s="1408"/>
      <c r="Z946" s="1408"/>
      <c r="AA946" s="1408"/>
    </row>
    <row r="947" spans="1:27" x14ac:dyDescent="0.25">
      <c r="A947" s="1102" t="s">
        <v>1527</v>
      </c>
      <c r="B947" s="897" t="str">
        <f ca="1">_xlfn.CONCAT(IFERROR(SUBSTITUTE(ADDRESS(1,MATCH(A947,INDIRECT("'"&amp;E947&amp;"'"&amp;"!A" &amp; $O$930 + 8 &amp; ":Z" &amp; $O$930 + 8),0),4),1,""),""),$O$930 + 8)</f>
        <v>P275</v>
      </c>
      <c r="C947" s="897" t="str">
        <f ca="1">_xlfn.CONCAT(IFERROR(SUBSTITUTE(ADDRESS(1,MATCH(A947,INDIRECT("'"&amp;E947&amp;"'"&amp;"!A" &amp; $O$930 + 8 &amp; ":Z" &amp; $O$930 + 8),0),4),1,""),""),$O$930 + 9)</f>
        <v>P276</v>
      </c>
      <c r="D947" s="897" t="s">
        <v>1367</v>
      </c>
      <c r="E947" s="897" t="s">
        <v>1535</v>
      </c>
      <c r="F947" s="1409" t="s">
        <v>1527</v>
      </c>
      <c r="G947" s="1409" t="str">
        <f>IF(T947&lt;&gt;"","P","")</f>
        <v/>
      </c>
      <c r="H947" s="1409" t="s">
        <v>1926</v>
      </c>
      <c r="I947" s="857" t="str">
        <f t="shared" si="167"/>
        <v/>
      </c>
      <c r="J947" s="1409" t="str">
        <f t="shared" si="175"/>
        <v/>
      </c>
      <c r="K947" s="1409" t="str">
        <f t="shared" si="168"/>
        <v/>
      </c>
      <c r="L947" s="897" t="s">
        <v>1527</v>
      </c>
      <c r="M947" s="1410">
        <v>930</v>
      </c>
      <c r="N947" s="1409"/>
      <c r="O947" s="1408"/>
      <c r="P947" s="1408"/>
      <c r="Q947" s="1408"/>
      <c r="R947" s="1409" t="s">
        <v>395</v>
      </c>
      <c r="S947" s="1408"/>
      <c r="T947" s="1409" t="str">
        <f>IF(Q$930="Yes",19,"")</f>
        <v/>
      </c>
      <c r="U947" s="1408"/>
      <c r="V947" s="1408"/>
      <c r="W947" s="1408"/>
      <c r="X947" s="1408"/>
      <c r="Y947" s="1408"/>
      <c r="Z947" s="1408"/>
      <c r="AA947" s="1408"/>
    </row>
    <row r="948" spans="1:27" x14ac:dyDescent="0.25">
      <c r="A948" s="1082" t="s">
        <v>1510</v>
      </c>
      <c r="B948" s="897" t="str">
        <f ca="1">IFERROR(_xlfn.CONCAT("C",MATCH(A948,INDIRECT("'"&amp;E948&amp;"'!C"&amp;$O$949&amp;":C"&amp;$O$951),0)+$O$949-1),"")</f>
        <v>C285</v>
      </c>
      <c r="C948" s="897" t="str">
        <f ca="1">IFERROR(_xlfn.CONCAT("D",MATCH(A948,INDIRECT("'"&amp;E948&amp;"'!C"&amp;$O$949&amp;":C"&amp;$O$951),0)+$O$949-1),"")</f>
        <v>D285</v>
      </c>
      <c r="D948" s="897" t="s">
        <v>1367</v>
      </c>
      <c r="E948" s="897" t="s">
        <v>1535</v>
      </c>
      <c r="F948" s="1409" t="s">
        <v>1510</v>
      </c>
      <c r="G948" s="1409" t="str">
        <f>IF(T948&lt;&gt;"","A","")</f>
        <v/>
      </c>
      <c r="H948" s="1409" t="s">
        <v>1926</v>
      </c>
      <c r="I948" s="857" t="str">
        <f t="shared" si="167"/>
        <v/>
      </c>
      <c r="J948" s="1409"/>
      <c r="K948" s="1409" t="str">
        <f t="shared" si="168"/>
        <v/>
      </c>
      <c r="L948" s="897" t="s">
        <v>1510</v>
      </c>
      <c r="M948" s="1410">
        <v>931</v>
      </c>
      <c r="N948" s="1409"/>
      <c r="O948" s="1408" t="s">
        <v>726</v>
      </c>
      <c r="P948" s="1408"/>
      <c r="Q948" s="1408"/>
      <c r="R948" s="1409" t="s">
        <v>395</v>
      </c>
      <c r="S948" s="1408"/>
      <c r="T948" s="1409" t="str">
        <f>IF(Q$949="Yes",20,"")</f>
        <v/>
      </c>
      <c r="U948" s="1408"/>
      <c r="V948" s="1408"/>
      <c r="W948" s="1408"/>
      <c r="X948" s="1408"/>
      <c r="Y948" s="1408"/>
      <c r="Z948" s="1408"/>
      <c r="AA948" s="1408"/>
    </row>
    <row r="949" spans="1:27" x14ac:dyDescent="0.25">
      <c r="A949" s="1082" t="s">
        <v>1724</v>
      </c>
      <c r="B949" s="897" t="str">
        <f ca="1">_xlfn.CONCAT(IFERROR(SUBSTITUTE(ADDRESS(1,MATCH(A949,INDIRECT("'"&amp;E949&amp;"'"&amp;"!A" &amp; $O$949 + 11 &amp; ":Z" &amp; $O$949 + 11),0),4),1,""),""),$O$949 + 11)</f>
        <v>T292</v>
      </c>
      <c r="C949" s="897" t="str">
        <f ca="1">_xlfn.CONCAT(IFERROR(SUBSTITUTE(ADDRESS(1,MATCH(A949,INDIRECT("'"&amp;E949&amp;"'"&amp;"!A" &amp; $O$949 + 11 &amp; ":Z" &amp; $O$949 + 11),0),4),1,""),""),$O$949 + 12)</f>
        <v>T293</v>
      </c>
      <c r="D949" s="897" t="s">
        <v>1367</v>
      </c>
      <c r="E949" s="897" t="s">
        <v>1535</v>
      </c>
      <c r="F949" s="1409"/>
      <c r="G949" s="1409"/>
      <c r="H949" s="1409"/>
      <c r="I949" s="857" t="str">
        <f t="shared" si="167"/>
        <v/>
      </c>
      <c r="J949" s="1409" t="str">
        <f t="shared" ref="J949:J966" si="178">IF(M949&lt;&gt;"",IF($Q$949="Yes",Q$1&amp;M949,""))</f>
        <v/>
      </c>
      <c r="K949" s="1409" t="str">
        <f t="shared" si="168"/>
        <v/>
      </c>
      <c r="L949" s="897" t="s">
        <v>1724</v>
      </c>
      <c r="M949" s="1410">
        <v>932</v>
      </c>
      <c r="N949" s="1409"/>
      <c r="O949" s="1408">
        <f>'Configurable Tab'!H22</f>
        <v>281</v>
      </c>
      <c r="P949" s="1408">
        <f>'Configurable Tab'!J22</f>
        <v>0</v>
      </c>
      <c r="Q949" s="1408" t="s">
        <v>649</v>
      </c>
      <c r="R949" s="1409" t="s">
        <v>395</v>
      </c>
      <c r="S949" s="1408"/>
      <c r="T949" s="1409" t="str">
        <f t="shared" ref="T949:T965" si="179">IF(Q$949="Yes",20,"")</f>
        <v/>
      </c>
      <c r="U949" s="1408"/>
      <c r="V949" s="1408"/>
      <c r="W949" s="1408"/>
      <c r="X949" s="1408"/>
      <c r="Y949" s="1408"/>
      <c r="Z949" s="1408"/>
      <c r="AA949" s="1408"/>
    </row>
    <row r="950" spans="1:27" x14ac:dyDescent="0.25">
      <c r="A950" s="1082" t="s">
        <v>1400</v>
      </c>
      <c r="B950" s="897" t="str">
        <f ca="1">IFERROR(_xlfn.CONCAT("C",MATCH(A950,INDIRECT("'"&amp;E950&amp;"'!C"&amp;$O$949&amp;":C"&amp;$O$951),0)+$O$949-1),"")</f>
        <v>C283</v>
      </c>
      <c r="C950" s="897" t="str">
        <f ca="1">IFERROR(_xlfn.CONCAT("D",MATCH(A950,INDIRECT("'"&amp;E950&amp;"'!C"&amp;$O$949&amp;":C"&amp;$O$951),0)+$O$949-1),"")</f>
        <v>D283</v>
      </c>
      <c r="D950" s="897" t="s">
        <v>1367</v>
      </c>
      <c r="E950" s="897" t="s">
        <v>1535</v>
      </c>
      <c r="F950" s="1409" t="s">
        <v>1400</v>
      </c>
      <c r="G950" s="1409" t="str">
        <f>IF(T950&lt;&gt;"","B","")</f>
        <v/>
      </c>
      <c r="H950" s="1409" t="s">
        <v>1926</v>
      </c>
      <c r="I950" s="857" t="str">
        <f t="shared" si="167"/>
        <v/>
      </c>
      <c r="J950" s="1409"/>
      <c r="K950" s="1409" t="str">
        <f t="shared" si="168"/>
        <v/>
      </c>
      <c r="L950" s="897" t="s">
        <v>1400</v>
      </c>
      <c r="M950" s="1410">
        <v>933</v>
      </c>
      <c r="N950" s="1409"/>
      <c r="O950" s="1408" t="s">
        <v>727</v>
      </c>
      <c r="P950" s="1408"/>
      <c r="Q950" s="1408"/>
      <c r="R950" s="1409" t="s">
        <v>395</v>
      </c>
      <c r="S950" s="1408"/>
      <c r="T950" s="1409" t="str">
        <f t="shared" si="179"/>
        <v/>
      </c>
      <c r="U950" s="1408"/>
      <c r="V950" s="1408"/>
      <c r="W950" s="1408"/>
      <c r="X950" s="1408"/>
      <c r="Y950" s="1408"/>
      <c r="Z950" s="1408"/>
      <c r="AA950" s="1408"/>
    </row>
    <row r="951" spans="1:27" x14ac:dyDescent="0.25">
      <c r="A951" s="1082" t="s">
        <v>1397</v>
      </c>
      <c r="B951" s="897" t="str">
        <f t="shared" ref="B951:B957" ca="1" si="180">_xlfn.CONCAT(IFERROR(SUBSTITUTE(ADDRESS(1,MATCH(A951,INDIRECT("'"&amp;E951&amp;"'"&amp;"!A" &amp; $O$949 + 2 &amp; ":Z" &amp; $O$949 + 2),0),4),1,""),""),$O$949 + 2)</f>
        <v>H283</v>
      </c>
      <c r="C951" s="897" t="str">
        <f t="shared" ref="C951:C957" ca="1" si="181">_xlfn.CONCAT(IFERROR(SUBSTITUTE(ADDRESS(1,MATCH(A951,INDIRECT("'"&amp;E951&amp;"'"&amp;"!A" &amp; $O$949 + 2 &amp; ":Z" &amp; $O$949 + 2),0),4),1,""),""),$O$949 + 3)</f>
        <v>H284</v>
      </c>
      <c r="D951" s="897" t="s">
        <v>1367</v>
      </c>
      <c r="E951" s="897" t="s">
        <v>1535</v>
      </c>
      <c r="F951" s="1409" t="s">
        <v>1927</v>
      </c>
      <c r="G951" s="1409" t="str">
        <f>IF(T951&lt;&gt;"","E","")</f>
        <v/>
      </c>
      <c r="H951" s="1409" t="s">
        <v>1926</v>
      </c>
      <c r="I951" s="857" t="str">
        <f t="shared" si="167"/>
        <v/>
      </c>
      <c r="J951" s="1409" t="str">
        <f t="shared" si="178"/>
        <v/>
      </c>
      <c r="K951" s="1409" t="str">
        <f t="shared" si="168"/>
        <v/>
      </c>
      <c r="L951" s="897" t="s">
        <v>1397</v>
      </c>
      <c r="M951" s="1410">
        <v>934</v>
      </c>
      <c r="N951" s="1409"/>
      <c r="O951" s="1408">
        <f>'Configurable Tab'!I22</f>
        <v>294</v>
      </c>
      <c r="P951" s="1408"/>
      <c r="Q951" s="1408"/>
      <c r="R951" s="1409" t="s">
        <v>395</v>
      </c>
      <c r="S951" s="1408"/>
      <c r="T951" s="1409" t="str">
        <f t="shared" si="179"/>
        <v/>
      </c>
      <c r="U951" s="1408"/>
      <c r="V951" s="1408"/>
      <c r="W951" s="1408"/>
      <c r="X951" s="1408"/>
      <c r="Y951" s="1408"/>
      <c r="Z951" s="1408"/>
      <c r="AA951" s="1408"/>
    </row>
    <row r="952" spans="1:27" x14ac:dyDescent="0.25">
      <c r="A952" s="1082" t="s">
        <v>1398</v>
      </c>
      <c r="B952" s="897" t="str">
        <f t="shared" ca="1" si="180"/>
        <v>J283</v>
      </c>
      <c r="C952" s="897" t="str">
        <f t="shared" ca="1" si="181"/>
        <v>J284</v>
      </c>
      <c r="D952" s="897" t="s">
        <v>1367</v>
      </c>
      <c r="E952" s="897" t="s">
        <v>1535</v>
      </c>
      <c r="F952" s="1409" t="s">
        <v>1928</v>
      </c>
      <c r="G952" s="1409" t="str">
        <f>IF(T952&lt;&gt;"","I","")</f>
        <v/>
      </c>
      <c r="H952" s="1409" t="s">
        <v>1926</v>
      </c>
      <c r="I952" s="857" t="str">
        <f t="shared" si="167"/>
        <v/>
      </c>
      <c r="J952" s="1409" t="str">
        <f t="shared" si="178"/>
        <v/>
      </c>
      <c r="K952" s="1409" t="str">
        <f t="shared" si="168"/>
        <v/>
      </c>
      <c r="L952" s="897" t="s">
        <v>1398</v>
      </c>
      <c r="M952" s="1410">
        <v>935</v>
      </c>
      <c r="N952" s="1409"/>
      <c r="O952" s="1408" t="s">
        <v>1727</v>
      </c>
      <c r="P952" s="1408"/>
      <c r="Q952" s="1408"/>
      <c r="R952" s="1409" t="s">
        <v>395</v>
      </c>
      <c r="S952" s="1408"/>
      <c r="T952" s="1409" t="str">
        <f t="shared" si="179"/>
        <v/>
      </c>
      <c r="U952" s="1408"/>
      <c r="V952" s="1408"/>
      <c r="W952" s="1408"/>
      <c r="X952" s="1408"/>
      <c r="Y952" s="1408"/>
      <c r="Z952" s="1408"/>
      <c r="AA952" s="1408"/>
    </row>
    <row r="953" spans="1:27" x14ac:dyDescent="0.25">
      <c r="A953" s="1082" t="s">
        <v>1414</v>
      </c>
      <c r="B953" s="897" t="str">
        <f t="shared" ca="1" si="180"/>
        <v>L283</v>
      </c>
      <c r="C953" s="897" t="str">
        <f t="shared" ca="1" si="181"/>
        <v>L284</v>
      </c>
      <c r="D953" s="897" t="s">
        <v>1367</v>
      </c>
      <c r="E953" s="897" t="s">
        <v>1535</v>
      </c>
      <c r="F953" s="1409" t="s">
        <v>1929</v>
      </c>
      <c r="G953" s="1409" t="str">
        <f>IF(T953&lt;&gt;"","H","")</f>
        <v/>
      </c>
      <c r="H953" s="1409" t="s">
        <v>1926</v>
      </c>
      <c r="I953" s="857" t="str">
        <f t="shared" si="167"/>
        <v/>
      </c>
      <c r="J953" s="1409" t="str">
        <f t="shared" si="178"/>
        <v/>
      </c>
      <c r="K953" s="1409" t="str">
        <f t="shared" si="168"/>
        <v/>
      </c>
      <c r="L953" s="897" t="s">
        <v>1414</v>
      </c>
      <c r="M953" s="1410">
        <v>936</v>
      </c>
      <c r="N953" s="1409"/>
      <c r="O953" s="1408"/>
      <c r="P953" s="1408"/>
      <c r="Q953" s="1408"/>
      <c r="R953" s="1409" t="s">
        <v>395</v>
      </c>
      <c r="S953" s="1408"/>
      <c r="T953" s="1409" t="str">
        <f t="shared" si="179"/>
        <v/>
      </c>
      <c r="U953" s="1408"/>
      <c r="V953" s="1408"/>
      <c r="W953" s="1408"/>
      <c r="X953" s="1408"/>
      <c r="Y953" s="1408"/>
      <c r="Z953" s="1408"/>
      <c r="AA953" s="1408"/>
    </row>
    <row r="954" spans="1:27" x14ac:dyDescent="0.25">
      <c r="A954" s="1082" t="s">
        <v>1399</v>
      </c>
      <c r="B954" s="897" t="str">
        <f t="shared" ca="1" si="180"/>
        <v>N283</v>
      </c>
      <c r="C954" s="897" t="str">
        <f t="shared" ca="1" si="181"/>
        <v>N284</v>
      </c>
      <c r="D954" s="897" t="s">
        <v>1367</v>
      </c>
      <c r="E954" s="897" t="s">
        <v>1535</v>
      </c>
      <c r="F954" s="1409" t="s">
        <v>1399</v>
      </c>
      <c r="G954" s="1409" t="str">
        <f>IF(T954&lt;&gt;"",IF(Q952="Credit Memo","J",IF(Q952="Check","K","")),"")</f>
        <v/>
      </c>
      <c r="H954" s="1409" t="s">
        <v>1926</v>
      </c>
      <c r="I954" s="857" t="str">
        <f t="shared" si="167"/>
        <v/>
      </c>
      <c r="J954" s="1409" t="str">
        <f t="shared" si="178"/>
        <v/>
      </c>
      <c r="K954" s="1409" t="str">
        <f t="shared" si="168"/>
        <v/>
      </c>
      <c r="L954" s="897" t="s">
        <v>1399</v>
      </c>
      <c r="M954" s="1410">
        <v>937</v>
      </c>
      <c r="N954" s="1409"/>
      <c r="O954" s="1408"/>
      <c r="P954" s="1408"/>
      <c r="Q954" s="1408"/>
      <c r="R954" s="1409" t="s">
        <v>395</v>
      </c>
      <c r="S954" s="1408"/>
      <c r="T954" s="1409" t="str">
        <f t="shared" si="179"/>
        <v/>
      </c>
      <c r="U954" s="1408"/>
      <c r="V954" s="1408"/>
      <c r="W954" s="1408"/>
      <c r="X954" s="1408"/>
      <c r="Y954" s="1408"/>
      <c r="Z954" s="1408"/>
      <c r="AA954" s="1408"/>
    </row>
    <row r="955" spans="1:27" x14ac:dyDescent="0.25">
      <c r="A955" s="1082" t="s">
        <v>1505</v>
      </c>
      <c r="B955" s="897" t="str">
        <f t="shared" ca="1" si="180"/>
        <v>P283</v>
      </c>
      <c r="C955" s="897" t="str">
        <f t="shared" ca="1" si="181"/>
        <v>P284</v>
      </c>
      <c r="D955" s="897" t="s">
        <v>1367</v>
      </c>
      <c r="E955" s="897" t="s">
        <v>1535</v>
      </c>
      <c r="F955" s="1409" t="s">
        <v>1930</v>
      </c>
      <c r="G955" s="1409" t="str">
        <f>IF(T955&lt;&gt;"","F","")</f>
        <v/>
      </c>
      <c r="H955" s="1409" t="s">
        <v>1926</v>
      </c>
      <c r="I955" s="857" t="str">
        <f t="shared" si="167"/>
        <v/>
      </c>
      <c r="J955" s="1409" t="str">
        <f t="shared" si="178"/>
        <v/>
      </c>
      <c r="K955" s="1409" t="str">
        <f t="shared" si="168"/>
        <v/>
      </c>
      <c r="L955" s="897" t="s">
        <v>1505</v>
      </c>
      <c r="M955" s="1410">
        <v>938</v>
      </c>
      <c r="N955" s="1409"/>
      <c r="O955" s="1408"/>
      <c r="P955" s="1408"/>
      <c r="Q955" s="1408"/>
      <c r="R955" s="1409" t="s">
        <v>395</v>
      </c>
      <c r="S955" s="1408"/>
      <c r="T955" s="1409" t="str">
        <f t="shared" si="179"/>
        <v/>
      </c>
      <c r="U955" s="1408"/>
      <c r="V955" s="1408"/>
      <c r="W955" s="1408"/>
      <c r="X955" s="1408"/>
      <c r="Y955" s="1408"/>
      <c r="Z955" s="1408"/>
      <c r="AA955" s="1408"/>
    </row>
    <row r="956" spans="1:27" x14ac:dyDescent="0.25">
      <c r="A956" s="1082" t="s">
        <v>1506</v>
      </c>
      <c r="B956" s="897" t="str">
        <f t="shared" ca="1" si="180"/>
        <v>R283</v>
      </c>
      <c r="C956" s="897" t="str">
        <f t="shared" ca="1" si="181"/>
        <v>R284</v>
      </c>
      <c r="D956" s="897" t="s">
        <v>1367</v>
      </c>
      <c r="E956" s="897" t="s">
        <v>1535</v>
      </c>
      <c r="F956" s="1409" t="s">
        <v>1931</v>
      </c>
      <c r="G956" s="1409" t="str">
        <f>IF(T956&lt;&gt;"","G","")</f>
        <v/>
      </c>
      <c r="H956" s="1409" t="s">
        <v>1926</v>
      </c>
      <c r="I956" s="857" t="str">
        <f t="shared" si="167"/>
        <v/>
      </c>
      <c r="J956" s="1409" t="str">
        <f t="shared" si="178"/>
        <v/>
      </c>
      <c r="K956" s="1409" t="str">
        <f t="shared" si="168"/>
        <v/>
      </c>
      <c r="L956" s="897" t="s">
        <v>1506</v>
      </c>
      <c r="M956" s="1410">
        <v>939</v>
      </c>
      <c r="N956" s="1409"/>
      <c r="O956" s="1408"/>
      <c r="P956" s="1408"/>
      <c r="Q956" s="1408"/>
      <c r="R956" s="1409" t="s">
        <v>395</v>
      </c>
      <c r="S956" s="1408"/>
      <c r="T956" s="1409" t="str">
        <f t="shared" si="179"/>
        <v/>
      </c>
      <c r="U956" s="1408"/>
      <c r="V956" s="1408"/>
      <c r="W956" s="1408"/>
      <c r="X956" s="1408"/>
      <c r="Y956" s="1408"/>
      <c r="Z956" s="1408"/>
      <c r="AA956" s="1408"/>
    </row>
    <row r="957" spans="1:27" x14ac:dyDescent="0.25">
      <c r="A957" s="1082" t="s">
        <v>1507</v>
      </c>
      <c r="B957" s="897" t="str">
        <f t="shared" ca="1" si="180"/>
        <v>T283</v>
      </c>
      <c r="C957" s="897" t="str">
        <f t="shared" ca="1" si="181"/>
        <v>T284</v>
      </c>
      <c r="D957" s="897" t="s">
        <v>1367</v>
      </c>
      <c r="E957" s="897" t="s">
        <v>1535</v>
      </c>
      <c r="F957" s="919" t="s">
        <v>1507</v>
      </c>
      <c r="G957" s="1409" t="str">
        <f>IF(T957&lt;&gt;"","AW","")</f>
        <v/>
      </c>
      <c r="H957" s="1409" t="s">
        <v>1926</v>
      </c>
      <c r="I957" s="857" t="str">
        <f t="shared" si="167"/>
        <v/>
      </c>
      <c r="J957" s="1409" t="str">
        <f t="shared" si="178"/>
        <v/>
      </c>
      <c r="K957" s="1409" t="str">
        <f t="shared" si="168"/>
        <v/>
      </c>
      <c r="L957" s="897" t="s">
        <v>1507</v>
      </c>
      <c r="M957" s="1410">
        <v>940</v>
      </c>
      <c r="N957" s="1409"/>
      <c r="O957" s="1408"/>
      <c r="P957" s="1408"/>
      <c r="Q957" s="1408"/>
      <c r="R957" s="1409" t="s">
        <v>395</v>
      </c>
      <c r="S957" s="1408"/>
      <c r="T957" s="1409" t="str">
        <f t="shared" si="179"/>
        <v/>
      </c>
      <c r="U957" s="1408"/>
      <c r="V957" s="1408"/>
      <c r="W957" s="1408"/>
      <c r="X957" s="1408"/>
      <c r="Y957" s="1408"/>
      <c r="Z957" s="1408"/>
      <c r="AA957" s="1408"/>
    </row>
    <row r="958" spans="1:27" x14ac:dyDescent="0.25">
      <c r="A958" s="1082" t="s">
        <v>1402</v>
      </c>
      <c r="B958" s="897" t="str">
        <f t="shared" ref="B958:B960" ca="1" si="182">IFERROR(_xlfn.CONCAT("C",MATCH(A958,INDIRECT("'"&amp;E958&amp;"'!C"&amp;$O$949&amp;":C"&amp;$O$951),0)+$O$949-1),"")</f>
        <v>C287</v>
      </c>
      <c r="C958" s="897" t="str">
        <f t="shared" ref="C958:C960" ca="1" si="183">IFERROR(_xlfn.CONCAT("D",MATCH(A958,INDIRECT("'"&amp;E958&amp;"'!C"&amp;$O$949&amp;":C"&amp;$O$951),0)+$O$949-1),"")</f>
        <v>D287</v>
      </c>
      <c r="D958" s="897" t="s">
        <v>1367</v>
      </c>
      <c r="E958" s="897" t="s">
        <v>1535</v>
      </c>
      <c r="F958" s="1409" t="s">
        <v>1402</v>
      </c>
      <c r="G958" s="1409" t="str">
        <f>IF(T958&lt;&gt;"","C","")</f>
        <v/>
      </c>
      <c r="H958" s="1409" t="s">
        <v>1926</v>
      </c>
      <c r="I958" s="857" t="str">
        <f t="shared" si="167"/>
        <v/>
      </c>
      <c r="J958" s="1409"/>
      <c r="K958" s="1409" t="str">
        <f t="shared" si="168"/>
        <v/>
      </c>
      <c r="L958" s="897" t="s">
        <v>1402</v>
      </c>
      <c r="M958" s="1410">
        <v>941</v>
      </c>
      <c r="N958" s="1409"/>
      <c r="O958" s="1408"/>
      <c r="P958" s="1408"/>
      <c r="Q958" s="1408"/>
      <c r="R958" s="1409" t="s">
        <v>395</v>
      </c>
      <c r="S958" s="1408"/>
      <c r="T958" s="1409" t="str">
        <f t="shared" si="179"/>
        <v/>
      </c>
      <c r="U958" s="1408"/>
      <c r="V958" s="1408"/>
      <c r="W958" s="1408"/>
      <c r="X958" s="1408"/>
      <c r="Y958" s="1408"/>
      <c r="Z958" s="1408"/>
      <c r="AA958" s="1408"/>
    </row>
    <row r="959" spans="1:27" x14ac:dyDescent="0.25">
      <c r="A959" s="1082" t="s">
        <v>1403</v>
      </c>
      <c r="B959" s="897" t="str">
        <f t="shared" ca="1" si="182"/>
        <v>C289</v>
      </c>
      <c r="C959" s="897" t="str">
        <f t="shared" ca="1" si="183"/>
        <v>D289</v>
      </c>
      <c r="D959" s="897" t="s">
        <v>1367</v>
      </c>
      <c r="E959" s="897" t="s">
        <v>1535</v>
      </c>
      <c r="F959" s="1409" t="s">
        <v>1403</v>
      </c>
      <c r="G959" s="1409" t="str">
        <f>IF(T959&lt;&gt;"","D","")</f>
        <v/>
      </c>
      <c r="H959" s="1409" t="s">
        <v>1926</v>
      </c>
      <c r="I959" s="857" t="str">
        <f t="shared" si="167"/>
        <v/>
      </c>
      <c r="J959" s="1409"/>
      <c r="K959" s="1409" t="str">
        <f t="shared" si="168"/>
        <v/>
      </c>
      <c r="L959" s="897" t="s">
        <v>1403</v>
      </c>
      <c r="M959" s="1410">
        <v>942</v>
      </c>
      <c r="N959" s="1409"/>
      <c r="O959" s="1408"/>
      <c r="P959" s="1408"/>
      <c r="Q959" s="1408"/>
      <c r="R959" s="1409" t="s">
        <v>395</v>
      </c>
      <c r="S959" s="1408"/>
      <c r="T959" s="1409" t="str">
        <f t="shared" si="179"/>
        <v/>
      </c>
      <c r="U959" s="1408"/>
      <c r="V959" s="1408"/>
      <c r="W959" s="1408"/>
      <c r="X959" s="1408"/>
      <c r="Y959" s="1408"/>
      <c r="Z959" s="1408"/>
      <c r="AA959" s="1408"/>
    </row>
    <row r="960" spans="1:27" ht="30" x14ac:dyDescent="0.25">
      <c r="A960" s="1101" t="s">
        <v>1514</v>
      </c>
      <c r="B960" s="897" t="str">
        <f t="shared" ca="1" si="182"/>
        <v>C291</v>
      </c>
      <c r="C960" s="897" t="str">
        <f t="shared" ca="1" si="183"/>
        <v>D291</v>
      </c>
      <c r="D960" s="897" t="s">
        <v>1367</v>
      </c>
      <c r="E960" s="897" t="s">
        <v>1535</v>
      </c>
      <c r="F960" s="1409" t="s">
        <v>1514</v>
      </c>
      <c r="G960" s="1409" t="str">
        <f>IF(T960&lt;&gt;"","AN","")</f>
        <v/>
      </c>
      <c r="H960" s="1409" t="s">
        <v>1926</v>
      </c>
      <c r="I960" s="857" t="str">
        <f t="shared" si="167"/>
        <v/>
      </c>
      <c r="J960" s="1409" t="str">
        <f t="shared" si="178"/>
        <v/>
      </c>
      <c r="K960" s="1409" t="str">
        <f t="shared" si="168"/>
        <v/>
      </c>
      <c r="L960" s="898" t="s">
        <v>1514</v>
      </c>
      <c r="M960" s="1410">
        <v>943</v>
      </c>
      <c r="N960" s="1409"/>
      <c r="O960" s="1408"/>
      <c r="P960" s="1409" t="str" cm="1">
        <f t="array" aca="1" ref="P960" ca="1">_xlfn.CONCAT("F",RIGHT(B960, LEN(B960) - MAX(IF(ISNUMBER(MID(B960, ROW(INDIRECT("1:"&amp;LEN(B960))), 1) *1)=FALSE, ROW(INDIRECT("1:"&amp;LEN(B960))), 0))))</f>
        <v>F291</v>
      </c>
      <c r="Q960" s="1409" t="str" cm="1">
        <f t="array" aca="1" ref="Q960" ca="1">_xlfn.CONCAT("E",RIGHT(C960, LEN(C960) - MAX(IF(ISNUMBER(MID(C960, ROW(INDIRECT("1:"&amp;LEN(C960))), 1) *1)=FALSE, ROW(INDIRECT("1:"&amp;LEN(C960))), 0))))</f>
        <v>E291</v>
      </c>
      <c r="R960" s="1409" t="s">
        <v>395</v>
      </c>
      <c r="S960" s="1408"/>
      <c r="T960" s="1409" t="str">
        <f t="shared" si="179"/>
        <v/>
      </c>
      <c r="U960" s="1408"/>
      <c r="V960" s="1408"/>
      <c r="W960" s="1408"/>
      <c r="X960" s="1408"/>
      <c r="Y960" s="1408"/>
      <c r="Z960" s="1408"/>
      <c r="AA960" s="1408"/>
    </row>
    <row r="961" spans="1:27" x14ac:dyDescent="0.25">
      <c r="A961" s="1082" t="s">
        <v>1511</v>
      </c>
      <c r="B961" s="897" t="str">
        <f ca="1">_xlfn.CONCAT(IFERROR(SUBSTITUTE(ADDRESS(1,MATCH(A961,INDIRECT("'"&amp;E961&amp;"'"&amp;"!A" &amp; $O$949 + 8 &amp; ":Z" &amp; $O$949 + 8),0),4),1,""),""),$O$949 + 8)</f>
        <v>H289</v>
      </c>
      <c r="C961" s="897" t="str">
        <f ca="1">_xlfn.CONCAT(IFERROR(SUBSTITUTE(ADDRESS(1,MATCH(A961,INDIRECT("'"&amp;E961&amp;"'"&amp;"!A" &amp; $O$949 + 8 &amp; ":Z" &amp; $O$949 + 8),0),4),1,""),""),$O$949 + 9)</f>
        <v>H290</v>
      </c>
      <c r="D961" s="897" t="s">
        <v>1367</v>
      </c>
      <c r="E961" s="897" t="s">
        <v>1535</v>
      </c>
      <c r="F961" s="1409" t="s">
        <v>1511</v>
      </c>
      <c r="G961" s="1409" t="str">
        <f>IF(T961&lt;&gt;"","AL","")</f>
        <v/>
      </c>
      <c r="H961" s="1409" t="s">
        <v>1926</v>
      </c>
      <c r="I961" s="857" t="str">
        <f t="shared" si="167"/>
        <v/>
      </c>
      <c r="J961" s="1409" t="str">
        <f t="shared" si="178"/>
        <v/>
      </c>
      <c r="K961" s="1409" t="str">
        <f t="shared" si="168"/>
        <v/>
      </c>
      <c r="L961" s="897" t="s">
        <v>1511</v>
      </c>
      <c r="M961" s="1410">
        <v>944</v>
      </c>
      <c r="N961" s="1409"/>
      <c r="O961" s="1408"/>
      <c r="P961" s="1408"/>
      <c r="Q961" s="1408"/>
      <c r="R961" s="1409" t="s">
        <v>395</v>
      </c>
      <c r="S961" s="1408"/>
      <c r="T961" s="1409" t="str">
        <f t="shared" si="179"/>
        <v/>
      </c>
      <c r="U961" s="1408"/>
      <c r="V961" s="1408"/>
      <c r="W961" s="1408"/>
      <c r="X961" s="1408"/>
      <c r="Y961" s="1408"/>
      <c r="Z961" s="1408"/>
      <c r="AA961" s="1408"/>
    </row>
    <row r="962" spans="1:27" x14ac:dyDescent="0.25">
      <c r="A962" s="1082" t="s">
        <v>1525</v>
      </c>
      <c r="B962" s="897" t="str">
        <f ca="1">_xlfn.CONCAT(IFERROR(SUBSTITUTE(ADDRESS(1,MATCH(A962,INDIRECT("'"&amp;E962&amp;"'"&amp;"!A" &amp; $O$949 + 8 &amp; ":Z" &amp; $O$949 + 8),0),4),1,""),""),$O$949 + 8)</f>
        <v>J289</v>
      </c>
      <c r="C962" s="897" t="str">
        <f ca="1">_xlfn.CONCAT(IFERROR(SUBSTITUTE(ADDRESS(1,MATCH(A962,INDIRECT("'"&amp;E962&amp;"'"&amp;"!A" &amp; $O$949 + 8 &amp; ":Z" &amp; $O$949 + 8),0),4),1,""),""),$O$949 + 9)</f>
        <v>J290</v>
      </c>
      <c r="D962" s="897" t="s">
        <v>1367</v>
      </c>
      <c r="E962" s="897" t="s">
        <v>1535</v>
      </c>
      <c r="F962" s="1409" t="s">
        <v>1932</v>
      </c>
      <c r="G962" s="1409" t="str">
        <f>IF(T962&lt;&gt;"","L","")</f>
        <v/>
      </c>
      <c r="H962" s="1409" t="s">
        <v>1926</v>
      </c>
      <c r="I962" s="857" t="str">
        <f t="shared" si="167"/>
        <v/>
      </c>
      <c r="J962" s="1409" t="str">
        <f t="shared" si="178"/>
        <v/>
      </c>
      <c r="K962" s="1409" t="str">
        <f t="shared" si="168"/>
        <v/>
      </c>
      <c r="L962" s="897" t="s">
        <v>1525</v>
      </c>
      <c r="M962" s="1410">
        <v>945</v>
      </c>
      <c r="N962" s="1409"/>
      <c r="O962" s="1408"/>
      <c r="P962" s="1408"/>
      <c r="Q962" s="1408"/>
      <c r="R962" s="1409" t="s">
        <v>395</v>
      </c>
      <c r="S962" s="1408"/>
      <c r="T962" s="1409" t="str">
        <f t="shared" si="179"/>
        <v/>
      </c>
      <c r="U962" s="1408"/>
      <c r="V962" s="1408"/>
      <c r="W962" s="1408"/>
      <c r="X962" s="1408"/>
      <c r="Y962" s="1408"/>
      <c r="Z962" s="1408"/>
      <c r="AA962" s="1408"/>
    </row>
    <row r="963" spans="1:27" x14ac:dyDescent="0.25">
      <c r="A963" s="1082" t="s">
        <v>1404</v>
      </c>
      <c r="B963" s="897" t="str">
        <f ca="1">_xlfn.CONCAT(IFERROR(SUBSTITUTE(ADDRESS(1,MATCH(A963,INDIRECT("'"&amp;E963&amp;"'"&amp;"!A" &amp; $O$949 + 5 &amp; ":Z" &amp; $O$949 + 5),0),4),1,""),""),$O$949 + 5)</f>
        <v>H286</v>
      </c>
      <c r="C963" s="897" t="str">
        <f ca="1">_xlfn.CONCAT(IFERROR(SUBSTITUTE(ADDRESS(1,MATCH(A963,INDIRECT("'"&amp;E963&amp;"'"&amp;"!A" &amp; $O$949 + 5 &amp; ":Z" &amp; $O$949 + 5),0),4),1,""),""),$O$949 + 6)</f>
        <v>H287</v>
      </c>
      <c r="D963" s="897" t="s">
        <v>1367</v>
      </c>
      <c r="E963" s="897" t="s">
        <v>1535</v>
      </c>
      <c r="F963" s="919" t="s">
        <v>1404</v>
      </c>
      <c r="G963" s="1409" t="str">
        <f>IF(T963&lt;&gt;"","AH","")</f>
        <v/>
      </c>
      <c r="H963" s="1409" t="s">
        <v>1926</v>
      </c>
      <c r="I963" s="857" t="str">
        <f t="shared" si="167"/>
        <v/>
      </c>
      <c r="J963" s="1409" t="str">
        <f t="shared" si="178"/>
        <v/>
      </c>
      <c r="K963" s="1409" t="str">
        <f t="shared" si="168"/>
        <v/>
      </c>
      <c r="L963" s="897" t="s">
        <v>1404</v>
      </c>
      <c r="M963" s="1410">
        <v>946</v>
      </c>
      <c r="N963" s="1409"/>
      <c r="O963" s="1408"/>
      <c r="P963" s="1408"/>
      <c r="Q963" s="1408"/>
      <c r="R963" s="1409" t="s">
        <v>395</v>
      </c>
      <c r="S963" s="1408"/>
      <c r="T963" s="1409" t="str">
        <f t="shared" si="179"/>
        <v/>
      </c>
      <c r="U963" s="1408"/>
      <c r="V963" s="1408"/>
      <c r="W963" s="1408"/>
      <c r="X963" s="1408"/>
      <c r="Y963" s="1408"/>
      <c r="Z963" s="1408"/>
      <c r="AA963" s="1408"/>
    </row>
    <row r="964" spans="1:27" x14ac:dyDescent="0.25">
      <c r="A964" s="1082" t="s">
        <v>1405</v>
      </c>
      <c r="B964" s="897" t="str">
        <f ca="1">_xlfn.CONCAT(IFERROR(SUBSTITUTE(ADDRESS(1,MATCH(A964,INDIRECT("'"&amp;E964&amp;"'"&amp;"!A" &amp; $O$949 + 5 &amp; ":Z" &amp; $O$949 + 5),0),4),1,""),""),$O$949 + 5)</f>
        <v>J286</v>
      </c>
      <c r="C964" s="897" t="str">
        <f ca="1">_xlfn.CONCAT(IFERROR(SUBSTITUTE(ADDRESS(1,MATCH(A964,INDIRECT("'"&amp;E964&amp;"'"&amp;"!A" &amp; $O$949 + 5 &amp; ":Z" &amp; $O$949 + 5),0),4),1,""),""),$O$949 + 6)</f>
        <v>J287</v>
      </c>
      <c r="D964" s="897" t="s">
        <v>1367</v>
      </c>
      <c r="E964" s="897" t="s">
        <v>1535</v>
      </c>
      <c r="F964" s="919"/>
      <c r="G964" s="1409"/>
      <c r="H964" s="1409"/>
      <c r="I964" s="857" t="str">
        <f t="shared" ref="I964:I1027" si="184">IF(J964&lt;&gt;"",A964,"")</f>
        <v/>
      </c>
      <c r="J964" s="1409"/>
      <c r="K964" s="1409" t="str">
        <f t="shared" ref="K964:K1027" si="185">IF(J964&lt;&gt;"",E964,"")</f>
        <v/>
      </c>
      <c r="L964" s="897" t="s">
        <v>1405</v>
      </c>
      <c r="M964" s="1410">
        <v>947</v>
      </c>
      <c r="N964" s="1409"/>
      <c r="O964" s="1408"/>
      <c r="P964" s="1408"/>
      <c r="Q964" s="1408"/>
      <c r="R964" s="1409" t="s">
        <v>395</v>
      </c>
      <c r="S964" s="1408"/>
      <c r="T964" s="1409" t="str">
        <f t="shared" si="179"/>
        <v/>
      </c>
      <c r="U964" s="1408"/>
      <c r="V964" s="1408"/>
      <c r="W964" s="1408"/>
      <c r="X964" s="1408"/>
      <c r="Y964" s="1408"/>
      <c r="Z964" s="1408"/>
      <c r="AA964" s="1408"/>
    </row>
    <row r="965" spans="1:27" x14ac:dyDescent="0.25">
      <c r="A965" s="1082" t="s">
        <v>1406</v>
      </c>
      <c r="B965" s="897" t="str">
        <f ca="1">_xlfn.CONCAT(IFERROR(SUBSTITUTE(ADDRESS(1,MATCH(A965,INDIRECT("'"&amp;E965&amp;"'"&amp;"!A" &amp; $O$949 + 5 &amp; ":Z" &amp; $O$949 + 5),0),4),1,""),""),$O$949 + 5)</f>
        <v>L286</v>
      </c>
      <c r="C965" s="897" t="str">
        <f ca="1">_xlfn.CONCAT(IFERROR(SUBSTITUTE(ADDRESS(1,MATCH(A965,INDIRECT("'"&amp;E965&amp;"'"&amp;"!A" &amp; $O$949 + 5 &amp; ":Z" &amp; $O$949 + 5),0),4),1,""),""),$O$949 + 6)</f>
        <v>L287</v>
      </c>
      <c r="D965" s="897" t="s">
        <v>1367</v>
      </c>
      <c r="E965" s="897" t="s">
        <v>1535</v>
      </c>
      <c r="F965" s="1409" t="s">
        <v>1896</v>
      </c>
      <c r="G965" s="1409" t="str">
        <f>IF(T965&lt;&gt;"","AI","")</f>
        <v/>
      </c>
      <c r="H965" s="1409" t="s">
        <v>1926</v>
      </c>
      <c r="I965" s="857" t="str">
        <f t="shared" si="184"/>
        <v/>
      </c>
      <c r="J965" s="1409"/>
      <c r="K965" s="1409" t="str">
        <f t="shared" si="185"/>
        <v/>
      </c>
      <c r="L965" s="897" t="s">
        <v>1406</v>
      </c>
      <c r="M965" s="1410">
        <v>948</v>
      </c>
      <c r="N965" s="1409"/>
      <c r="O965" s="1408"/>
      <c r="P965" s="1408"/>
      <c r="Q965" s="1408"/>
      <c r="R965" s="1409" t="s">
        <v>395</v>
      </c>
      <c r="S965" s="1408"/>
      <c r="T965" s="1409" t="str">
        <f t="shared" si="179"/>
        <v/>
      </c>
      <c r="U965" s="1408"/>
      <c r="V965" s="1408"/>
      <c r="W965" s="1408"/>
      <c r="X965" s="1408"/>
      <c r="Y965" s="1408"/>
      <c r="Z965" s="1408"/>
      <c r="AA965" s="1408"/>
    </row>
    <row r="966" spans="1:27" x14ac:dyDescent="0.25">
      <c r="A966" s="1082" t="s">
        <v>1527</v>
      </c>
      <c r="B966" s="897" t="str">
        <f ca="1">_xlfn.CONCAT(IFERROR(SUBSTITUTE(ADDRESS(1,MATCH(A966,INDIRECT("'"&amp;E966&amp;"'"&amp;"!A" &amp; $O$949 + 8 &amp; ":Z" &amp; $O$949 + 8),0),4),1,""),""),$O$949 + 8)</f>
        <v>P289</v>
      </c>
      <c r="C966" s="897" t="str">
        <f ca="1">_xlfn.CONCAT(IFERROR(SUBSTITUTE(ADDRESS(1,MATCH(A966,INDIRECT("'"&amp;E966&amp;"'"&amp;"!A" &amp; $O$949 + 8 &amp; ":Z" &amp; $O$949 + 8),0),4),1,""),""),$O$949 + 9)</f>
        <v>P290</v>
      </c>
      <c r="D966" s="897" t="s">
        <v>1367</v>
      </c>
      <c r="E966" s="897" t="s">
        <v>1535</v>
      </c>
      <c r="F966" s="1409" t="s">
        <v>1527</v>
      </c>
      <c r="G966" s="1409" t="str">
        <f>IF(T966&lt;&gt;"","P","")</f>
        <v/>
      </c>
      <c r="H966" s="1409" t="s">
        <v>1926</v>
      </c>
      <c r="I966" s="857" t="str">
        <f t="shared" si="184"/>
        <v/>
      </c>
      <c r="J966" s="1409" t="str">
        <f t="shared" si="178"/>
        <v/>
      </c>
      <c r="K966" s="1409" t="str">
        <f t="shared" si="185"/>
        <v/>
      </c>
      <c r="L966" s="897" t="s">
        <v>1527</v>
      </c>
      <c r="M966" s="1410">
        <v>949</v>
      </c>
      <c r="N966" s="1409"/>
      <c r="O966" s="1408"/>
      <c r="P966" s="1408"/>
      <c r="Q966" s="1408"/>
      <c r="R966" s="1409" t="s">
        <v>395</v>
      </c>
      <c r="S966" s="1408"/>
      <c r="T966" s="1409" t="str">
        <f>IF(Q$949="Yes",20,"")</f>
        <v/>
      </c>
      <c r="U966" s="1408"/>
      <c r="V966" s="1408"/>
      <c r="W966" s="1408"/>
      <c r="X966" s="1408"/>
      <c r="Y966" s="1408"/>
      <c r="Z966" s="1408"/>
      <c r="AA966" s="1408"/>
    </row>
    <row r="967" spans="1:27" x14ac:dyDescent="0.25">
      <c r="A967" s="1104" t="s">
        <v>1510</v>
      </c>
      <c r="B967" s="897" t="str">
        <f ca="1">IFERROR(_xlfn.CONCAT("C",MATCH(A967,INDIRECT("'"&amp;E967&amp;"'!C"&amp;$O$968&amp;":C"&amp;$O$970),0)+$O$968-1),"")</f>
        <v>C299</v>
      </c>
      <c r="C967" s="897" t="str">
        <f ca="1">IFERROR(_xlfn.CONCAT("D",MATCH(A967,INDIRECT("'"&amp;E967&amp;"'!C"&amp;$O$968&amp;":C"&amp;$O$970),0)+$O$968-1),"")</f>
        <v>D299</v>
      </c>
      <c r="D967" s="897" t="s">
        <v>1367</v>
      </c>
      <c r="E967" s="897" t="s">
        <v>1535</v>
      </c>
      <c r="F967" s="1409" t="s">
        <v>1510</v>
      </c>
      <c r="G967" s="1409" t="str">
        <f>IF(T967&lt;&gt;"","A","")</f>
        <v/>
      </c>
      <c r="H967" s="1409" t="s">
        <v>1926</v>
      </c>
      <c r="I967" s="857" t="str">
        <f t="shared" si="184"/>
        <v/>
      </c>
      <c r="J967" s="1409"/>
      <c r="K967" s="1409" t="str">
        <f t="shared" si="185"/>
        <v/>
      </c>
      <c r="L967" s="897" t="s">
        <v>1510</v>
      </c>
      <c r="M967" s="1410">
        <v>950</v>
      </c>
      <c r="N967" s="1409"/>
      <c r="O967" s="1408" t="s">
        <v>726</v>
      </c>
      <c r="P967" s="1408"/>
      <c r="Q967" s="1408"/>
      <c r="R967" s="1409" t="s">
        <v>395</v>
      </c>
      <c r="S967" s="1408"/>
      <c r="T967" s="1409" t="str">
        <f t="shared" ref="T967:T984" si="186">IF(Q$968="Yes",21,"")</f>
        <v/>
      </c>
      <c r="U967" s="1408"/>
      <c r="V967" s="1408"/>
      <c r="W967" s="1408"/>
      <c r="X967" s="1408"/>
      <c r="Y967" s="1408"/>
      <c r="Z967" s="1408"/>
      <c r="AA967" s="1408"/>
    </row>
    <row r="968" spans="1:27" x14ac:dyDescent="0.25">
      <c r="A968" s="1104" t="s">
        <v>1724</v>
      </c>
      <c r="B968" s="897" t="str">
        <f ca="1">_xlfn.CONCAT(IFERROR(SUBSTITUTE(ADDRESS(1,MATCH(A968,INDIRECT("'"&amp;E968&amp;"'"&amp;"!A" &amp; $O$968 + 11 &amp; ":Z" &amp; $O$968 + 11),0),4),1,""),""),$O$968 + 11)</f>
        <v>T306</v>
      </c>
      <c r="C968" s="897" t="str">
        <f ca="1">_xlfn.CONCAT(IFERROR(SUBSTITUTE(ADDRESS(1,MATCH(A968,INDIRECT("'"&amp;E968&amp;"'"&amp;"!A" &amp; $O$968 + 11 &amp; ":Z" &amp; $O$968 + 11),0),4),1,""),""),$O$968 + 12)</f>
        <v>T307</v>
      </c>
      <c r="D968" s="897" t="s">
        <v>1367</v>
      </c>
      <c r="E968" s="897" t="s">
        <v>1535</v>
      </c>
      <c r="F968" s="1409"/>
      <c r="G968" s="1409"/>
      <c r="H968" s="1409"/>
      <c r="I968" s="857" t="str">
        <f t="shared" si="184"/>
        <v/>
      </c>
      <c r="J968" s="1409" t="str">
        <f t="shared" ref="J968:J985" si="187">IF(M968&lt;&gt;"",IF($Q$968="Yes",Q$1&amp;M968,""))</f>
        <v/>
      </c>
      <c r="K968" s="1409" t="str">
        <f t="shared" si="185"/>
        <v/>
      </c>
      <c r="L968" s="897" t="s">
        <v>1724</v>
      </c>
      <c r="M968" s="1410">
        <v>951</v>
      </c>
      <c r="N968" s="1409"/>
      <c r="O968" s="1408">
        <f>'Configurable Tab'!H23</f>
        <v>295</v>
      </c>
      <c r="P968" s="1408">
        <f>'Configurable Tab'!J23</f>
        <v>0</v>
      </c>
      <c r="Q968" s="1408" t="s">
        <v>649</v>
      </c>
      <c r="R968" s="1409" t="s">
        <v>395</v>
      </c>
      <c r="S968" s="1408"/>
      <c r="T968" s="1409" t="str">
        <f t="shared" si="186"/>
        <v/>
      </c>
      <c r="U968" s="1408"/>
      <c r="V968" s="1408"/>
      <c r="W968" s="1408"/>
      <c r="X968" s="1408"/>
      <c r="Y968" s="1408"/>
      <c r="Z968" s="1408"/>
      <c r="AA968" s="1408"/>
    </row>
    <row r="969" spans="1:27" x14ac:dyDescent="0.25">
      <c r="A969" s="1104" t="s">
        <v>1400</v>
      </c>
      <c r="B969" s="897" t="str">
        <f ca="1">IFERROR(_xlfn.CONCAT("C",MATCH(A969,INDIRECT("'"&amp;E969&amp;"'!C"&amp;$O$968&amp;":C"&amp;$O$970),0)+$O$968-1),"")</f>
        <v>C297</v>
      </c>
      <c r="C969" s="897" t="str">
        <f ca="1">IFERROR(_xlfn.CONCAT("D",MATCH(A969,INDIRECT("'"&amp;E969&amp;"'!C"&amp;$O$968&amp;":C"&amp;$O$970),0)+$O$968-1),"")</f>
        <v>D297</v>
      </c>
      <c r="D969" s="897" t="s">
        <v>1367</v>
      </c>
      <c r="E969" s="897" t="s">
        <v>1535</v>
      </c>
      <c r="F969" s="1409" t="s">
        <v>1400</v>
      </c>
      <c r="G969" s="1409" t="str">
        <f>IF(T969&lt;&gt;"","B","")</f>
        <v/>
      </c>
      <c r="H969" s="1409" t="s">
        <v>1926</v>
      </c>
      <c r="I969" s="857" t="str">
        <f t="shared" si="184"/>
        <v/>
      </c>
      <c r="J969" s="1409"/>
      <c r="K969" s="1409" t="str">
        <f t="shared" si="185"/>
        <v/>
      </c>
      <c r="L969" s="897" t="s">
        <v>1400</v>
      </c>
      <c r="M969" s="1410">
        <v>952</v>
      </c>
      <c r="N969" s="1409"/>
      <c r="O969" s="1408" t="s">
        <v>727</v>
      </c>
      <c r="P969" s="1408"/>
      <c r="Q969" s="1408"/>
      <c r="R969" s="1409" t="s">
        <v>395</v>
      </c>
      <c r="S969" s="1408"/>
      <c r="T969" s="1409" t="str">
        <f t="shared" si="186"/>
        <v/>
      </c>
      <c r="U969" s="1408"/>
      <c r="V969" s="1408"/>
      <c r="W969" s="1408"/>
      <c r="X969" s="1408"/>
      <c r="Y969" s="1408"/>
      <c r="Z969" s="1408"/>
      <c r="AA969" s="1408"/>
    </row>
    <row r="970" spans="1:27" x14ac:dyDescent="0.25">
      <c r="A970" s="1104" t="s">
        <v>1397</v>
      </c>
      <c r="B970" s="897" t="str">
        <f t="shared" ref="B970:B976" ca="1" si="188">_xlfn.CONCAT(IFERROR(SUBSTITUTE(ADDRESS(1,MATCH(A970,INDIRECT("'"&amp;E970&amp;"'"&amp;"!A" &amp; $O$968 + 2 &amp; ":Z" &amp; $O$968 + 2),0),4),1,""),""),$O$968 + 2)</f>
        <v>H297</v>
      </c>
      <c r="C970" s="897" t="str">
        <f t="shared" ref="C970:C976" ca="1" si="189">_xlfn.CONCAT(IFERROR(SUBSTITUTE(ADDRESS(1,MATCH(A970,INDIRECT("'"&amp;E970&amp;"'"&amp;"!A" &amp; $O$968 + 2 &amp; ":Z" &amp; $O$968 + 2),0),4),1,""),""),$O$968 + 3)</f>
        <v>H298</v>
      </c>
      <c r="D970" s="897" t="s">
        <v>1367</v>
      </c>
      <c r="E970" s="897" t="s">
        <v>1535</v>
      </c>
      <c r="F970" s="1409" t="s">
        <v>1927</v>
      </c>
      <c r="G970" s="1409" t="str">
        <f>IF(T970&lt;&gt;"","E","")</f>
        <v/>
      </c>
      <c r="H970" s="1409" t="s">
        <v>1926</v>
      </c>
      <c r="I970" s="857" t="str">
        <f t="shared" si="184"/>
        <v/>
      </c>
      <c r="J970" s="1409" t="str">
        <f t="shared" si="187"/>
        <v/>
      </c>
      <c r="K970" s="1409" t="str">
        <f t="shared" si="185"/>
        <v/>
      </c>
      <c r="L970" s="897" t="s">
        <v>1397</v>
      </c>
      <c r="M970" s="1410">
        <v>953</v>
      </c>
      <c r="N970" s="1409"/>
      <c r="O970" s="1408">
        <f>'Configurable Tab'!I23</f>
        <v>308</v>
      </c>
      <c r="P970" s="1408"/>
      <c r="Q970" s="1408"/>
      <c r="R970" s="1409" t="s">
        <v>395</v>
      </c>
      <c r="S970" s="1408"/>
      <c r="T970" s="1409" t="str">
        <f t="shared" si="186"/>
        <v/>
      </c>
      <c r="U970" s="1408"/>
      <c r="V970" s="1408"/>
      <c r="W970" s="1408"/>
      <c r="X970" s="1408"/>
      <c r="Y970" s="1408"/>
      <c r="Z970" s="1408"/>
      <c r="AA970" s="1408"/>
    </row>
    <row r="971" spans="1:27" x14ac:dyDescent="0.25">
      <c r="A971" s="1104" t="s">
        <v>1398</v>
      </c>
      <c r="B971" s="897" t="str">
        <f t="shared" ca="1" si="188"/>
        <v>J297</v>
      </c>
      <c r="C971" s="897" t="str">
        <f t="shared" ca="1" si="189"/>
        <v>J298</v>
      </c>
      <c r="D971" s="897" t="s">
        <v>1367</v>
      </c>
      <c r="E971" s="897" t="s">
        <v>1535</v>
      </c>
      <c r="F971" s="1409" t="s">
        <v>1928</v>
      </c>
      <c r="G971" s="1409" t="str">
        <f>IF(T971&lt;&gt;"","I","")</f>
        <v/>
      </c>
      <c r="H971" s="1409" t="s">
        <v>1926</v>
      </c>
      <c r="I971" s="857" t="str">
        <f t="shared" si="184"/>
        <v/>
      </c>
      <c r="J971" s="1409" t="str">
        <f t="shared" si="187"/>
        <v/>
      </c>
      <c r="K971" s="1409" t="str">
        <f t="shared" si="185"/>
        <v/>
      </c>
      <c r="L971" s="897" t="s">
        <v>1398</v>
      </c>
      <c r="M971" s="1410">
        <v>954</v>
      </c>
      <c r="N971" s="1409"/>
      <c r="O971" s="1408" t="s">
        <v>1728</v>
      </c>
      <c r="P971" s="1408"/>
      <c r="Q971" s="1408"/>
      <c r="R971" s="1409" t="s">
        <v>395</v>
      </c>
      <c r="S971" s="1408"/>
      <c r="T971" s="1409" t="str">
        <f t="shared" si="186"/>
        <v/>
      </c>
      <c r="U971" s="1408"/>
      <c r="V971" s="1408"/>
      <c r="W971" s="1408"/>
      <c r="X971" s="1408"/>
      <c r="Y971" s="1408"/>
      <c r="Z971" s="1408"/>
      <c r="AA971" s="1408"/>
    </row>
    <row r="972" spans="1:27" x14ac:dyDescent="0.25">
      <c r="A972" s="1104" t="s">
        <v>1414</v>
      </c>
      <c r="B972" s="897" t="str">
        <f t="shared" ca="1" si="188"/>
        <v>L297</v>
      </c>
      <c r="C972" s="897" t="str">
        <f t="shared" ca="1" si="189"/>
        <v>L298</v>
      </c>
      <c r="D972" s="897" t="s">
        <v>1367</v>
      </c>
      <c r="E972" s="897" t="s">
        <v>1535</v>
      </c>
      <c r="F972" s="1409" t="s">
        <v>1929</v>
      </c>
      <c r="G972" s="1409" t="str">
        <f>IF(T972&lt;&gt;"","H","")</f>
        <v/>
      </c>
      <c r="H972" s="1409" t="s">
        <v>1926</v>
      </c>
      <c r="I972" s="857" t="str">
        <f t="shared" si="184"/>
        <v/>
      </c>
      <c r="J972" s="1409" t="str">
        <f t="shared" si="187"/>
        <v/>
      </c>
      <c r="K972" s="1409" t="str">
        <f t="shared" si="185"/>
        <v/>
      </c>
      <c r="L972" s="897" t="s">
        <v>1414</v>
      </c>
      <c r="M972" s="1410">
        <v>955</v>
      </c>
      <c r="N972" s="1409"/>
      <c r="O972" s="1408"/>
      <c r="P972" s="1408"/>
      <c r="Q972" s="1408"/>
      <c r="R972" s="1409" t="s">
        <v>395</v>
      </c>
      <c r="S972" s="1408"/>
      <c r="T972" s="1409" t="str">
        <f t="shared" si="186"/>
        <v/>
      </c>
      <c r="U972" s="1408"/>
      <c r="V972" s="1408"/>
      <c r="W972" s="1408"/>
      <c r="X972" s="1408"/>
      <c r="Y972" s="1408"/>
      <c r="Z972" s="1408"/>
      <c r="AA972" s="1408"/>
    </row>
    <row r="973" spans="1:27" x14ac:dyDescent="0.25">
      <c r="A973" s="1104" t="s">
        <v>1399</v>
      </c>
      <c r="B973" s="897" t="str">
        <f t="shared" ca="1" si="188"/>
        <v>N297</v>
      </c>
      <c r="C973" s="897" t="str">
        <f t="shared" ca="1" si="189"/>
        <v>N298</v>
      </c>
      <c r="D973" s="897" t="s">
        <v>1367</v>
      </c>
      <c r="E973" s="897" t="s">
        <v>1535</v>
      </c>
      <c r="F973" s="1409" t="s">
        <v>1399</v>
      </c>
      <c r="G973" s="1409" t="str">
        <f>IF(T973&lt;&gt;"",IF(Q971="Credit Memo","J",IF(Q971="Check","K","")),"")</f>
        <v/>
      </c>
      <c r="H973" s="1409" t="s">
        <v>1926</v>
      </c>
      <c r="I973" s="857" t="str">
        <f t="shared" si="184"/>
        <v/>
      </c>
      <c r="J973" s="1409" t="str">
        <f t="shared" si="187"/>
        <v/>
      </c>
      <c r="K973" s="1409" t="str">
        <f t="shared" si="185"/>
        <v/>
      </c>
      <c r="L973" s="897" t="s">
        <v>1399</v>
      </c>
      <c r="M973" s="1410">
        <v>956</v>
      </c>
      <c r="N973" s="1409"/>
      <c r="O973" s="1408"/>
      <c r="P973" s="1408"/>
      <c r="Q973" s="1408"/>
      <c r="R973" s="1409" t="s">
        <v>395</v>
      </c>
      <c r="S973" s="1408"/>
      <c r="T973" s="1409" t="str">
        <f t="shared" si="186"/>
        <v/>
      </c>
      <c r="U973" s="1408"/>
      <c r="V973" s="1408"/>
      <c r="W973" s="1408"/>
      <c r="X973" s="1408"/>
      <c r="Y973" s="1408"/>
      <c r="Z973" s="1408"/>
      <c r="AA973" s="1408"/>
    </row>
    <row r="974" spans="1:27" x14ac:dyDescent="0.25">
      <c r="A974" s="1104" t="s">
        <v>1505</v>
      </c>
      <c r="B974" s="897" t="str">
        <f t="shared" ca="1" si="188"/>
        <v>P297</v>
      </c>
      <c r="C974" s="897" t="str">
        <f t="shared" ca="1" si="189"/>
        <v>P298</v>
      </c>
      <c r="D974" s="897" t="s">
        <v>1367</v>
      </c>
      <c r="E974" s="897" t="s">
        <v>1535</v>
      </c>
      <c r="F974" s="1409" t="s">
        <v>1930</v>
      </c>
      <c r="G974" s="1409" t="str">
        <f>IF(T974&lt;&gt;"","F","")</f>
        <v/>
      </c>
      <c r="H974" s="1409" t="s">
        <v>1926</v>
      </c>
      <c r="I974" s="857" t="str">
        <f t="shared" si="184"/>
        <v/>
      </c>
      <c r="J974" s="1409" t="str">
        <f t="shared" si="187"/>
        <v/>
      </c>
      <c r="K974" s="1409" t="str">
        <f t="shared" si="185"/>
        <v/>
      </c>
      <c r="L974" s="897" t="s">
        <v>1505</v>
      </c>
      <c r="M974" s="1410">
        <v>957</v>
      </c>
      <c r="N974" s="1409"/>
      <c r="O974" s="1408"/>
      <c r="P974" s="1408"/>
      <c r="Q974" s="1408"/>
      <c r="R974" s="1409" t="s">
        <v>395</v>
      </c>
      <c r="S974" s="1408"/>
      <c r="T974" s="1409" t="str">
        <f t="shared" si="186"/>
        <v/>
      </c>
      <c r="U974" s="1408"/>
      <c r="V974" s="1408"/>
      <c r="W974" s="1408"/>
      <c r="X974" s="1408"/>
      <c r="Y974" s="1408"/>
      <c r="Z974" s="1408"/>
      <c r="AA974" s="1408"/>
    </row>
    <row r="975" spans="1:27" x14ac:dyDescent="0.25">
      <c r="A975" s="1104" t="s">
        <v>1506</v>
      </c>
      <c r="B975" s="897" t="str">
        <f t="shared" ca="1" si="188"/>
        <v>R297</v>
      </c>
      <c r="C975" s="897" t="str">
        <f t="shared" ca="1" si="189"/>
        <v>R298</v>
      </c>
      <c r="D975" s="897" t="s">
        <v>1367</v>
      </c>
      <c r="E975" s="897" t="s">
        <v>1535</v>
      </c>
      <c r="F975" s="1409" t="s">
        <v>1931</v>
      </c>
      <c r="G975" s="1409" t="str">
        <f>IF(T975&lt;&gt;"","G","")</f>
        <v/>
      </c>
      <c r="H975" s="1409" t="s">
        <v>1926</v>
      </c>
      <c r="I975" s="857" t="str">
        <f t="shared" si="184"/>
        <v/>
      </c>
      <c r="J975" s="1409" t="str">
        <f t="shared" si="187"/>
        <v/>
      </c>
      <c r="K975" s="1409" t="str">
        <f t="shared" si="185"/>
        <v/>
      </c>
      <c r="L975" s="897" t="s">
        <v>1506</v>
      </c>
      <c r="M975" s="1410">
        <v>958</v>
      </c>
      <c r="N975" s="1409"/>
      <c r="O975" s="1408"/>
      <c r="P975" s="1408"/>
      <c r="Q975" s="1408"/>
      <c r="R975" s="1409" t="s">
        <v>395</v>
      </c>
      <c r="S975" s="1408"/>
      <c r="T975" s="1409" t="str">
        <f t="shared" si="186"/>
        <v/>
      </c>
      <c r="U975" s="1408"/>
      <c r="V975" s="1408"/>
      <c r="W975" s="1408"/>
      <c r="X975" s="1408"/>
      <c r="Y975" s="1408"/>
      <c r="Z975" s="1408"/>
      <c r="AA975" s="1408"/>
    </row>
    <row r="976" spans="1:27" x14ac:dyDescent="0.25">
      <c r="A976" s="1104" t="s">
        <v>1507</v>
      </c>
      <c r="B976" s="897" t="str">
        <f t="shared" ca="1" si="188"/>
        <v>T297</v>
      </c>
      <c r="C976" s="897" t="str">
        <f t="shared" ca="1" si="189"/>
        <v>T298</v>
      </c>
      <c r="D976" s="897" t="s">
        <v>1367</v>
      </c>
      <c r="E976" s="897" t="s">
        <v>1535</v>
      </c>
      <c r="F976" s="919" t="s">
        <v>1507</v>
      </c>
      <c r="G976" s="1409" t="str">
        <f>IF(T976&lt;&gt;"","AW","")</f>
        <v/>
      </c>
      <c r="H976" s="1409" t="s">
        <v>1926</v>
      </c>
      <c r="I976" s="857" t="str">
        <f t="shared" si="184"/>
        <v/>
      </c>
      <c r="J976" s="1409" t="str">
        <f t="shared" si="187"/>
        <v/>
      </c>
      <c r="K976" s="1409" t="str">
        <f t="shared" si="185"/>
        <v/>
      </c>
      <c r="L976" s="897" t="s">
        <v>1507</v>
      </c>
      <c r="M976" s="1410">
        <v>959</v>
      </c>
      <c r="N976" s="1409"/>
      <c r="O976" s="1408"/>
      <c r="P976" s="1408"/>
      <c r="Q976" s="1408"/>
      <c r="R976" s="1409" t="s">
        <v>395</v>
      </c>
      <c r="S976" s="1408"/>
      <c r="T976" s="1409" t="str">
        <f t="shared" si="186"/>
        <v/>
      </c>
      <c r="U976" s="1408"/>
      <c r="V976" s="1408"/>
      <c r="W976" s="1408"/>
      <c r="X976" s="1408"/>
      <c r="Y976" s="1408"/>
      <c r="Z976" s="1408"/>
      <c r="AA976" s="1408"/>
    </row>
    <row r="977" spans="1:27" x14ac:dyDescent="0.25">
      <c r="A977" s="1104" t="s">
        <v>1402</v>
      </c>
      <c r="B977" s="897" t="str">
        <f t="shared" ref="B977:B979" ca="1" si="190">IFERROR(_xlfn.CONCAT("C",MATCH(A977,INDIRECT("'"&amp;E977&amp;"'!C"&amp;$O$968&amp;":C"&amp;$O$970),0)+$O$968-1),"")</f>
        <v>C301</v>
      </c>
      <c r="C977" s="897" t="str">
        <f t="shared" ref="C977:C979" ca="1" si="191">IFERROR(_xlfn.CONCAT("D",MATCH(A977,INDIRECT("'"&amp;E977&amp;"'!C"&amp;$O$968&amp;":C"&amp;$O$970),0)+$O$968-1),"")</f>
        <v>D301</v>
      </c>
      <c r="D977" s="897" t="s">
        <v>1367</v>
      </c>
      <c r="E977" s="897" t="s">
        <v>1535</v>
      </c>
      <c r="F977" s="1409" t="s">
        <v>1402</v>
      </c>
      <c r="G977" s="1409" t="str">
        <f>IF(T977&lt;&gt;"","C","")</f>
        <v/>
      </c>
      <c r="H977" s="1409" t="s">
        <v>1926</v>
      </c>
      <c r="I977" s="857" t="str">
        <f t="shared" si="184"/>
        <v/>
      </c>
      <c r="J977" s="1409"/>
      <c r="K977" s="1409" t="str">
        <f t="shared" si="185"/>
        <v/>
      </c>
      <c r="L977" s="897" t="s">
        <v>1402</v>
      </c>
      <c r="M977" s="1410">
        <v>960</v>
      </c>
      <c r="N977" s="1409"/>
      <c r="O977" s="1408"/>
      <c r="P977" s="1408"/>
      <c r="Q977" s="1408"/>
      <c r="R977" s="1409" t="s">
        <v>395</v>
      </c>
      <c r="S977" s="1408"/>
      <c r="T977" s="1409" t="str">
        <f t="shared" si="186"/>
        <v/>
      </c>
      <c r="U977" s="1408"/>
      <c r="V977" s="1408"/>
      <c r="W977" s="1408"/>
      <c r="X977" s="1408"/>
      <c r="Y977" s="1408"/>
      <c r="Z977" s="1408"/>
      <c r="AA977" s="1408"/>
    </row>
    <row r="978" spans="1:27" x14ac:dyDescent="0.25">
      <c r="A978" s="1104" t="s">
        <v>1403</v>
      </c>
      <c r="B978" s="897" t="str">
        <f t="shared" ca="1" si="190"/>
        <v>C303</v>
      </c>
      <c r="C978" s="897" t="str">
        <f t="shared" ca="1" si="191"/>
        <v>D303</v>
      </c>
      <c r="D978" s="897" t="s">
        <v>1367</v>
      </c>
      <c r="E978" s="897" t="s">
        <v>1535</v>
      </c>
      <c r="F978" s="1409" t="s">
        <v>1403</v>
      </c>
      <c r="G978" s="1409" t="str">
        <f>IF(T978&lt;&gt;"","D","")</f>
        <v/>
      </c>
      <c r="H978" s="1409" t="s">
        <v>1926</v>
      </c>
      <c r="I978" s="857" t="str">
        <f t="shared" si="184"/>
        <v/>
      </c>
      <c r="J978" s="1409"/>
      <c r="K978" s="1409" t="str">
        <f t="shared" si="185"/>
        <v/>
      </c>
      <c r="L978" s="897" t="s">
        <v>1403</v>
      </c>
      <c r="M978" s="1410">
        <v>961</v>
      </c>
      <c r="N978" s="1409"/>
      <c r="O978" s="1408"/>
      <c r="P978" s="1408"/>
      <c r="Q978" s="1408"/>
      <c r="R978" s="1409" t="s">
        <v>395</v>
      </c>
      <c r="S978" s="1408"/>
      <c r="T978" s="1409" t="str">
        <f t="shared" si="186"/>
        <v/>
      </c>
      <c r="U978" s="1408"/>
      <c r="V978" s="1408"/>
      <c r="W978" s="1408"/>
      <c r="X978" s="1408"/>
      <c r="Y978" s="1408"/>
      <c r="Z978" s="1408"/>
      <c r="AA978" s="1408"/>
    </row>
    <row r="979" spans="1:27" x14ac:dyDescent="0.25">
      <c r="A979" s="1104" t="s">
        <v>1514</v>
      </c>
      <c r="B979" s="897" t="str">
        <f t="shared" ca="1" si="190"/>
        <v>C305</v>
      </c>
      <c r="C979" s="897" t="str">
        <f t="shared" ca="1" si="191"/>
        <v>D305</v>
      </c>
      <c r="D979" s="897" t="s">
        <v>1367</v>
      </c>
      <c r="E979" s="897" t="s">
        <v>1535</v>
      </c>
      <c r="F979" s="1409" t="s">
        <v>1514</v>
      </c>
      <c r="G979" s="1409" t="str">
        <f>IF(T979&lt;&gt;"","AN","")</f>
        <v/>
      </c>
      <c r="H979" s="1409" t="s">
        <v>1926</v>
      </c>
      <c r="I979" s="857" t="str">
        <f t="shared" si="184"/>
        <v/>
      </c>
      <c r="J979" s="1409" t="str">
        <f t="shared" si="187"/>
        <v/>
      </c>
      <c r="K979" s="1409" t="str">
        <f t="shared" si="185"/>
        <v/>
      </c>
      <c r="L979" s="897" t="s">
        <v>1514</v>
      </c>
      <c r="M979" s="1410">
        <v>962</v>
      </c>
      <c r="N979" s="1409"/>
      <c r="O979" s="1408"/>
      <c r="P979" s="1409" t="str" cm="1">
        <f t="array" aca="1" ref="P979" ca="1">_xlfn.CONCAT("F",RIGHT(B979, LEN(B979) - MAX(IF(ISNUMBER(MID(B979, ROW(INDIRECT("1:"&amp;LEN(B979))), 1) *1)=FALSE, ROW(INDIRECT("1:"&amp;LEN(B979))), 0))))</f>
        <v>F305</v>
      </c>
      <c r="Q979" s="1409" t="str" cm="1">
        <f t="array" aca="1" ref="Q979" ca="1">_xlfn.CONCAT("E",RIGHT(C979, LEN(C979) - MAX(IF(ISNUMBER(MID(C979, ROW(INDIRECT("1:"&amp;LEN(C979))), 1) *1)=FALSE, ROW(INDIRECT("1:"&amp;LEN(C979))), 0))))</f>
        <v>E305</v>
      </c>
      <c r="R979" s="1409" t="s">
        <v>395</v>
      </c>
      <c r="S979" s="1408"/>
      <c r="T979" s="1409" t="str">
        <f t="shared" si="186"/>
        <v/>
      </c>
      <c r="U979" s="1408"/>
      <c r="V979" s="1408"/>
      <c r="W979" s="1408"/>
      <c r="X979" s="1408"/>
      <c r="Y979" s="1408"/>
      <c r="Z979" s="1408"/>
      <c r="AA979" s="1408"/>
    </row>
    <row r="980" spans="1:27" x14ac:dyDescent="0.25">
      <c r="A980" s="1104" t="s">
        <v>1511</v>
      </c>
      <c r="B980" s="897" t="str">
        <f ca="1">_xlfn.CONCAT(IFERROR(SUBSTITUTE(ADDRESS(1,MATCH(A980,INDIRECT("'"&amp;E980&amp;"'"&amp;"!A" &amp; $O$968 + 8 &amp; ":Z" &amp; $O$968 + 8),0),4),1,""),""),$O$968 + 8)</f>
        <v>H303</v>
      </c>
      <c r="C980" s="897" t="str">
        <f ca="1">_xlfn.CONCAT(IFERROR(SUBSTITUTE(ADDRESS(1,MATCH(A980,INDIRECT("'"&amp;E980&amp;"'"&amp;"!A" &amp; $O$968 + 8 &amp; ":Z" &amp; $O$968 + 8),0),4),1,""),""),$O$968 + 9)</f>
        <v>H304</v>
      </c>
      <c r="D980" s="897" t="s">
        <v>1367</v>
      </c>
      <c r="E980" s="897" t="s">
        <v>1535</v>
      </c>
      <c r="F980" s="1409" t="s">
        <v>1511</v>
      </c>
      <c r="G980" s="1409" t="str">
        <f>IF(T980&lt;&gt;"","AL","")</f>
        <v/>
      </c>
      <c r="H980" s="1409" t="s">
        <v>1926</v>
      </c>
      <c r="I980" s="857" t="str">
        <f t="shared" si="184"/>
        <v/>
      </c>
      <c r="J980" s="1409" t="str">
        <f t="shared" si="187"/>
        <v/>
      </c>
      <c r="K980" s="1409" t="str">
        <f t="shared" si="185"/>
        <v/>
      </c>
      <c r="L980" s="897" t="s">
        <v>1511</v>
      </c>
      <c r="M980" s="1410">
        <v>963</v>
      </c>
      <c r="N980" s="1409"/>
      <c r="O980" s="1408"/>
      <c r="P980" s="1408"/>
      <c r="Q980" s="1408"/>
      <c r="R980" s="1409" t="s">
        <v>395</v>
      </c>
      <c r="S980" s="1408"/>
      <c r="T980" s="1409" t="str">
        <f t="shared" si="186"/>
        <v/>
      </c>
      <c r="U980" s="1408"/>
      <c r="V980" s="1408"/>
      <c r="W980" s="1408"/>
      <c r="X980" s="1408"/>
      <c r="Y980" s="1408"/>
      <c r="Z980" s="1408"/>
      <c r="AA980" s="1408"/>
    </row>
    <row r="981" spans="1:27" x14ac:dyDescent="0.25">
      <c r="A981" s="1104" t="s">
        <v>1525</v>
      </c>
      <c r="B981" s="897" t="str">
        <f ca="1">_xlfn.CONCAT(IFERROR(SUBSTITUTE(ADDRESS(1,MATCH(A981,INDIRECT("'"&amp;E981&amp;"'"&amp;"!A" &amp; $O$968 + 8 &amp; ":Z" &amp; $O$968 + 8),0),4),1,""),""),$O$968 + 8)</f>
        <v>J303</v>
      </c>
      <c r="C981" s="897" t="str">
        <f ca="1">_xlfn.CONCAT(IFERROR(SUBSTITUTE(ADDRESS(1,MATCH(A981,INDIRECT("'"&amp;E981&amp;"'"&amp;"!A" &amp; $O$968 + 8 &amp; ":Z" &amp; $O$968 + 8),0),4),1,""),""),$O$968 + 9)</f>
        <v>J304</v>
      </c>
      <c r="D981" s="897" t="s">
        <v>1367</v>
      </c>
      <c r="E981" s="897" t="s">
        <v>1535</v>
      </c>
      <c r="F981" s="1409" t="s">
        <v>1932</v>
      </c>
      <c r="G981" s="1409" t="str">
        <f>IF(T981&lt;&gt;"","L","")</f>
        <v/>
      </c>
      <c r="H981" s="1409" t="s">
        <v>1926</v>
      </c>
      <c r="I981" s="857" t="str">
        <f t="shared" si="184"/>
        <v/>
      </c>
      <c r="J981" s="1409" t="str">
        <f t="shared" si="187"/>
        <v/>
      </c>
      <c r="K981" s="1409" t="str">
        <f t="shared" si="185"/>
        <v/>
      </c>
      <c r="L981" s="897" t="s">
        <v>1525</v>
      </c>
      <c r="M981" s="1410">
        <v>964</v>
      </c>
      <c r="N981" s="1409"/>
      <c r="O981" s="1408"/>
      <c r="P981" s="1408"/>
      <c r="Q981" s="1408"/>
      <c r="R981" s="1409" t="s">
        <v>395</v>
      </c>
      <c r="S981" s="1408"/>
      <c r="T981" s="1409" t="str">
        <f t="shared" si="186"/>
        <v/>
      </c>
      <c r="U981" s="1408"/>
      <c r="V981" s="1408"/>
      <c r="W981" s="1408"/>
      <c r="X981" s="1408"/>
      <c r="Y981" s="1408"/>
      <c r="Z981" s="1408"/>
      <c r="AA981" s="1408"/>
    </row>
    <row r="982" spans="1:27" x14ac:dyDescent="0.25">
      <c r="A982" s="1104" t="s">
        <v>1404</v>
      </c>
      <c r="B982" s="897" t="str">
        <f ca="1">_xlfn.CONCAT(IFERROR(SUBSTITUTE(ADDRESS(1,MATCH(A982,INDIRECT("'"&amp;E982&amp;"'"&amp;"!A" &amp; $O$968 + 5 &amp; ":Z" &amp; $O$968 + 5),0),4),1,""),""),$O$968 + 5)</f>
        <v>H300</v>
      </c>
      <c r="C982" s="897" t="str">
        <f ca="1">_xlfn.CONCAT(IFERROR(SUBSTITUTE(ADDRESS(1,MATCH(A982,INDIRECT("'"&amp;E982&amp;"'"&amp;"!A" &amp; $O$968 + 5 &amp; ":Z" &amp; $O$968 + 5),0),4),1,""),""),$O$968 + 6)</f>
        <v>H301</v>
      </c>
      <c r="D982" s="897" t="s">
        <v>1367</v>
      </c>
      <c r="E982" s="897" t="s">
        <v>1535</v>
      </c>
      <c r="F982" s="919" t="s">
        <v>1404</v>
      </c>
      <c r="G982" s="1409" t="str">
        <f>IF(T982&lt;&gt;"","AH","")</f>
        <v/>
      </c>
      <c r="H982" s="1409" t="s">
        <v>1926</v>
      </c>
      <c r="I982" s="857" t="str">
        <f t="shared" si="184"/>
        <v/>
      </c>
      <c r="J982" s="1409" t="str">
        <f t="shared" si="187"/>
        <v/>
      </c>
      <c r="K982" s="1409" t="str">
        <f t="shared" si="185"/>
        <v/>
      </c>
      <c r="L982" s="897" t="s">
        <v>1404</v>
      </c>
      <c r="M982" s="1410">
        <v>965</v>
      </c>
      <c r="N982" s="1409"/>
      <c r="O982" s="1408"/>
      <c r="P982" s="1408"/>
      <c r="Q982" s="1408"/>
      <c r="R982" s="1409" t="s">
        <v>395</v>
      </c>
      <c r="S982" s="1408"/>
      <c r="T982" s="1409" t="str">
        <f t="shared" si="186"/>
        <v/>
      </c>
      <c r="U982" s="1408"/>
      <c r="V982" s="1408"/>
      <c r="W982" s="1408"/>
      <c r="X982" s="1408"/>
      <c r="Y982" s="1408"/>
      <c r="Z982" s="1408"/>
      <c r="AA982" s="1408"/>
    </row>
    <row r="983" spans="1:27" x14ac:dyDescent="0.25">
      <c r="A983" s="1104" t="s">
        <v>1405</v>
      </c>
      <c r="B983" s="897" t="str">
        <f ca="1">_xlfn.CONCAT(IFERROR(SUBSTITUTE(ADDRESS(1,MATCH(A983,INDIRECT("'"&amp;E983&amp;"'"&amp;"!A" &amp; $O$968 + 5 &amp; ":Z" &amp; $O$968 + 5),0),4),1,""),""),$O$968 + 5)</f>
        <v>J300</v>
      </c>
      <c r="C983" s="897" t="str">
        <f ca="1">_xlfn.CONCAT(IFERROR(SUBSTITUTE(ADDRESS(1,MATCH(A983,INDIRECT("'"&amp;E983&amp;"'"&amp;"!A" &amp; $O$968 + 5 &amp; ":Z" &amp; $O$968 + 5),0),4),1,""),""),$O$968 + 6)</f>
        <v>J301</v>
      </c>
      <c r="D983" s="897" t="s">
        <v>1367</v>
      </c>
      <c r="E983" s="897" t="s">
        <v>1535</v>
      </c>
      <c r="F983" s="919"/>
      <c r="G983" s="1409"/>
      <c r="H983" s="1409"/>
      <c r="I983" s="857" t="str">
        <f t="shared" si="184"/>
        <v/>
      </c>
      <c r="J983" s="1409"/>
      <c r="K983" s="1409" t="str">
        <f t="shared" si="185"/>
        <v/>
      </c>
      <c r="L983" s="897" t="s">
        <v>1405</v>
      </c>
      <c r="M983" s="1410">
        <v>966</v>
      </c>
      <c r="N983" s="1409"/>
      <c r="O983" s="1408"/>
      <c r="P983" s="1408"/>
      <c r="Q983" s="1408"/>
      <c r="R983" s="1409" t="s">
        <v>395</v>
      </c>
      <c r="S983" s="1408"/>
      <c r="T983" s="1409" t="str">
        <f t="shared" si="186"/>
        <v/>
      </c>
      <c r="U983" s="1408"/>
      <c r="V983" s="1408"/>
      <c r="W983" s="1408"/>
      <c r="X983" s="1408"/>
      <c r="Y983" s="1408"/>
      <c r="Z983" s="1408"/>
      <c r="AA983" s="1408"/>
    </row>
    <row r="984" spans="1:27" x14ac:dyDescent="0.25">
      <c r="A984" s="1104" t="s">
        <v>1406</v>
      </c>
      <c r="B984" s="897" t="str">
        <f ca="1">_xlfn.CONCAT(IFERROR(SUBSTITUTE(ADDRESS(1,MATCH(A984,INDIRECT("'"&amp;E984&amp;"'"&amp;"!A" &amp; $O$968 + 5 &amp; ":Z" &amp; $O$968 + 5),0),4),1,""),""),$O$968 + 5)</f>
        <v>L300</v>
      </c>
      <c r="C984" s="897" t="str">
        <f ca="1">_xlfn.CONCAT(IFERROR(SUBSTITUTE(ADDRESS(1,MATCH(A984,INDIRECT("'"&amp;E984&amp;"'"&amp;"!A" &amp; $O$968 + 5 &amp; ":Z" &amp; $O$968 + 5),0),4),1,""),""),$O$968 + 6)</f>
        <v>L301</v>
      </c>
      <c r="D984" s="897" t="s">
        <v>1367</v>
      </c>
      <c r="E984" s="897" t="s">
        <v>1535</v>
      </c>
      <c r="F984" s="1409" t="s">
        <v>1896</v>
      </c>
      <c r="G984" s="1409" t="str">
        <f>IF(T984&lt;&gt;"","AI","")</f>
        <v/>
      </c>
      <c r="H984" s="1409" t="s">
        <v>1926</v>
      </c>
      <c r="I984" s="857" t="str">
        <f t="shared" si="184"/>
        <v/>
      </c>
      <c r="J984" s="1409"/>
      <c r="K984" s="1409" t="str">
        <f t="shared" si="185"/>
        <v/>
      </c>
      <c r="L984" s="897" t="s">
        <v>1406</v>
      </c>
      <c r="M984" s="1410">
        <v>967</v>
      </c>
      <c r="N984" s="1409"/>
      <c r="O984" s="1408"/>
      <c r="P984" s="1408"/>
      <c r="Q984" s="1408"/>
      <c r="R984" s="1409" t="s">
        <v>395</v>
      </c>
      <c r="S984" s="1408"/>
      <c r="T984" s="1409" t="str">
        <f t="shared" si="186"/>
        <v/>
      </c>
      <c r="U984" s="1408"/>
      <c r="V984" s="1408"/>
      <c r="W984" s="1408"/>
      <c r="X984" s="1408"/>
      <c r="Y984" s="1408"/>
      <c r="Z984" s="1408"/>
      <c r="AA984" s="1408"/>
    </row>
    <row r="985" spans="1:27" x14ac:dyDescent="0.25">
      <c r="A985" s="1104" t="s">
        <v>1527</v>
      </c>
      <c r="B985" s="897" t="str">
        <f ca="1">_xlfn.CONCAT(IFERROR(SUBSTITUTE(ADDRESS(1,MATCH(A985,INDIRECT("'"&amp;E985&amp;"'"&amp;"!A" &amp; $O$968 + 8 &amp; ":Z" &amp; $O$968 + 8),0),4),1,""),""),$O$968 + 8)</f>
        <v>P303</v>
      </c>
      <c r="C985" s="897" t="str">
        <f ca="1">_xlfn.CONCAT(IFERROR(SUBSTITUTE(ADDRESS(1,MATCH(A985,INDIRECT("'"&amp;E985&amp;"'"&amp;"!A" &amp; $O$968 + 8 &amp; ":Z" &amp; $O$968 + 8),0),4),1,""),""),$O$968 + 9)</f>
        <v>P304</v>
      </c>
      <c r="D985" s="897" t="s">
        <v>1367</v>
      </c>
      <c r="E985" s="897" t="s">
        <v>1535</v>
      </c>
      <c r="F985" s="1409" t="s">
        <v>1527</v>
      </c>
      <c r="G985" s="1409" t="str">
        <f>IF(T985&lt;&gt;"","P","")</f>
        <v/>
      </c>
      <c r="H985" s="1409" t="s">
        <v>1926</v>
      </c>
      <c r="I985" s="857" t="str">
        <f t="shared" si="184"/>
        <v/>
      </c>
      <c r="J985" s="1409" t="str">
        <f t="shared" si="187"/>
        <v/>
      </c>
      <c r="K985" s="1409" t="str">
        <f t="shared" si="185"/>
        <v/>
      </c>
      <c r="L985" s="897" t="s">
        <v>1527</v>
      </c>
      <c r="M985" s="1410">
        <v>968</v>
      </c>
      <c r="N985" s="1409"/>
      <c r="O985" s="1408"/>
      <c r="P985" s="1408"/>
      <c r="Q985" s="1408"/>
      <c r="R985" s="1409" t="s">
        <v>395</v>
      </c>
      <c r="S985" s="1408"/>
      <c r="T985" s="1409" t="str">
        <f>IF(Q$968="Yes",21,"")</f>
        <v/>
      </c>
      <c r="U985" s="1408"/>
      <c r="V985" s="1408"/>
      <c r="W985" s="1408"/>
      <c r="X985" s="1408"/>
      <c r="Y985" s="1408"/>
      <c r="Z985" s="1408"/>
      <c r="AA985" s="1408"/>
    </row>
    <row r="986" spans="1:27" x14ac:dyDescent="0.25">
      <c r="A986" s="929" t="s">
        <v>1510</v>
      </c>
      <c r="B986" s="897" t="str">
        <f ca="1">IFERROR(_xlfn.CONCAT("C",MATCH(A986,INDIRECT("'"&amp;E986&amp;"'!C"&amp;$O$987&amp;":C"&amp;$O$989),0)+$O$987-1),"")</f>
        <v>C313</v>
      </c>
      <c r="C986" s="897" t="str">
        <f ca="1">IFERROR(_xlfn.CONCAT("D",MATCH(A986,INDIRECT("'"&amp;E986&amp;"'!C"&amp;$O$987&amp;":C"&amp;$O$989),0)+$O$987-1),"")</f>
        <v>D313</v>
      </c>
      <c r="D986" s="897" t="s">
        <v>1367</v>
      </c>
      <c r="E986" s="897" t="s">
        <v>1535</v>
      </c>
      <c r="F986" s="1409" t="s">
        <v>1510</v>
      </c>
      <c r="G986" s="1409" t="str">
        <f>IF(T986&lt;&gt;"","A","")</f>
        <v/>
      </c>
      <c r="H986" s="1409" t="s">
        <v>1926</v>
      </c>
      <c r="I986" s="857" t="str">
        <f t="shared" si="184"/>
        <v/>
      </c>
      <c r="J986" s="1409"/>
      <c r="K986" s="1409" t="str">
        <f t="shared" si="185"/>
        <v/>
      </c>
      <c r="L986" s="897" t="s">
        <v>1510</v>
      </c>
      <c r="M986" s="1410">
        <v>969</v>
      </c>
      <c r="N986" s="1409"/>
      <c r="O986" s="1408" t="s">
        <v>726</v>
      </c>
      <c r="P986" s="1408"/>
      <c r="Q986" s="1408"/>
      <c r="R986" s="1409" t="s">
        <v>1715</v>
      </c>
      <c r="S986" s="1408"/>
      <c r="T986" s="1409" t="str">
        <f>IF(Q$987="Yes",22,"")</f>
        <v/>
      </c>
      <c r="U986" s="1408"/>
      <c r="V986" s="1408"/>
      <c r="W986" s="1408"/>
      <c r="X986" s="1408"/>
      <c r="Y986" s="1408"/>
      <c r="Z986" s="1408"/>
      <c r="AA986" s="1408"/>
    </row>
    <row r="987" spans="1:27" x14ac:dyDescent="0.25">
      <c r="A987" s="929" t="s">
        <v>1724</v>
      </c>
      <c r="B987" s="897" t="str">
        <f ca="1">_xlfn.CONCAT(IFERROR(SUBSTITUTE(ADDRESS(1,MATCH(A987,INDIRECT("'"&amp;E987&amp;"'"&amp;"!A" &amp; $O$987 + 11 &amp; ":Z" &amp; $O$987 + 11),0),4),1,""),""),$O$987 + 11)</f>
        <v>T320</v>
      </c>
      <c r="C987" s="897" t="str">
        <f ca="1">_xlfn.CONCAT(IFERROR(SUBSTITUTE(ADDRESS(1,MATCH(A987,INDIRECT("'"&amp;E987&amp;"'"&amp;"!A" &amp; $O$987 + 11 &amp; ":Z" &amp; $O$987 + 11),0),4),1,""),""),$O$987 + 12)</f>
        <v>T321</v>
      </c>
      <c r="D987" s="897" t="s">
        <v>1367</v>
      </c>
      <c r="E987" s="897" t="s">
        <v>1535</v>
      </c>
      <c r="F987" s="1409"/>
      <c r="G987" s="1409"/>
      <c r="H987" s="1409"/>
      <c r="I987" s="857" t="str">
        <f t="shared" si="184"/>
        <v/>
      </c>
      <c r="J987" s="1409" t="str">
        <f t="shared" ref="J987:J1001" si="192">IF(M987&lt;&gt;"",IF($Q$987="Yes",Q$1&amp;M987,""))</f>
        <v/>
      </c>
      <c r="K987" s="1409" t="str">
        <f t="shared" si="185"/>
        <v/>
      </c>
      <c r="L987" s="897" t="s">
        <v>1724</v>
      </c>
      <c r="M987" s="1410">
        <v>970</v>
      </c>
      <c r="N987" s="1409"/>
      <c r="O987" s="1408">
        <f>'Configurable Tab'!H24</f>
        <v>309</v>
      </c>
      <c r="P987" s="18">
        <f>'Configurable Tab'!J24</f>
        <v>0</v>
      </c>
      <c r="Q987" s="1408" t="s">
        <v>649</v>
      </c>
      <c r="R987" s="1409" t="s">
        <v>1715</v>
      </c>
      <c r="S987" s="1408"/>
      <c r="T987" s="1409" t="str">
        <f t="shared" ref="T987:T1003" si="193">IF(Q$987="Yes",22,"")</f>
        <v/>
      </c>
      <c r="U987" s="1408"/>
      <c r="V987" s="1408"/>
      <c r="W987" s="1408"/>
      <c r="X987" s="1408"/>
      <c r="Y987" s="1408"/>
      <c r="Z987" s="1408"/>
      <c r="AA987" s="1408"/>
    </row>
    <row r="988" spans="1:27" x14ac:dyDescent="0.25">
      <c r="A988" s="929" t="s">
        <v>1400</v>
      </c>
      <c r="B988" s="897" t="str">
        <f ca="1">IFERROR(_xlfn.CONCAT("C",MATCH(A988,INDIRECT("'"&amp;E988&amp;"'!C"&amp;$O$987&amp;":C"&amp;$O$989),0)+$O$987-1),"")</f>
        <v>C311</v>
      </c>
      <c r="C988" s="897" t="str">
        <f ca="1">IFERROR(_xlfn.CONCAT("D",MATCH(A988,INDIRECT("'"&amp;E988&amp;"'!C"&amp;$O$987&amp;":C"&amp;$O$989),0)+$O$987-1),"")</f>
        <v>D311</v>
      </c>
      <c r="D988" s="897" t="s">
        <v>1367</v>
      </c>
      <c r="E988" s="897" t="s">
        <v>1535</v>
      </c>
      <c r="F988" s="1409" t="s">
        <v>1400</v>
      </c>
      <c r="G988" s="1409" t="str">
        <f>IF(T988&lt;&gt;"","B","")</f>
        <v/>
      </c>
      <c r="H988" s="1409" t="s">
        <v>1926</v>
      </c>
      <c r="I988" s="857" t="str">
        <f t="shared" si="184"/>
        <v/>
      </c>
      <c r="J988" s="1409"/>
      <c r="K988" s="1409" t="str">
        <f t="shared" si="185"/>
        <v/>
      </c>
      <c r="L988" s="897" t="s">
        <v>1400</v>
      </c>
      <c r="M988" s="1410">
        <v>971</v>
      </c>
      <c r="N988" s="1409"/>
      <c r="O988" s="1408" t="s">
        <v>727</v>
      </c>
      <c r="P988" s="1408"/>
      <c r="Q988" s="1408"/>
      <c r="R988" s="1409" t="s">
        <v>1715</v>
      </c>
      <c r="S988" s="1408"/>
      <c r="T988" s="1409" t="str">
        <f t="shared" si="193"/>
        <v/>
      </c>
      <c r="U988" s="1408"/>
      <c r="V988" s="1408"/>
      <c r="W988" s="1408"/>
      <c r="X988" s="1408"/>
      <c r="Y988" s="1408"/>
      <c r="Z988" s="1408"/>
      <c r="AA988" s="1408"/>
    </row>
    <row r="989" spans="1:27" x14ac:dyDescent="0.25">
      <c r="A989" s="929" t="s">
        <v>1397</v>
      </c>
      <c r="B989" s="897" t="str">
        <f t="shared" ref="B989:B995" ca="1" si="194">_xlfn.CONCAT(IFERROR(SUBSTITUTE(ADDRESS(1,MATCH(A989,INDIRECT("'"&amp;E989&amp;"'"&amp;"!A" &amp; $O$987 + 2 &amp; ":Z" &amp; $O$987 + 2),0),4),1,""),""),$O$987 + 2)</f>
        <v>H311</v>
      </c>
      <c r="C989" s="897" t="str">
        <f t="shared" ref="C989:C995" ca="1" si="195">_xlfn.CONCAT(IFERROR(SUBSTITUTE(ADDRESS(1,MATCH(A989,INDIRECT("'"&amp;E989&amp;"'"&amp;"!A" &amp; $O$987 + 2 &amp; ":Z" &amp; $O$987 + 2),0),4),1,""),""),$O$987 + 3)</f>
        <v>H312</v>
      </c>
      <c r="D989" s="897" t="s">
        <v>1367</v>
      </c>
      <c r="E989" s="897" t="s">
        <v>1535</v>
      </c>
      <c r="F989" s="1409" t="s">
        <v>1927</v>
      </c>
      <c r="G989" s="1409" t="str">
        <f>IF(T989&lt;&gt;"","E","")</f>
        <v/>
      </c>
      <c r="H989" s="1409" t="s">
        <v>1926</v>
      </c>
      <c r="I989" s="857" t="str">
        <f t="shared" si="184"/>
        <v/>
      </c>
      <c r="J989" s="1409" t="str">
        <f t="shared" si="192"/>
        <v/>
      </c>
      <c r="K989" s="1409" t="str">
        <f t="shared" si="185"/>
        <v/>
      </c>
      <c r="L989" s="897" t="s">
        <v>1397</v>
      </c>
      <c r="M989" s="1410">
        <v>972</v>
      </c>
      <c r="N989" s="1409"/>
      <c r="O989" s="1408">
        <f>'Configurable Tab'!I24</f>
        <v>322</v>
      </c>
      <c r="P989" s="1408"/>
      <c r="Q989" s="1408"/>
      <c r="R989" s="1409" t="s">
        <v>1715</v>
      </c>
      <c r="S989" s="1408"/>
      <c r="T989" s="1409" t="str">
        <f t="shared" si="193"/>
        <v/>
      </c>
      <c r="U989" s="1408"/>
      <c r="V989" s="1408"/>
      <c r="W989" s="1408"/>
      <c r="X989" s="1408"/>
      <c r="Y989" s="1408"/>
      <c r="Z989" s="1408"/>
      <c r="AA989" s="1408"/>
    </row>
    <row r="990" spans="1:27" x14ac:dyDescent="0.25">
      <c r="A990" s="929" t="s">
        <v>1398</v>
      </c>
      <c r="B990" s="897" t="str">
        <f t="shared" ca="1" si="194"/>
        <v>J311</v>
      </c>
      <c r="C990" s="897" t="str">
        <f t="shared" ca="1" si="195"/>
        <v>J312</v>
      </c>
      <c r="D990" s="897" t="s">
        <v>1367</v>
      </c>
      <c r="E990" s="897" t="s">
        <v>1535</v>
      </c>
      <c r="F990" s="1409" t="s">
        <v>1928</v>
      </c>
      <c r="G990" s="1409" t="str">
        <f>IF(T990&lt;&gt;"","I","")</f>
        <v/>
      </c>
      <c r="H990" s="1409" t="s">
        <v>1926</v>
      </c>
      <c r="I990" s="857" t="str">
        <f t="shared" si="184"/>
        <v/>
      </c>
      <c r="J990" s="1409" t="str">
        <f t="shared" si="192"/>
        <v/>
      </c>
      <c r="K990" s="1409" t="str">
        <f t="shared" si="185"/>
        <v/>
      </c>
      <c r="L990" s="897" t="s">
        <v>1398</v>
      </c>
      <c r="M990" s="1410">
        <v>973</v>
      </c>
      <c r="N990" s="1409"/>
      <c r="O990" s="1408" t="s">
        <v>1668</v>
      </c>
      <c r="P990" s="1408"/>
      <c r="Q990" s="1408" t="s">
        <v>482</v>
      </c>
      <c r="R990" s="1409" t="s">
        <v>1715</v>
      </c>
      <c r="S990" s="1408"/>
      <c r="T990" s="1409" t="str">
        <f t="shared" si="193"/>
        <v/>
      </c>
      <c r="U990" s="1408"/>
      <c r="V990" s="1408"/>
      <c r="W990" s="1408"/>
      <c r="X990" s="1408"/>
      <c r="Y990" s="1408"/>
      <c r="Z990" s="1408"/>
      <c r="AA990" s="1408"/>
    </row>
    <row r="991" spans="1:27" x14ac:dyDescent="0.25">
      <c r="A991" s="929" t="s">
        <v>1414</v>
      </c>
      <c r="B991" s="897" t="str">
        <f t="shared" ca="1" si="194"/>
        <v>L311</v>
      </c>
      <c r="C991" s="897" t="str">
        <f t="shared" ca="1" si="195"/>
        <v>L312</v>
      </c>
      <c r="D991" s="897" t="s">
        <v>1367</v>
      </c>
      <c r="E991" s="897" t="s">
        <v>1535</v>
      </c>
      <c r="F991" s="1409" t="s">
        <v>1929</v>
      </c>
      <c r="G991" s="1409" t="str">
        <f>IF(T991&lt;&gt;"","H","")</f>
        <v/>
      </c>
      <c r="H991" s="1409" t="s">
        <v>1926</v>
      </c>
      <c r="I991" s="857" t="str">
        <f t="shared" si="184"/>
        <v/>
      </c>
      <c r="J991" s="1409" t="str">
        <f t="shared" si="192"/>
        <v/>
      </c>
      <c r="K991" s="1409" t="str">
        <f t="shared" si="185"/>
        <v/>
      </c>
      <c r="L991" s="897" t="s">
        <v>1414</v>
      </c>
      <c r="M991" s="1410">
        <v>974</v>
      </c>
      <c r="N991" s="1409"/>
      <c r="O991" s="1408"/>
      <c r="P991" s="1408"/>
      <c r="Q991" s="1408"/>
      <c r="R991" s="1409" t="s">
        <v>1715</v>
      </c>
      <c r="S991" s="1408"/>
      <c r="T991" s="1409" t="str">
        <f t="shared" si="193"/>
        <v/>
      </c>
      <c r="U991" s="1408"/>
      <c r="V991" s="1408"/>
      <c r="W991" s="1408"/>
      <c r="X991" s="1408"/>
      <c r="Y991" s="1408"/>
      <c r="Z991" s="1408"/>
      <c r="AA991" s="1408"/>
    </row>
    <row r="992" spans="1:27" x14ac:dyDescent="0.25">
      <c r="A992" s="929" t="s">
        <v>1399</v>
      </c>
      <c r="B992" s="897" t="str">
        <f t="shared" ca="1" si="194"/>
        <v>N311</v>
      </c>
      <c r="C992" s="897" t="str">
        <f t="shared" ca="1" si="195"/>
        <v>N312</v>
      </c>
      <c r="D992" s="897" t="s">
        <v>1367</v>
      </c>
      <c r="E992" s="897" t="s">
        <v>1535</v>
      </c>
      <c r="F992" s="1409" t="s">
        <v>1399</v>
      </c>
      <c r="G992" s="1409" t="str">
        <f>IF(T992&lt;&gt;"",IF(Q990="Credit Memo","J",IF(Q990="Check","K","")),"")</f>
        <v/>
      </c>
      <c r="H992" s="1409" t="s">
        <v>1926</v>
      </c>
      <c r="I992" s="857" t="str">
        <f t="shared" si="184"/>
        <v/>
      </c>
      <c r="J992" s="1409" t="str">
        <f t="shared" si="192"/>
        <v/>
      </c>
      <c r="K992" s="1409" t="str">
        <f t="shared" si="185"/>
        <v/>
      </c>
      <c r="L992" s="897" t="s">
        <v>1399</v>
      </c>
      <c r="M992" s="1410">
        <v>975</v>
      </c>
      <c r="N992" s="1409"/>
      <c r="O992" s="1408"/>
      <c r="P992" s="1408"/>
      <c r="Q992" s="1408"/>
      <c r="R992" s="1409" t="s">
        <v>1715</v>
      </c>
      <c r="S992" s="1408"/>
      <c r="T992" s="1409" t="str">
        <f t="shared" si="193"/>
        <v/>
      </c>
      <c r="U992" s="1408"/>
      <c r="V992" s="1408"/>
      <c r="W992" s="1408"/>
      <c r="X992" s="1408"/>
      <c r="Y992" s="1408"/>
      <c r="Z992" s="1408"/>
      <c r="AA992" s="1408"/>
    </row>
    <row r="993" spans="1:27" x14ac:dyDescent="0.25">
      <c r="A993" s="929" t="s">
        <v>1505</v>
      </c>
      <c r="B993" s="897" t="str">
        <f t="shared" ca="1" si="194"/>
        <v>P311</v>
      </c>
      <c r="C993" s="897" t="str">
        <f t="shared" ca="1" si="195"/>
        <v>P312</v>
      </c>
      <c r="D993" s="897" t="s">
        <v>1367</v>
      </c>
      <c r="E993" s="897" t="s">
        <v>1535</v>
      </c>
      <c r="F993" s="1409" t="s">
        <v>1930</v>
      </c>
      <c r="G993" s="1409" t="str">
        <f>IF(T993&lt;&gt;"","F","")</f>
        <v/>
      </c>
      <c r="H993" s="1409" t="s">
        <v>1926</v>
      </c>
      <c r="I993" s="857" t="str">
        <f t="shared" si="184"/>
        <v/>
      </c>
      <c r="J993" s="1409" t="str">
        <f t="shared" si="192"/>
        <v/>
      </c>
      <c r="K993" s="1409" t="str">
        <f t="shared" si="185"/>
        <v/>
      </c>
      <c r="L993" s="897" t="s">
        <v>1505</v>
      </c>
      <c r="M993" s="1410">
        <v>976</v>
      </c>
      <c r="N993" s="1409"/>
      <c r="O993" s="1408"/>
      <c r="P993" s="1408"/>
      <c r="Q993" s="1408"/>
      <c r="R993" s="1409" t="s">
        <v>1715</v>
      </c>
      <c r="S993" s="1408"/>
      <c r="T993" s="1409" t="str">
        <f t="shared" si="193"/>
        <v/>
      </c>
      <c r="U993" s="1408"/>
      <c r="V993" s="1408"/>
      <c r="W993" s="1408"/>
      <c r="X993" s="1408"/>
      <c r="Y993" s="1408"/>
      <c r="Z993" s="1408"/>
      <c r="AA993" s="1408"/>
    </row>
    <row r="994" spans="1:27" x14ac:dyDescent="0.25">
      <c r="A994" s="929" t="s">
        <v>1506</v>
      </c>
      <c r="B994" s="897" t="str">
        <f t="shared" ca="1" si="194"/>
        <v>R311</v>
      </c>
      <c r="C994" s="897" t="str">
        <f t="shared" ca="1" si="195"/>
        <v>R312</v>
      </c>
      <c r="D994" s="897" t="s">
        <v>1367</v>
      </c>
      <c r="E994" s="897" t="s">
        <v>1535</v>
      </c>
      <c r="F994" s="1409" t="s">
        <v>1931</v>
      </c>
      <c r="G994" s="1409" t="str">
        <f>IF(T994&lt;&gt;"","G","")</f>
        <v/>
      </c>
      <c r="H994" s="1409" t="s">
        <v>1926</v>
      </c>
      <c r="I994" s="857" t="str">
        <f t="shared" si="184"/>
        <v/>
      </c>
      <c r="J994" s="1409" t="str">
        <f t="shared" si="192"/>
        <v/>
      </c>
      <c r="K994" s="1409" t="str">
        <f t="shared" si="185"/>
        <v/>
      </c>
      <c r="L994" s="897" t="s">
        <v>1506</v>
      </c>
      <c r="M994" s="1410">
        <v>977</v>
      </c>
      <c r="N994" s="1409"/>
      <c r="O994" s="1408"/>
      <c r="P994" s="1408"/>
      <c r="Q994" s="1408"/>
      <c r="R994" s="1409" t="s">
        <v>1715</v>
      </c>
      <c r="S994" s="1408"/>
      <c r="T994" s="1409" t="str">
        <f t="shared" si="193"/>
        <v/>
      </c>
      <c r="U994" s="1408"/>
      <c r="V994" s="1408"/>
      <c r="W994" s="1408"/>
      <c r="X994" s="1408"/>
      <c r="Y994" s="1408"/>
      <c r="Z994" s="1408"/>
      <c r="AA994" s="1408"/>
    </row>
    <row r="995" spans="1:27" x14ac:dyDescent="0.25">
      <c r="A995" s="929" t="s">
        <v>1507</v>
      </c>
      <c r="B995" s="897" t="str">
        <f t="shared" ca="1" si="194"/>
        <v>T311</v>
      </c>
      <c r="C995" s="897" t="str">
        <f t="shared" ca="1" si="195"/>
        <v>T312</v>
      </c>
      <c r="D995" s="897" t="s">
        <v>1367</v>
      </c>
      <c r="E995" s="897" t="s">
        <v>1535</v>
      </c>
      <c r="F995" s="919" t="s">
        <v>1507</v>
      </c>
      <c r="G995" s="1409" t="str">
        <f>IF(T995&lt;&gt;"","AW","")</f>
        <v/>
      </c>
      <c r="H995" s="1409" t="s">
        <v>1926</v>
      </c>
      <c r="I995" s="857" t="str">
        <f t="shared" si="184"/>
        <v/>
      </c>
      <c r="J995" s="1409" t="str">
        <f t="shared" si="192"/>
        <v/>
      </c>
      <c r="K995" s="1409" t="str">
        <f t="shared" si="185"/>
        <v/>
      </c>
      <c r="L995" s="897" t="s">
        <v>1507</v>
      </c>
      <c r="M995" s="1410">
        <v>978</v>
      </c>
      <c r="N995" s="1409"/>
      <c r="O995" s="1408"/>
      <c r="P995" s="1408"/>
      <c r="Q995" s="1408"/>
      <c r="R995" s="1409" t="s">
        <v>1715</v>
      </c>
      <c r="S995" s="1408"/>
      <c r="T995" s="1409" t="str">
        <f t="shared" si="193"/>
        <v/>
      </c>
      <c r="U995" s="1408"/>
      <c r="V995" s="1408"/>
      <c r="W995" s="1408"/>
      <c r="X995" s="1408"/>
      <c r="Y995" s="1408"/>
      <c r="Z995" s="1408"/>
      <c r="AA995" s="1408"/>
    </row>
    <row r="996" spans="1:27" x14ac:dyDescent="0.25">
      <c r="A996" s="929" t="s">
        <v>1402</v>
      </c>
      <c r="B996" s="897" t="str">
        <f ca="1">IFERROR(_xlfn.CONCAT("C",MATCH(A996,INDIRECT("'"&amp;E996&amp;"'!C"&amp;$O$987&amp;":C"&amp;$O$989),0)+$O$987-1),"")</f>
        <v>C315</v>
      </c>
      <c r="C996" s="897" t="str">
        <f ca="1">IFERROR(_xlfn.CONCAT("D",MATCH(A996,INDIRECT("'"&amp;E996&amp;"'!C"&amp;$O$987&amp;":C"&amp;$O$989),0)+$O$987-1),"")</f>
        <v>D315</v>
      </c>
      <c r="D996" s="897" t="s">
        <v>1367</v>
      </c>
      <c r="E996" s="897" t="s">
        <v>1535</v>
      </c>
      <c r="F996" s="1409" t="s">
        <v>1402</v>
      </c>
      <c r="G996" s="1409" t="str">
        <f>IF(T996&lt;&gt;"","C","")</f>
        <v/>
      </c>
      <c r="H996" s="1409" t="s">
        <v>1926</v>
      </c>
      <c r="I996" s="857" t="str">
        <f t="shared" si="184"/>
        <v/>
      </c>
      <c r="J996" s="1409"/>
      <c r="K996" s="1409" t="str">
        <f t="shared" si="185"/>
        <v/>
      </c>
      <c r="L996" s="897" t="s">
        <v>1402</v>
      </c>
      <c r="M996" s="1410">
        <v>979</v>
      </c>
      <c r="N996" s="1409"/>
      <c r="O996" s="1408"/>
      <c r="P996" s="1408"/>
      <c r="Q996" s="1408"/>
      <c r="R996" s="1409" t="s">
        <v>1715</v>
      </c>
      <c r="S996" s="1408"/>
      <c r="T996" s="1409" t="str">
        <f t="shared" si="193"/>
        <v/>
      </c>
      <c r="U996" s="1408"/>
      <c r="V996" s="1408"/>
      <c r="W996" s="1408"/>
      <c r="X996" s="1408"/>
      <c r="Y996" s="1408"/>
      <c r="Z996" s="1408"/>
      <c r="AA996" s="1408"/>
    </row>
    <row r="997" spans="1:27" x14ac:dyDescent="0.25">
      <c r="A997" s="929" t="s">
        <v>1403</v>
      </c>
      <c r="B997" s="897" t="str">
        <f ca="1">IFERROR(_xlfn.CONCAT("C",MATCH(A997,INDIRECT("'"&amp;E997&amp;"'!C"&amp;$O$987&amp;":C"&amp;$O$989),0)+$O$987-1),"")</f>
        <v>C317</v>
      </c>
      <c r="C997" s="897" t="str">
        <f ca="1">IFERROR(_xlfn.CONCAT("D",MATCH(A997,INDIRECT("'"&amp;E997&amp;"'!C"&amp;$O$987&amp;":C"&amp;$O$989),0)+$O$987-1),"")</f>
        <v>D317</v>
      </c>
      <c r="D997" s="897" t="s">
        <v>1367</v>
      </c>
      <c r="E997" s="897" t="s">
        <v>1535</v>
      </c>
      <c r="F997" s="1409" t="s">
        <v>1403</v>
      </c>
      <c r="G997" s="1409" t="str">
        <f>IF(T997&lt;&gt;"","D","")</f>
        <v/>
      </c>
      <c r="H997" s="1409" t="s">
        <v>1926</v>
      </c>
      <c r="I997" s="857" t="str">
        <f t="shared" si="184"/>
        <v/>
      </c>
      <c r="J997" s="1409"/>
      <c r="K997" s="1409" t="str">
        <f t="shared" si="185"/>
        <v/>
      </c>
      <c r="L997" s="897" t="s">
        <v>1403</v>
      </c>
      <c r="M997" s="1410">
        <v>980</v>
      </c>
      <c r="N997" s="1409"/>
      <c r="O997" s="1408"/>
      <c r="P997" s="1408"/>
      <c r="Q997" s="1408"/>
      <c r="R997" s="1409" t="s">
        <v>1715</v>
      </c>
      <c r="S997" s="1408"/>
      <c r="T997" s="1409" t="str">
        <f t="shared" si="193"/>
        <v/>
      </c>
      <c r="U997" s="1408"/>
      <c r="V997" s="1408"/>
      <c r="W997" s="1408"/>
      <c r="X997" s="1408"/>
      <c r="Y997" s="1408"/>
      <c r="Z997" s="1408"/>
      <c r="AA997" s="1408"/>
    </row>
    <row r="998" spans="1:27" x14ac:dyDescent="0.25">
      <c r="A998" s="929" t="s">
        <v>1514</v>
      </c>
      <c r="B998" s="897" t="str">
        <f ca="1">IFERROR(_xlfn.CONCAT("C",MATCH(A998,INDIRECT("'"&amp;E998&amp;"'!C"&amp;$O$987&amp;":C"&amp;$O$989),0)+$O$987-1),"")</f>
        <v>C319</v>
      </c>
      <c r="C998" s="897" t="str">
        <f ca="1">IFERROR(_xlfn.CONCAT("D",MATCH(A998,INDIRECT("'"&amp;E998&amp;"'!C"&amp;$O$987&amp;":C"&amp;$O$989),0)+$O$987-1),"")</f>
        <v>D319</v>
      </c>
      <c r="D998" s="897" t="s">
        <v>1367</v>
      </c>
      <c r="E998" s="897" t="s">
        <v>1535</v>
      </c>
      <c r="F998" s="1409" t="s">
        <v>1514</v>
      </c>
      <c r="G998" s="1409" t="str">
        <f>IF(T998&lt;&gt;"","AN","")</f>
        <v/>
      </c>
      <c r="H998" s="1409" t="s">
        <v>1926</v>
      </c>
      <c r="I998" s="857" t="str">
        <f t="shared" si="184"/>
        <v/>
      </c>
      <c r="J998" s="1409" t="str">
        <f t="shared" si="192"/>
        <v/>
      </c>
      <c r="K998" s="1409" t="str">
        <f t="shared" si="185"/>
        <v/>
      </c>
      <c r="L998" s="897" t="s">
        <v>1514</v>
      </c>
      <c r="M998" s="1410">
        <v>981</v>
      </c>
      <c r="N998" s="1409"/>
      <c r="O998" s="18"/>
      <c r="P998" s="1409" t="str" cm="1">
        <f t="array" aca="1" ref="P998" ca="1">_xlfn.CONCAT("F",RIGHT(B998, LEN(B998) - MAX(IF(ISNUMBER(MID(B998, ROW(INDIRECT("1:"&amp;LEN(B998))), 1) *1)=FALSE, ROW(INDIRECT("1:"&amp;LEN(B998))), 0))))</f>
        <v>F319</v>
      </c>
      <c r="Q998" s="1409" t="str" cm="1">
        <f t="array" aca="1" ref="Q998" ca="1">_xlfn.CONCAT("E",RIGHT(C998, LEN(C998) - MAX(IF(ISNUMBER(MID(C998, ROW(INDIRECT("1:"&amp;LEN(C998))), 1) *1)=FALSE, ROW(INDIRECT("1:"&amp;LEN(C998))), 0))))</f>
        <v>E319</v>
      </c>
      <c r="R998" s="1409" t="s">
        <v>1715</v>
      </c>
      <c r="S998" s="1408"/>
      <c r="T998" s="1409" t="str">
        <f t="shared" si="193"/>
        <v/>
      </c>
      <c r="U998" s="1408"/>
      <c r="V998" s="1408"/>
      <c r="W998" s="1408"/>
      <c r="X998" s="1408"/>
      <c r="Y998" s="1408"/>
      <c r="Z998" s="1408"/>
      <c r="AA998" s="1408"/>
    </row>
    <row r="999" spans="1:27" x14ac:dyDescent="0.25">
      <c r="A999" s="929" t="s">
        <v>1511</v>
      </c>
      <c r="B999" s="897" t="str">
        <f ca="1">_xlfn.CONCAT(IFERROR(SUBSTITUTE(ADDRESS(1,MATCH(A999,INDIRECT("'"&amp;E999&amp;"'"&amp;"!A" &amp; $O$987 + 8 &amp; ":Z" &amp; $O$987 + 8),0),4),1,""),""),$O$987 + 8)</f>
        <v>H317</v>
      </c>
      <c r="C999" s="897" t="str">
        <f ca="1">_xlfn.CONCAT(IFERROR(SUBSTITUTE(ADDRESS(1,MATCH(A999,INDIRECT("'"&amp;E999&amp;"'"&amp;"!A" &amp; $O$987 + 8 &amp; ":Z" &amp; $O$987 + 8),0),4),1,""),""),$O$987 + 9)</f>
        <v>H318</v>
      </c>
      <c r="D999" s="897" t="s">
        <v>1367</v>
      </c>
      <c r="E999" s="897" t="s">
        <v>1535</v>
      </c>
      <c r="F999" s="1409" t="s">
        <v>1511</v>
      </c>
      <c r="G999" s="1409" t="str">
        <f>IF(T999&lt;&gt;"","AL","")</f>
        <v/>
      </c>
      <c r="H999" s="1409" t="s">
        <v>1926</v>
      </c>
      <c r="I999" s="857" t="str">
        <f t="shared" si="184"/>
        <v/>
      </c>
      <c r="J999" s="1409" t="str">
        <f t="shared" si="192"/>
        <v/>
      </c>
      <c r="K999" s="1409" t="str">
        <f t="shared" si="185"/>
        <v/>
      </c>
      <c r="L999" s="897" t="s">
        <v>1511</v>
      </c>
      <c r="M999" s="1410">
        <v>982</v>
      </c>
      <c r="N999" s="1409"/>
      <c r="O999" s="1408"/>
      <c r="P999" s="1408"/>
      <c r="Q999" s="1408"/>
      <c r="R999" s="1409" t="s">
        <v>1715</v>
      </c>
      <c r="S999" s="1408"/>
      <c r="T999" s="1409" t="str">
        <f t="shared" si="193"/>
        <v/>
      </c>
      <c r="U999" s="1408"/>
      <c r="V999" s="1408"/>
      <c r="W999" s="1408"/>
      <c r="X999" s="1408"/>
      <c r="Y999" s="1408"/>
      <c r="Z999" s="1408"/>
      <c r="AA999" s="1408"/>
    </row>
    <row r="1000" spans="1:27" x14ac:dyDescent="0.25">
      <c r="A1000" s="929" t="s">
        <v>1525</v>
      </c>
      <c r="B1000" s="897" t="str">
        <f ca="1">_xlfn.CONCAT(IFERROR(SUBSTITUTE(ADDRESS(1,MATCH(A1000,INDIRECT("'"&amp;E1000&amp;"'"&amp;"!A" &amp; $O$987 + 8 &amp; ":Z" &amp; $O$987 + 8),0),4),1,""),""),$O$987 + 8)</f>
        <v>J317</v>
      </c>
      <c r="C1000" s="897" t="str">
        <f ca="1">_xlfn.CONCAT(IFERROR(SUBSTITUTE(ADDRESS(1,MATCH(A1000,INDIRECT("'"&amp;E1000&amp;"'"&amp;"!A" &amp; $O$987 + 8 &amp; ":Z" &amp; $O$987 + 8),0),4),1,""),""),$O$987 + 9)</f>
        <v>J318</v>
      </c>
      <c r="D1000" s="897" t="s">
        <v>1367</v>
      </c>
      <c r="E1000" s="897" t="s">
        <v>1535</v>
      </c>
      <c r="F1000" s="1409" t="s">
        <v>1932</v>
      </c>
      <c r="G1000" s="1409" t="str">
        <f>IF(T1000&lt;&gt;"","L","")</f>
        <v/>
      </c>
      <c r="H1000" s="1409" t="s">
        <v>1926</v>
      </c>
      <c r="I1000" s="857" t="str">
        <f t="shared" si="184"/>
        <v/>
      </c>
      <c r="J1000" s="1409" t="str">
        <f t="shared" si="192"/>
        <v/>
      </c>
      <c r="K1000" s="1409" t="str">
        <f t="shared" si="185"/>
        <v/>
      </c>
      <c r="L1000" s="897" t="s">
        <v>1525</v>
      </c>
      <c r="M1000" s="1410">
        <v>983</v>
      </c>
      <c r="N1000" s="1409"/>
      <c r="O1000" s="1408"/>
      <c r="P1000" s="1408"/>
      <c r="Q1000" s="1408"/>
      <c r="R1000" s="1409" t="s">
        <v>1715</v>
      </c>
      <c r="S1000" s="1408"/>
      <c r="T1000" s="1409" t="str">
        <f t="shared" si="193"/>
        <v/>
      </c>
      <c r="U1000" s="1408"/>
      <c r="V1000" s="1408"/>
      <c r="W1000" s="1408"/>
      <c r="X1000" s="1408"/>
      <c r="Y1000" s="1408"/>
      <c r="Z1000" s="1408"/>
      <c r="AA1000" s="1408"/>
    </row>
    <row r="1001" spans="1:27" x14ac:dyDescent="0.25">
      <c r="A1001" s="929" t="s">
        <v>1404</v>
      </c>
      <c r="B1001" s="897" t="str">
        <f ca="1">_xlfn.CONCAT(IFERROR(SUBSTITUTE(ADDRESS(1,MATCH(A1001,INDIRECT("'"&amp;E1001&amp;"'"&amp;"!A" &amp; $O$987 + 5 &amp; ":Z" &amp; $O$987 + 5),0),4),1,""),""),$O$987 + 5)</f>
        <v>H314</v>
      </c>
      <c r="C1001" s="897" t="str">
        <f ca="1">_xlfn.CONCAT(IFERROR(SUBSTITUTE(ADDRESS(1,MATCH(A1001,INDIRECT("'"&amp;E1001&amp;"'"&amp;"!A" &amp; $O$987 + 5 &amp; ":Z" &amp; $O$987 + 5),0),4),1,""),""),$O$987 + 6)</f>
        <v>H315</v>
      </c>
      <c r="D1001" s="897" t="s">
        <v>1367</v>
      </c>
      <c r="E1001" s="897" t="s">
        <v>1535</v>
      </c>
      <c r="F1001" s="919" t="s">
        <v>1404</v>
      </c>
      <c r="G1001" s="1409" t="str">
        <f>IF(T1001&lt;&gt;"","AH","")</f>
        <v/>
      </c>
      <c r="H1001" s="1409" t="s">
        <v>1926</v>
      </c>
      <c r="I1001" s="857" t="str">
        <f t="shared" si="184"/>
        <v/>
      </c>
      <c r="J1001" s="1409" t="str">
        <f t="shared" si="192"/>
        <v/>
      </c>
      <c r="K1001" s="1409" t="str">
        <f t="shared" si="185"/>
        <v/>
      </c>
      <c r="L1001" s="897" t="s">
        <v>1404</v>
      </c>
      <c r="M1001" s="1410">
        <v>984</v>
      </c>
      <c r="N1001" s="1409"/>
      <c r="O1001" s="1408"/>
      <c r="P1001" s="1408"/>
      <c r="Q1001" s="1408"/>
      <c r="R1001" s="1409" t="s">
        <v>1715</v>
      </c>
      <c r="S1001" s="1408"/>
      <c r="T1001" s="1409" t="str">
        <f t="shared" si="193"/>
        <v/>
      </c>
      <c r="U1001" s="1408"/>
      <c r="V1001" s="1408"/>
      <c r="W1001" s="1408"/>
      <c r="X1001" s="1408"/>
      <c r="Y1001" s="1408"/>
      <c r="Z1001" s="1408"/>
      <c r="AA1001" s="1408"/>
    </row>
    <row r="1002" spans="1:27" x14ac:dyDescent="0.25">
      <c r="A1002" s="929" t="s">
        <v>1405</v>
      </c>
      <c r="B1002" s="897" t="str">
        <f ca="1">_xlfn.CONCAT(IFERROR(SUBSTITUTE(ADDRESS(1,MATCH(A1002,INDIRECT("'"&amp;E1002&amp;"'"&amp;"!A" &amp; $O$987 + 5 &amp; ":Z" &amp; $O$987 + 5),0),4),1,""),""),$O$987 + 5)</f>
        <v>J314</v>
      </c>
      <c r="C1002" s="897" t="str">
        <f ca="1">_xlfn.CONCAT(IFERROR(SUBSTITUTE(ADDRESS(1,MATCH(A1002,INDIRECT("'"&amp;E1002&amp;"'"&amp;"!A" &amp; $O$987 + 5 &amp; ":Z" &amp; $O$987 + 5),0),4),1,""),""),$O$987 + 6)</f>
        <v>J315</v>
      </c>
      <c r="D1002" s="897" t="s">
        <v>1367</v>
      </c>
      <c r="E1002" s="897" t="s">
        <v>1535</v>
      </c>
      <c r="F1002" s="919"/>
      <c r="G1002" s="1409"/>
      <c r="H1002" s="1409"/>
      <c r="I1002" s="857" t="str">
        <f t="shared" si="184"/>
        <v/>
      </c>
      <c r="J1002" s="1409"/>
      <c r="K1002" s="1409" t="str">
        <f t="shared" si="185"/>
        <v/>
      </c>
      <c r="L1002" s="897" t="s">
        <v>1405</v>
      </c>
      <c r="M1002" s="1410">
        <v>985</v>
      </c>
      <c r="N1002" s="1409"/>
      <c r="O1002" s="1408"/>
      <c r="P1002" s="1408"/>
      <c r="Q1002" s="1408"/>
      <c r="R1002" s="1409" t="s">
        <v>1715</v>
      </c>
      <c r="S1002" s="1408"/>
      <c r="T1002" s="1409" t="str">
        <f t="shared" si="193"/>
        <v/>
      </c>
      <c r="U1002" s="1408"/>
      <c r="V1002" s="1408"/>
      <c r="W1002" s="1408"/>
      <c r="X1002" s="1408"/>
      <c r="Y1002" s="1408"/>
      <c r="Z1002" s="1408"/>
      <c r="AA1002" s="1408"/>
    </row>
    <row r="1003" spans="1:27" x14ac:dyDescent="0.25">
      <c r="A1003" s="929" t="s">
        <v>1406</v>
      </c>
      <c r="B1003" s="897" t="str">
        <f ca="1">_xlfn.CONCAT(IFERROR(SUBSTITUTE(ADDRESS(1,MATCH(A1003,INDIRECT("'"&amp;E1003&amp;"'"&amp;"!A" &amp; $O$987 + 5 &amp; ":Z" &amp; $O$987 + 5),0),4),1,""),""),$O$987 + 5)</f>
        <v>L314</v>
      </c>
      <c r="C1003" s="897" t="str">
        <f ca="1">_xlfn.CONCAT(IFERROR(SUBSTITUTE(ADDRESS(1,MATCH(A1003,INDIRECT("'"&amp;E1003&amp;"'"&amp;"!A" &amp; $O$987 + 5 &amp; ":Z" &amp; $O$987 + 5),0),4),1,""),""),$O$987 + 6)</f>
        <v>L315</v>
      </c>
      <c r="D1003" s="897" t="s">
        <v>1367</v>
      </c>
      <c r="E1003" s="897" t="s">
        <v>1535</v>
      </c>
      <c r="F1003" s="1409" t="s">
        <v>1896</v>
      </c>
      <c r="G1003" s="1409" t="str">
        <f>IF(T1003&lt;&gt;"","AI","")</f>
        <v/>
      </c>
      <c r="H1003" s="1409" t="s">
        <v>1926</v>
      </c>
      <c r="I1003" s="857" t="str">
        <f t="shared" si="184"/>
        <v/>
      </c>
      <c r="J1003" s="1409"/>
      <c r="K1003" s="1409" t="str">
        <f t="shared" si="185"/>
        <v/>
      </c>
      <c r="L1003" s="897" t="s">
        <v>1406</v>
      </c>
      <c r="M1003" s="1410">
        <v>986</v>
      </c>
      <c r="N1003" s="1409"/>
      <c r="O1003" s="1408"/>
      <c r="P1003" s="1408"/>
      <c r="Q1003" s="1408"/>
      <c r="R1003" s="1409" t="s">
        <v>1715</v>
      </c>
      <c r="S1003" s="1408"/>
      <c r="T1003" s="1409" t="str">
        <f t="shared" si="193"/>
        <v/>
      </c>
      <c r="U1003" s="1408"/>
      <c r="V1003" s="1408"/>
      <c r="W1003" s="1408"/>
      <c r="X1003" s="1408"/>
      <c r="Y1003" s="1408"/>
      <c r="Z1003" s="1408"/>
      <c r="AA1003" s="1408"/>
    </row>
    <row r="1004" spans="1:27" x14ac:dyDescent="0.25">
      <c r="A1004" s="926" t="s">
        <v>1510</v>
      </c>
      <c r="B1004" s="897" t="str">
        <f ca="1">IFERROR(_xlfn.CONCAT("C",MATCH(A1004,INDIRECT("'"&amp;E1004&amp;"'!C"&amp;$O$1005&amp;":C"&amp;$O$1007),0)+$O$1005-1),"")</f>
        <v>C327</v>
      </c>
      <c r="C1004" s="897" t="str">
        <f ca="1">IFERROR(_xlfn.CONCAT("D",MATCH(A1004,INDIRECT("'"&amp;E1004&amp;"'!C"&amp;$O$1005&amp;":C"&amp;$O$1007),0)+$O$1005-1),"")</f>
        <v>D327</v>
      </c>
      <c r="D1004" s="897" t="s">
        <v>1367</v>
      </c>
      <c r="E1004" s="897" t="s">
        <v>1535</v>
      </c>
      <c r="F1004" s="1409" t="s">
        <v>1510</v>
      </c>
      <c r="G1004" s="1409" t="str">
        <f>IF(T1004&lt;&gt;"","A","")</f>
        <v/>
      </c>
      <c r="H1004" s="1409" t="s">
        <v>1926</v>
      </c>
      <c r="I1004" s="857" t="str">
        <f t="shared" si="184"/>
        <v/>
      </c>
      <c r="J1004" s="1409"/>
      <c r="K1004" s="1409" t="str">
        <f t="shared" si="185"/>
        <v/>
      </c>
      <c r="L1004" s="897" t="s">
        <v>1510</v>
      </c>
      <c r="M1004" s="1410">
        <v>987</v>
      </c>
      <c r="N1004" s="1409"/>
      <c r="O1004" s="1408" t="s">
        <v>726</v>
      </c>
      <c r="P1004" s="18"/>
      <c r="Q1004" s="1408"/>
      <c r="R1004" s="1409" t="s">
        <v>481</v>
      </c>
      <c r="S1004" s="1408"/>
      <c r="T1004" s="1409" t="str">
        <f>IF(Q$1005="Yes",23,"")</f>
        <v/>
      </c>
      <c r="U1004" s="1408"/>
      <c r="V1004" s="1408"/>
      <c r="W1004" s="1408"/>
      <c r="X1004" s="1408"/>
      <c r="Y1004" s="1408"/>
      <c r="Z1004" s="1408"/>
      <c r="AA1004" s="1408"/>
    </row>
    <row r="1005" spans="1:27" x14ac:dyDescent="0.25">
      <c r="A1005" s="926" t="s">
        <v>1724</v>
      </c>
      <c r="B1005" s="897" t="str">
        <f ca="1">_xlfn.CONCAT(IFERROR(SUBSTITUTE(ADDRESS(1,MATCH(A1005,INDIRECT("'"&amp;E1005&amp;"'"&amp;"!A" &amp; $O$1005 + 11 &amp; ":Z" &amp; $O$1005 + 11),0),4),1,""),""),$O$1005 + 11)</f>
        <v>T334</v>
      </c>
      <c r="C1005" s="897" t="str">
        <f ca="1">_xlfn.CONCAT(IFERROR(SUBSTITUTE(ADDRESS(1,MATCH(A1005,INDIRECT("'"&amp;E1005&amp;"'"&amp;"!A" &amp; $O$1005 + 11 &amp; ":Z" &amp; $O$1005 + 11),0),4),1,""),""),$O$1005 + 12)</f>
        <v>T335</v>
      </c>
      <c r="D1005" s="897" t="s">
        <v>1367</v>
      </c>
      <c r="E1005" s="897" t="s">
        <v>1535</v>
      </c>
      <c r="F1005" s="1409"/>
      <c r="G1005" s="1409"/>
      <c r="H1005" s="1409"/>
      <c r="I1005" s="857" t="str">
        <f t="shared" si="184"/>
        <v/>
      </c>
      <c r="J1005" s="1409" t="str">
        <f t="shared" ref="J1005:J1014" si="196">IF(M1005&lt;&gt;"",IF($Q$1005="Yes",Q$1&amp;M1005,""))</f>
        <v/>
      </c>
      <c r="K1005" s="1409" t="str">
        <f t="shared" si="185"/>
        <v/>
      </c>
      <c r="L1005" s="897" t="s">
        <v>1724</v>
      </c>
      <c r="M1005" s="1410">
        <v>988</v>
      </c>
      <c r="N1005" s="1409"/>
      <c r="O1005" s="1408">
        <f>'Configurable Tab'!H25</f>
        <v>323</v>
      </c>
      <c r="P1005" s="18">
        <f>'Configurable Tab'!J25</f>
        <v>0</v>
      </c>
      <c r="Q1005" s="1408" t="s">
        <v>649</v>
      </c>
      <c r="R1005" s="1409" t="s">
        <v>481</v>
      </c>
      <c r="S1005" s="1408"/>
      <c r="T1005" s="1409" t="str">
        <f t="shared" ref="T1005:T1011" si="197">IF(Q$1005="Yes",23,"")</f>
        <v/>
      </c>
      <c r="U1005" s="1408"/>
      <c r="V1005" s="1408"/>
      <c r="W1005" s="1408"/>
      <c r="X1005" s="1408"/>
      <c r="Y1005" s="1408"/>
      <c r="Z1005" s="1408"/>
      <c r="AA1005" s="1408"/>
    </row>
    <row r="1006" spans="1:27" x14ac:dyDescent="0.25">
      <c r="A1006" s="926" t="s">
        <v>1400</v>
      </c>
      <c r="B1006" s="897" t="str">
        <f ca="1">IFERROR(_xlfn.CONCAT("C",MATCH(A1006,INDIRECT("'"&amp;E1006&amp;"'!C"&amp;$O$1005&amp;":C"&amp;$O$1007),0)+$O$1005-1),"")</f>
        <v>C325</v>
      </c>
      <c r="C1006" s="897" t="str">
        <f ca="1">IFERROR(_xlfn.CONCAT("D",MATCH(A1006,INDIRECT("'"&amp;E1006&amp;"'!C"&amp;$O$1005&amp;":C"&amp;$O$1007),0)+$O$1005-1),"")</f>
        <v>D325</v>
      </c>
      <c r="D1006" s="897" t="s">
        <v>1367</v>
      </c>
      <c r="E1006" s="897" t="s">
        <v>1535</v>
      </c>
      <c r="F1006" s="1409" t="s">
        <v>1400</v>
      </c>
      <c r="G1006" s="1409" t="str">
        <f>IF(T1006&lt;&gt;"","B","")</f>
        <v/>
      </c>
      <c r="H1006" s="1409" t="s">
        <v>1926</v>
      </c>
      <c r="I1006" s="857" t="str">
        <f t="shared" si="184"/>
        <v/>
      </c>
      <c r="J1006" s="1409"/>
      <c r="K1006" s="1409" t="str">
        <f t="shared" si="185"/>
        <v/>
      </c>
      <c r="L1006" s="897" t="s">
        <v>1400</v>
      </c>
      <c r="M1006" s="1410">
        <v>989</v>
      </c>
      <c r="N1006" s="1409"/>
      <c r="O1006" s="1408" t="s">
        <v>727</v>
      </c>
      <c r="P1006" s="1408"/>
      <c r="Q1006" s="1408"/>
      <c r="R1006" s="1409" t="s">
        <v>481</v>
      </c>
      <c r="S1006" s="1408"/>
      <c r="T1006" s="1409" t="str">
        <f t="shared" si="197"/>
        <v/>
      </c>
      <c r="U1006" s="1408"/>
      <c r="V1006" s="1408"/>
      <c r="W1006" s="1408"/>
      <c r="X1006" s="1408"/>
      <c r="Y1006" s="1408"/>
      <c r="Z1006" s="1408"/>
      <c r="AA1006" s="1408"/>
    </row>
    <row r="1007" spans="1:27" x14ac:dyDescent="0.25">
      <c r="A1007" s="926" t="s">
        <v>1398</v>
      </c>
      <c r="B1007" s="897" t="str">
        <f ca="1">_xlfn.CONCAT(IFERROR(SUBSTITUTE(ADDRESS(1,MATCH(A1007,INDIRECT("'"&amp;E1007&amp;"'"&amp;"!A" &amp; $O$1005 + 2 &amp; ":Z" &amp; $O$1005 + 2),0),4),1,""),""),$O$1005 + 2)</f>
        <v>J325</v>
      </c>
      <c r="C1007" s="897" t="str">
        <f ca="1">_xlfn.CONCAT(IFERROR(SUBSTITUTE(ADDRESS(1,MATCH(A1007,INDIRECT("'"&amp;E1007&amp;"'"&amp;"!A" &amp; $O$1005 + 2 &amp; ":Z" &amp; $O$1005 + 2),0),4),1,""),""),$O$1005 + 3)</f>
        <v>J326</v>
      </c>
      <c r="D1007" s="897" t="s">
        <v>1367</v>
      </c>
      <c r="E1007" s="897" t="s">
        <v>1535</v>
      </c>
      <c r="F1007" s="1409" t="s">
        <v>1928</v>
      </c>
      <c r="G1007" s="1409" t="str">
        <f>IF(T1007&lt;&gt;"","I","")</f>
        <v/>
      </c>
      <c r="H1007" s="1409" t="s">
        <v>1926</v>
      </c>
      <c r="I1007" s="857" t="str">
        <f t="shared" si="184"/>
        <v/>
      </c>
      <c r="J1007" s="1409" t="str">
        <f t="shared" si="196"/>
        <v/>
      </c>
      <c r="K1007" s="1409" t="str">
        <f t="shared" si="185"/>
        <v/>
      </c>
      <c r="L1007" s="897" t="s">
        <v>1398</v>
      </c>
      <c r="M1007" s="1410">
        <v>990</v>
      </c>
      <c r="N1007" s="1409"/>
      <c r="O1007" s="1408">
        <f>'Configurable Tab'!I25</f>
        <v>336</v>
      </c>
      <c r="P1007" s="1408"/>
      <c r="Q1007" s="1408"/>
      <c r="R1007" s="1409" t="s">
        <v>481</v>
      </c>
      <c r="S1007" s="1408"/>
      <c r="T1007" s="1409" t="str">
        <f t="shared" si="197"/>
        <v/>
      </c>
      <c r="U1007" s="1408"/>
      <c r="V1007" s="1408"/>
      <c r="W1007" s="1408"/>
      <c r="X1007" s="1408"/>
      <c r="Y1007" s="1408"/>
      <c r="Z1007" s="1408"/>
      <c r="AA1007" s="1408"/>
    </row>
    <row r="1008" spans="1:27" x14ac:dyDescent="0.25">
      <c r="A1008" s="926" t="s">
        <v>1414</v>
      </c>
      <c r="B1008" s="897" t="str">
        <f ca="1">_xlfn.CONCAT(IFERROR(SUBSTITUTE(ADDRESS(1,MATCH(A1008,INDIRECT("'"&amp;E1008&amp;"'"&amp;"!A" &amp; $O$1005 + 2 &amp; ":Z" &amp; $O$1005 + 2),0),4),1,""),""),$O$1005 + 2)</f>
        <v>L325</v>
      </c>
      <c r="C1008" s="897" t="str">
        <f ca="1">_xlfn.CONCAT(IFERROR(SUBSTITUTE(ADDRESS(1,MATCH(A1008,INDIRECT("'"&amp;E1008&amp;"'"&amp;"!A" &amp; $O$1005 + 2 &amp; ":Z" &amp; $O$1005 + 2),0),4),1,""),""),$O$1005 + 3)</f>
        <v>L326</v>
      </c>
      <c r="D1008" s="897" t="s">
        <v>1367</v>
      </c>
      <c r="E1008" s="897" t="s">
        <v>1535</v>
      </c>
      <c r="F1008" s="1409" t="s">
        <v>1929</v>
      </c>
      <c r="G1008" s="1409" t="str">
        <f>IF(T1008&lt;&gt;"","H","")</f>
        <v/>
      </c>
      <c r="H1008" s="1409" t="s">
        <v>1926</v>
      </c>
      <c r="I1008" s="857" t="str">
        <f t="shared" si="184"/>
        <v/>
      </c>
      <c r="J1008" s="1409" t="str">
        <f t="shared" si="196"/>
        <v/>
      </c>
      <c r="K1008" s="1409" t="str">
        <f t="shared" si="185"/>
        <v/>
      </c>
      <c r="L1008" s="897" t="s">
        <v>1414</v>
      </c>
      <c r="M1008" s="1410">
        <v>991</v>
      </c>
      <c r="N1008" s="1409"/>
      <c r="O1008" s="1408" t="s">
        <v>1669</v>
      </c>
      <c r="P1008" s="1408"/>
      <c r="Q1008" s="1408"/>
      <c r="R1008" s="1409" t="s">
        <v>481</v>
      </c>
      <c r="S1008" s="1408"/>
      <c r="T1008" s="1409" t="str">
        <f t="shared" si="197"/>
        <v/>
      </c>
      <c r="U1008" s="1408"/>
      <c r="V1008" s="1408"/>
      <c r="W1008" s="1408"/>
      <c r="X1008" s="1408"/>
      <c r="Y1008" s="1408"/>
      <c r="Z1008" s="1408"/>
      <c r="AA1008" s="1408"/>
    </row>
    <row r="1009" spans="1:27" x14ac:dyDescent="0.25">
      <c r="A1009" s="926" t="s">
        <v>1399</v>
      </c>
      <c r="B1009" s="897" t="str">
        <f ca="1">_xlfn.CONCAT(IFERROR(SUBSTITUTE(ADDRESS(1,MATCH(A1009,INDIRECT("'"&amp;E1009&amp;"'"&amp;"!A" &amp; $O$1005 + 2 &amp; ":Z" &amp; $O$1005 + 2),0),4),1,""),""),$O$1005 + 2)</f>
        <v>N325</v>
      </c>
      <c r="C1009" s="897" t="str">
        <f ca="1">_xlfn.CONCAT(IFERROR(SUBSTITUTE(ADDRESS(1,MATCH(A1009,INDIRECT("'"&amp;E1009&amp;"'"&amp;"!A" &amp; $O$1005 + 2 &amp; ":Z" &amp; $O$1005 + 2),0),4),1,""),""),$O$1005 + 3)</f>
        <v>N326</v>
      </c>
      <c r="D1009" s="897" t="s">
        <v>1367</v>
      </c>
      <c r="E1009" s="897" t="s">
        <v>1535</v>
      </c>
      <c r="F1009" s="1409" t="s">
        <v>1399</v>
      </c>
      <c r="G1009" s="1409" t="str">
        <f>IF(T1009&lt;&gt;"",IF(Q1007="Credit Memo","J",IF(Q1007="Check","K","")),"")</f>
        <v/>
      </c>
      <c r="H1009" s="1409" t="s">
        <v>1926</v>
      </c>
      <c r="I1009" s="857" t="str">
        <f t="shared" si="184"/>
        <v/>
      </c>
      <c r="J1009" s="1409" t="str">
        <f t="shared" si="196"/>
        <v/>
      </c>
      <c r="K1009" s="1409" t="str">
        <f t="shared" si="185"/>
        <v/>
      </c>
      <c r="L1009" s="897" t="s">
        <v>1399</v>
      </c>
      <c r="M1009" s="1410">
        <v>992</v>
      </c>
      <c r="N1009" s="1409"/>
      <c r="O1009" s="1408"/>
      <c r="P1009" s="1408"/>
      <c r="Q1009" s="1408"/>
      <c r="R1009" s="1409" t="s">
        <v>481</v>
      </c>
      <c r="S1009" s="1408"/>
      <c r="T1009" s="1409" t="str">
        <f t="shared" si="197"/>
        <v/>
      </c>
      <c r="U1009" s="1408"/>
      <c r="V1009" s="1408"/>
      <c r="W1009" s="1408"/>
      <c r="X1009" s="1408"/>
      <c r="Y1009" s="1408"/>
      <c r="Z1009" s="1408"/>
      <c r="AA1009" s="1408"/>
    </row>
    <row r="1010" spans="1:27" x14ac:dyDescent="0.25">
      <c r="A1010" s="926" t="s">
        <v>1402</v>
      </c>
      <c r="B1010" s="897" t="str">
        <f ca="1">IFERROR(_xlfn.CONCAT("C",MATCH(A1010,INDIRECT("'"&amp;E1010&amp;"'!C"&amp;$O$1005&amp;":C"&amp;$O$1007),0)+$O$1005-1),"")</f>
        <v>C329</v>
      </c>
      <c r="C1010" s="897" t="str">
        <f ca="1">IFERROR(_xlfn.CONCAT("D",MATCH(A1010,INDIRECT("'"&amp;E1010&amp;"'!C"&amp;$O$1005&amp;":C"&amp;$O$1007),0)+$O$1005-1),"")</f>
        <v>D329</v>
      </c>
      <c r="D1010" s="897" t="s">
        <v>1367</v>
      </c>
      <c r="E1010" s="897" t="s">
        <v>1535</v>
      </c>
      <c r="F1010" s="1409" t="s">
        <v>1402</v>
      </c>
      <c r="G1010" s="1409" t="str">
        <f>IF(T1010&lt;&gt;"","C","")</f>
        <v/>
      </c>
      <c r="H1010" s="1409" t="s">
        <v>1926</v>
      </c>
      <c r="I1010" s="857" t="str">
        <f t="shared" si="184"/>
        <v/>
      </c>
      <c r="J1010" s="1409"/>
      <c r="K1010" s="1409" t="str">
        <f t="shared" si="185"/>
        <v/>
      </c>
      <c r="L1010" s="897" t="s">
        <v>1402</v>
      </c>
      <c r="M1010" s="1410">
        <v>993</v>
      </c>
      <c r="N1010" s="1409"/>
      <c r="O1010" s="1408"/>
      <c r="P1010" s="1408"/>
      <c r="Q1010" s="1408"/>
      <c r="R1010" s="1409" t="s">
        <v>481</v>
      </c>
      <c r="S1010" s="1408"/>
      <c r="T1010" s="1409" t="str">
        <f t="shared" si="197"/>
        <v/>
      </c>
      <c r="U1010" s="1408"/>
      <c r="V1010" s="1408"/>
      <c r="W1010" s="1408"/>
      <c r="X1010" s="1408"/>
      <c r="Y1010" s="1408"/>
      <c r="Z1010" s="1408"/>
      <c r="AA1010" s="1408"/>
    </row>
    <row r="1011" spans="1:27" x14ac:dyDescent="0.25">
      <c r="A1011" s="926" t="s">
        <v>1403</v>
      </c>
      <c r="B1011" s="897" t="str">
        <f ca="1">IFERROR(_xlfn.CONCAT("C",MATCH(A1011,INDIRECT("'"&amp;E1011&amp;"'!C"&amp;$O$1005&amp;":C"&amp;$O$1007),0)+$O$1005-1),"")</f>
        <v>C331</v>
      </c>
      <c r="C1011" s="897" t="str">
        <f ca="1">IFERROR(_xlfn.CONCAT("D",MATCH(A1011,INDIRECT("'"&amp;E1011&amp;"'!C"&amp;$O$1005&amp;":C"&amp;$O$1007),0)+$O$1005-1),"")</f>
        <v>D331</v>
      </c>
      <c r="D1011" s="897" t="s">
        <v>1367</v>
      </c>
      <c r="E1011" s="897" t="s">
        <v>1535</v>
      </c>
      <c r="F1011" s="1409" t="s">
        <v>1403</v>
      </c>
      <c r="G1011" s="1409" t="str">
        <f>IF(T1011&lt;&gt;"","D","")</f>
        <v/>
      </c>
      <c r="H1011" s="1409" t="s">
        <v>1926</v>
      </c>
      <c r="I1011" s="857" t="str">
        <f t="shared" si="184"/>
        <v/>
      </c>
      <c r="J1011" s="1409"/>
      <c r="K1011" s="1409" t="str">
        <f t="shared" si="185"/>
        <v/>
      </c>
      <c r="L1011" s="897" t="s">
        <v>1403</v>
      </c>
      <c r="M1011" s="1410">
        <v>994</v>
      </c>
      <c r="N1011" s="1409"/>
      <c r="O1011" s="1408"/>
      <c r="P1011" s="1408"/>
      <c r="Q1011" s="1408"/>
      <c r="R1011" s="1409" t="s">
        <v>481</v>
      </c>
      <c r="S1011" s="1408"/>
      <c r="T1011" s="1409" t="str">
        <f t="shared" si="197"/>
        <v/>
      </c>
      <c r="U1011" s="1408"/>
      <c r="V1011" s="1408"/>
      <c r="W1011" s="1408"/>
      <c r="X1011" s="1408"/>
      <c r="Y1011" s="1408"/>
      <c r="Z1011" s="1408"/>
      <c r="AA1011" s="1408"/>
    </row>
    <row r="1012" spans="1:27" x14ac:dyDescent="0.25">
      <c r="A1012" s="926" t="s">
        <v>1514</v>
      </c>
      <c r="B1012" s="897" t="str">
        <f ca="1">IFERROR(_xlfn.CONCAT("C",MATCH(A1012,INDIRECT("'"&amp;E1012&amp;"'!C"&amp;$O$1005&amp;":C"&amp;$O$1007),0)+$O$1005-1),"")</f>
        <v>C333</v>
      </c>
      <c r="C1012" s="897" t="str">
        <f ca="1">IFERROR(_xlfn.CONCAT("D",MATCH(A1012,INDIRECT("'"&amp;E1012&amp;"'!C"&amp;$O$1005&amp;":C"&amp;$O$1007),0)+$O$1005-1),"")</f>
        <v>D333</v>
      </c>
      <c r="D1012" s="897" t="s">
        <v>1367</v>
      </c>
      <c r="E1012" s="897" t="s">
        <v>1535</v>
      </c>
      <c r="F1012" s="1409" t="s">
        <v>1514</v>
      </c>
      <c r="G1012" s="1409" t="str">
        <f>IF(T1012&lt;&gt;"","AN","")</f>
        <v/>
      </c>
      <c r="H1012" s="1409" t="s">
        <v>1926</v>
      </c>
      <c r="I1012" s="857" t="str">
        <f t="shared" si="184"/>
        <v/>
      </c>
      <c r="J1012" s="1409" t="str">
        <f t="shared" si="196"/>
        <v/>
      </c>
      <c r="K1012" s="1409" t="str">
        <f t="shared" si="185"/>
        <v/>
      </c>
      <c r="L1012" s="897" t="s">
        <v>1514</v>
      </c>
      <c r="M1012" s="1410">
        <v>995</v>
      </c>
      <c r="N1012" s="1409"/>
      <c r="O1012" s="18"/>
      <c r="P1012" s="1409" t="str" cm="1">
        <f t="array" aca="1" ref="P1012" ca="1">_xlfn.CONCAT("F",RIGHT(B1012, LEN(B1012) - MAX(IF(ISNUMBER(MID(B1012, ROW(INDIRECT("1:"&amp;LEN(B1012))), 1) *1)=FALSE, ROW(INDIRECT("1:"&amp;LEN(B1012))), 0))))</f>
        <v>F333</v>
      </c>
      <c r="Q1012" s="1409" t="str" cm="1">
        <f t="array" aca="1" ref="Q1012" ca="1">_xlfn.CONCAT("E",RIGHT(C1012, LEN(C1012) - MAX(IF(ISNUMBER(MID(C1012, ROW(INDIRECT("1:"&amp;LEN(C1012))), 1) *1)=FALSE, ROW(INDIRECT("1:"&amp;LEN(C1012))), 0))))</f>
        <v>E333</v>
      </c>
      <c r="R1012" s="1409" t="s">
        <v>481</v>
      </c>
      <c r="S1012" s="1408"/>
      <c r="T1012" s="1409" t="str">
        <f>IF(Q$1005="Yes",23,"")</f>
        <v/>
      </c>
      <c r="U1012" s="1408"/>
      <c r="V1012" s="1408"/>
      <c r="W1012" s="1408"/>
      <c r="X1012" s="1408"/>
      <c r="Y1012" s="1408"/>
      <c r="Z1012" s="1408"/>
      <c r="AA1012" s="1408"/>
    </row>
    <row r="1013" spans="1:27" x14ac:dyDescent="0.25">
      <c r="A1013" s="926" t="s">
        <v>1511</v>
      </c>
      <c r="B1013" s="897" t="str">
        <f ca="1">_xlfn.CONCAT(IFERROR(SUBSTITUTE(ADDRESS(1,MATCH(A1013,INDIRECT("'"&amp;E1013&amp;"'"&amp;"!A" &amp; $O$1005 + 8 &amp; ":Z" &amp; $O$1005 + 8),0),4),1,""),""),$O$1005 + 8)</f>
        <v>H331</v>
      </c>
      <c r="C1013" s="897" t="str">
        <f ca="1">_xlfn.CONCAT(IFERROR(SUBSTITUTE(ADDRESS(1,MATCH(A1013,INDIRECT("'"&amp;E1013&amp;"'"&amp;"!A" &amp; $O$1005 + 8 &amp; ":Z" &amp; $O$1005 + 8),0),4),1,""),""),$O$1005 + 9)</f>
        <v>H332</v>
      </c>
      <c r="D1013" s="897" t="s">
        <v>1367</v>
      </c>
      <c r="E1013" s="897" t="s">
        <v>1535</v>
      </c>
      <c r="F1013" s="1409" t="s">
        <v>1511</v>
      </c>
      <c r="G1013" s="1409" t="str">
        <f>IF(T1013&lt;&gt;"","AL","")</f>
        <v/>
      </c>
      <c r="H1013" s="1409" t="s">
        <v>1926</v>
      </c>
      <c r="I1013" s="857" t="str">
        <f t="shared" si="184"/>
        <v/>
      </c>
      <c r="J1013" s="1409" t="str">
        <f t="shared" si="196"/>
        <v/>
      </c>
      <c r="K1013" s="1409" t="str">
        <f t="shared" si="185"/>
        <v/>
      </c>
      <c r="L1013" s="897" t="s">
        <v>1511</v>
      </c>
      <c r="M1013" s="1410">
        <v>996</v>
      </c>
      <c r="N1013" s="1409"/>
      <c r="O1013" s="1408"/>
      <c r="P1013" s="1408"/>
      <c r="Q1013" s="1408"/>
      <c r="R1013" s="1409" t="s">
        <v>481</v>
      </c>
      <c r="S1013" s="1408"/>
      <c r="T1013" s="1409" t="str">
        <f>IF(Q$1005="Yes",23,"")</f>
        <v/>
      </c>
      <c r="U1013" s="1408"/>
      <c r="V1013" s="1408"/>
      <c r="W1013" s="1408"/>
      <c r="X1013" s="1408"/>
      <c r="Y1013" s="1408"/>
      <c r="Z1013" s="1408"/>
      <c r="AA1013" s="1408"/>
    </row>
    <row r="1014" spans="1:27" x14ac:dyDescent="0.25">
      <c r="A1014" s="926" t="s">
        <v>1413</v>
      </c>
      <c r="B1014" s="897" t="str">
        <f ca="1">_xlfn.CONCAT(IFERROR(SUBSTITUTE(ADDRESS(1,MATCH(A1014,INDIRECT("'"&amp;E1014&amp;"'"&amp;"!A" &amp; $O$1005 + 5 &amp; ":Z" &amp; $O$1005 + 5),0),4),1,""),""),$O$1005 + 5)</f>
        <v>H328</v>
      </c>
      <c r="C1014" s="897" t="str">
        <f ca="1">_xlfn.CONCAT(IFERROR(SUBSTITUTE(ADDRESS(1,MATCH(A1014,INDIRECT("'"&amp;E1014&amp;"'"&amp;"!A" &amp; $O$1005 + 5 &amp; ":Z" &amp; $O$1005 + 5),0),4),1,""),""),$O$1005 + 6)</f>
        <v>H329</v>
      </c>
      <c r="D1014" s="897" t="s">
        <v>1367</v>
      </c>
      <c r="E1014" s="897" t="s">
        <v>1535</v>
      </c>
      <c r="F1014" s="1409" t="s">
        <v>1413</v>
      </c>
      <c r="G1014" s="1409" t="str">
        <f>IF(T1014&lt;&gt;"","S","")</f>
        <v/>
      </c>
      <c r="H1014" s="1409" t="s">
        <v>1926</v>
      </c>
      <c r="I1014" s="857" t="str">
        <f t="shared" si="184"/>
        <v/>
      </c>
      <c r="J1014" s="1409" t="str">
        <f t="shared" si="196"/>
        <v/>
      </c>
      <c r="K1014" s="1409" t="str">
        <f t="shared" si="185"/>
        <v/>
      </c>
      <c r="L1014" s="897" t="s">
        <v>1413</v>
      </c>
      <c r="M1014" s="1410">
        <v>997</v>
      </c>
      <c r="N1014" s="1409"/>
      <c r="O1014" s="1408"/>
      <c r="P1014" s="1408"/>
      <c r="Q1014" s="1408"/>
      <c r="R1014" s="1409" t="s">
        <v>481</v>
      </c>
      <c r="S1014" s="1408"/>
      <c r="T1014" s="1409" t="str">
        <f>IF(Q$1005="Yes",23,"")</f>
        <v/>
      </c>
      <c r="U1014" s="1408"/>
      <c r="V1014" s="1408"/>
      <c r="W1014" s="1408"/>
      <c r="X1014" s="1408"/>
      <c r="Y1014" s="1408"/>
      <c r="Z1014" s="1408"/>
      <c r="AA1014" s="1408"/>
    </row>
    <row r="1015" spans="1:27" x14ac:dyDescent="0.25">
      <c r="A1015" s="929" t="s">
        <v>1510</v>
      </c>
      <c r="B1015" s="897" t="str">
        <f ca="1">IFERROR(_xlfn.CONCAT("C",MATCH(A1015,INDIRECT("'"&amp;E1015&amp;"'!C"&amp;$O$1016&amp;":C"&amp;$O$1018),0)+$O$1016-1),"")</f>
        <v>C341</v>
      </c>
      <c r="C1015" s="897" t="str">
        <f ca="1">IFERROR(_xlfn.CONCAT("D",MATCH(A1015,INDIRECT("'"&amp;E1015&amp;"'!C"&amp;$O$1016&amp;":C"&amp;$O$1018),0)+$O$1016-1),"")</f>
        <v>D341</v>
      </c>
      <c r="D1015" s="897" t="s">
        <v>1367</v>
      </c>
      <c r="E1015" s="897" t="s">
        <v>1535</v>
      </c>
      <c r="F1015" s="1409" t="s">
        <v>1510</v>
      </c>
      <c r="G1015" s="1409" t="str">
        <f>IF(T1015&lt;&gt;"","A","")</f>
        <v/>
      </c>
      <c r="H1015" s="1409" t="s">
        <v>1926</v>
      </c>
      <c r="I1015" s="857" t="str">
        <f t="shared" si="184"/>
        <v/>
      </c>
      <c r="J1015" s="1409"/>
      <c r="K1015" s="1409" t="str">
        <f t="shared" si="185"/>
        <v/>
      </c>
      <c r="L1015" s="897" t="s">
        <v>1510</v>
      </c>
      <c r="M1015" s="1410">
        <v>998</v>
      </c>
      <c r="N1015" s="1409"/>
      <c r="O1015" s="1408" t="s">
        <v>726</v>
      </c>
      <c r="P1015" s="18"/>
      <c r="Q1015" s="1408"/>
      <c r="R1015" s="1409" t="s">
        <v>481</v>
      </c>
      <c r="S1015" s="1408"/>
      <c r="T1015" s="1409" t="str">
        <f>IF(Q$1016="Yes",24,"")</f>
        <v/>
      </c>
      <c r="U1015" s="1408"/>
      <c r="V1015" s="1408"/>
      <c r="W1015" s="1408"/>
      <c r="X1015" s="1408"/>
      <c r="Y1015" s="1408"/>
      <c r="Z1015" s="1408"/>
      <c r="AA1015" s="1408"/>
    </row>
    <row r="1016" spans="1:27" x14ac:dyDescent="0.25">
      <c r="A1016" s="929" t="s">
        <v>1724</v>
      </c>
      <c r="B1016" s="897" t="str">
        <f ca="1">_xlfn.CONCAT(IFERROR(SUBSTITUTE(ADDRESS(1,MATCH(A1016,INDIRECT("'"&amp;E1016&amp;"'"&amp;"!A" &amp; $O$1016 + 11 &amp; ":Z" &amp; $O$1016 +11),0),4),1,""),""),$O$1016 + 11)</f>
        <v>T348</v>
      </c>
      <c r="C1016" s="897" t="str">
        <f ca="1">_xlfn.CONCAT(IFERROR(SUBSTITUTE(ADDRESS(1,MATCH(A1016,INDIRECT("'"&amp;E1016&amp;"'"&amp;"!A" &amp; $O$1016 + 11 &amp; ":Z" &amp; $O$1016 +11),0),4),1,""),""),$O$1016 + 12)</f>
        <v>T349</v>
      </c>
      <c r="D1016" s="897" t="s">
        <v>1367</v>
      </c>
      <c r="E1016" s="897" t="s">
        <v>1535</v>
      </c>
      <c r="F1016" s="1409"/>
      <c r="G1016" s="1409"/>
      <c r="H1016" s="1409"/>
      <c r="I1016" s="857" t="str">
        <f t="shared" si="184"/>
        <v/>
      </c>
      <c r="J1016" s="1409" t="str">
        <f t="shared" ref="J1016:J1025" si="198">IF(M1016&lt;&gt;"",IF($Q$1016="Yes",Q$1&amp;M1016,""))</f>
        <v/>
      </c>
      <c r="K1016" s="1409" t="str">
        <f t="shared" si="185"/>
        <v/>
      </c>
      <c r="L1016" s="897" t="s">
        <v>1724</v>
      </c>
      <c r="M1016" s="1410">
        <v>999</v>
      </c>
      <c r="N1016" s="1409"/>
      <c r="O1016" s="1408">
        <f>'Configurable Tab'!H26</f>
        <v>337</v>
      </c>
      <c r="P1016" s="18">
        <f>'Configurable Tab'!J26</f>
        <v>0</v>
      </c>
      <c r="Q1016" s="1408" t="s">
        <v>649</v>
      </c>
      <c r="R1016" s="1409" t="s">
        <v>481</v>
      </c>
      <c r="S1016" s="1408"/>
      <c r="T1016" s="1409" t="str">
        <f t="shared" ref="T1016:T1022" si="199">IF(Q$1016="Yes",24,"")</f>
        <v/>
      </c>
      <c r="U1016" s="1408"/>
      <c r="V1016" s="1408"/>
      <c r="W1016" s="1408"/>
      <c r="X1016" s="1408"/>
      <c r="Y1016" s="1408"/>
      <c r="Z1016" s="1408"/>
      <c r="AA1016" s="1408"/>
    </row>
    <row r="1017" spans="1:27" x14ac:dyDescent="0.25">
      <c r="A1017" s="929" t="s">
        <v>1400</v>
      </c>
      <c r="B1017" s="897" t="str">
        <f ca="1">IFERROR(_xlfn.CONCAT("C",MATCH(A1017,INDIRECT("'"&amp;E1017&amp;"'!C"&amp;$O$1016&amp;":C"&amp;$O$1018),0)+$O$1016-1),"")</f>
        <v>C339</v>
      </c>
      <c r="C1017" s="897" t="str">
        <f ca="1">IFERROR(_xlfn.CONCAT("D",MATCH(A1017,INDIRECT("'"&amp;E1017&amp;"'!C"&amp;$O$1016&amp;":C"&amp;$O$1018),0)+$O$1016-1),"")</f>
        <v>D339</v>
      </c>
      <c r="D1017" s="897" t="s">
        <v>1367</v>
      </c>
      <c r="E1017" s="897" t="s">
        <v>1535</v>
      </c>
      <c r="F1017" s="1409" t="s">
        <v>1400</v>
      </c>
      <c r="G1017" s="1409" t="str">
        <f>IF(T1017&lt;&gt;"","B","")</f>
        <v/>
      </c>
      <c r="H1017" s="1409" t="s">
        <v>1926</v>
      </c>
      <c r="I1017" s="857" t="str">
        <f t="shared" si="184"/>
        <v/>
      </c>
      <c r="J1017" s="1409"/>
      <c r="K1017" s="1409" t="str">
        <f t="shared" si="185"/>
        <v/>
      </c>
      <c r="L1017" s="897" t="s">
        <v>1400</v>
      </c>
      <c r="M1017" s="1410">
        <v>1000</v>
      </c>
      <c r="N1017" s="1409"/>
      <c r="O1017" s="1408" t="s">
        <v>727</v>
      </c>
      <c r="P1017" s="1408"/>
      <c r="Q1017" s="1408"/>
      <c r="R1017" s="1409" t="s">
        <v>481</v>
      </c>
      <c r="S1017" s="1408"/>
      <c r="T1017" s="1409" t="str">
        <f t="shared" si="199"/>
        <v/>
      </c>
      <c r="U1017" s="1408"/>
      <c r="V1017" s="1408"/>
      <c r="W1017" s="1408"/>
      <c r="X1017" s="1408"/>
      <c r="Y1017" s="1408"/>
      <c r="Z1017" s="1408"/>
      <c r="AA1017" s="1408"/>
    </row>
    <row r="1018" spans="1:27" x14ac:dyDescent="0.25">
      <c r="A1018" s="929" t="s">
        <v>1398</v>
      </c>
      <c r="B1018" s="897" t="str">
        <f ca="1">_xlfn.CONCAT(IFERROR(SUBSTITUTE(ADDRESS(1,MATCH(A1018,INDIRECT("'"&amp;E1018&amp;"'"&amp;"!A" &amp; $O$1016 + 2 &amp; ":Z" &amp; $O$1016 + 2),0),4),1,""),""),$O$1016 + 2)</f>
        <v>J339</v>
      </c>
      <c r="C1018" s="897" t="str">
        <f ca="1">_xlfn.CONCAT(IFERROR(SUBSTITUTE(ADDRESS(1,MATCH(A1018,INDIRECT("'"&amp;E1018&amp;"'"&amp;"!A" &amp; $O$1016 + 2 &amp; ":Z" &amp; $O$1016 + 2),0),4),1,""),""),$O$1016 + 3)</f>
        <v>J340</v>
      </c>
      <c r="D1018" s="897" t="s">
        <v>1367</v>
      </c>
      <c r="E1018" s="897" t="s">
        <v>1535</v>
      </c>
      <c r="F1018" s="1409" t="s">
        <v>1928</v>
      </c>
      <c r="G1018" s="1409" t="str">
        <f>IF(T1018&lt;&gt;"","I","")</f>
        <v/>
      </c>
      <c r="H1018" s="1409" t="s">
        <v>1926</v>
      </c>
      <c r="I1018" s="857" t="str">
        <f t="shared" si="184"/>
        <v/>
      </c>
      <c r="J1018" s="1409" t="str">
        <f t="shared" si="198"/>
        <v/>
      </c>
      <c r="K1018" s="1409" t="str">
        <f t="shared" si="185"/>
        <v/>
      </c>
      <c r="L1018" s="897" t="s">
        <v>1398</v>
      </c>
      <c r="M1018" s="1410">
        <v>1001</v>
      </c>
      <c r="N1018" s="1409"/>
      <c r="O1018" s="1408">
        <f>'Configurable Tab'!I26</f>
        <v>350</v>
      </c>
      <c r="P1018" s="1408"/>
      <c r="Q1018" s="1408"/>
      <c r="R1018" s="1409" t="s">
        <v>481</v>
      </c>
      <c r="S1018" s="1408"/>
      <c r="T1018" s="1409" t="str">
        <f t="shared" si="199"/>
        <v/>
      </c>
      <c r="U1018" s="1408"/>
      <c r="V1018" s="1408"/>
      <c r="W1018" s="1408"/>
      <c r="X1018" s="1408"/>
      <c r="Y1018" s="1408"/>
      <c r="Z1018" s="1408"/>
      <c r="AA1018" s="1408"/>
    </row>
    <row r="1019" spans="1:27" x14ac:dyDescent="0.25">
      <c r="A1019" s="929" t="s">
        <v>1414</v>
      </c>
      <c r="B1019" s="897" t="str">
        <f ca="1">_xlfn.CONCAT(IFERROR(SUBSTITUTE(ADDRESS(1,MATCH(A1019,INDIRECT("'"&amp;E1019&amp;"'"&amp;"!A" &amp; $O$1016 + 2 &amp; ":Z" &amp; $O$1016 + 2),0),4),1,""),""),$O$1016 + 2)</f>
        <v>L339</v>
      </c>
      <c r="C1019" s="897" t="str">
        <f ca="1">_xlfn.CONCAT(IFERROR(SUBSTITUTE(ADDRESS(1,MATCH(A1019,INDIRECT("'"&amp;E1019&amp;"'"&amp;"!A" &amp; $O$1016 + 2 &amp; ":Z" &amp; $O$1016 + 2),0),4),1,""),""),$O$1016 + 3)</f>
        <v>L340</v>
      </c>
      <c r="D1019" s="897" t="s">
        <v>1367</v>
      </c>
      <c r="E1019" s="897" t="s">
        <v>1535</v>
      </c>
      <c r="F1019" s="1409" t="s">
        <v>1929</v>
      </c>
      <c r="G1019" s="1409" t="str">
        <f>IF(T1019&lt;&gt;"","H","")</f>
        <v/>
      </c>
      <c r="H1019" s="1409" t="s">
        <v>1926</v>
      </c>
      <c r="I1019" s="857" t="str">
        <f t="shared" si="184"/>
        <v/>
      </c>
      <c r="J1019" s="1409" t="str">
        <f t="shared" si="198"/>
        <v/>
      </c>
      <c r="K1019" s="1409" t="str">
        <f t="shared" si="185"/>
        <v/>
      </c>
      <c r="L1019" s="897" t="s">
        <v>1414</v>
      </c>
      <c r="M1019" s="1410">
        <v>1002</v>
      </c>
      <c r="N1019" s="1409"/>
      <c r="O1019" s="1408" t="s">
        <v>1670</v>
      </c>
      <c r="P1019" s="1408"/>
      <c r="Q1019" s="1408"/>
      <c r="R1019" s="1409" t="s">
        <v>481</v>
      </c>
      <c r="S1019" s="1408"/>
      <c r="T1019" s="1409" t="str">
        <f t="shared" si="199"/>
        <v/>
      </c>
      <c r="U1019" s="1408"/>
      <c r="V1019" s="1408"/>
      <c r="W1019" s="1408"/>
      <c r="X1019" s="1408"/>
      <c r="Y1019" s="1408"/>
      <c r="Z1019" s="1408"/>
      <c r="AA1019" s="1408"/>
    </row>
    <row r="1020" spans="1:27" x14ac:dyDescent="0.25">
      <c r="A1020" s="929" t="s">
        <v>1399</v>
      </c>
      <c r="B1020" s="897" t="str">
        <f ca="1">_xlfn.CONCAT(IFERROR(SUBSTITUTE(ADDRESS(1,MATCH(A1020,INDIRECT("'"&amp;E1020&amp;"'"&amp;"!A" &amp; $O$1016 + 2 &amp; ":Z" &amp; $O$1016 + 2),0),4),1,""),""),$O$1016 + 2)</f>
        <v>N339</v>
      </c>
      <c r="C1020" s="897" t="str">
        <f ca="1">_xlfn.CONCAT(IFERROR(SUBSTITUTE(ADDRESS(1,MATCH(A1020,INDIRECT("'"&amp;E1020&amp;"'"&amp;"!A" &amp; $O$1016 + 2 &amp; ":Z" &amp; $O$1016 + 2),0),4),1,""),""),$O$1016 + 3)</f>
        <v>N340</v>
      </c>
      <c r="D1020" s="897" t="s">
        <v>1367</v>
      </c>
      <c r="E1020" s="897" t="s">
        <v>1535</v>
      </c>
      <c r="F1020" s="1409" t="s">
        <v>1399</v>
      </c>
      <c r="G1020" s="1409" t="str">
        <f>IF(T1020&lt;&gt;"",IF(Q1018="Credit Memo","J",IF(Q1018="Check","K","")),"")</f>
        <v/>
      </c>
      <c r="H1020" s="1409" t="s">
        <v>1926</v>
      </c>
      <c r="I1020" s="857" t="str">
        <f t="shared" si="184"/>
        <v/>
      </c>
      <c r="J1020" s="1409" t="str">
        <f t="shared" si="198"/>
        <v/>
      </c>
      <c r="K1020" s="1409" t="str">
        <f t="shared" si="185"/>
        <v/>
      </c>
      <c r="L1020" s="897" t="s">
        <v>1399</v>
      </c>
      <c r="M1020" s="1410">
        <v>1003</v>
      </c>
      <c r="N1020" s="1409"/>
      <c r="O1020" s="1408"/>
      <c r="P1020" s="1408"/>
      <c r="Q1020" s="1408"/>
      <c r="R1020" s="1409" t="s">
        <v>481</v>
      </c>
      <c r="S1020" s="1408"/>
      <c r="T1020" s="1409" t="str">
        <f t="shared" si="199"/>
        <v/>
      </c>
      <c r="U1020" s="1408"/>
      <c r="V1020" s="1408"/>
      <c r="W1020" s="1408"/>
      <c r="X1020" s="1408"/>
      <c r="Y1020" s="1408"/>
      <c r="Z1020" s="1408"/>
      <c r="AA1020" s="1408"/>
    </row>
    <row r="1021" spans="1:27" x14ac:dyDescent="0.25">
      <c r="A1021" s="929" t="s">
        <v>1402</v>
      </c>
      <c r="B1021" s="897" t="str">
        <f ca="1">IFERROR(_xlfn.CONCAT("C",MATCH(A1021,INDIRECT("'"&amp;E1021&amp;"'!C"&amp;$O$1016&amp;":C"&amp;$O$1018),0)+$O$1016-1),"")</f>
        <v>C343</v>
      </c>
      <c r="C1021" s="897" t="str">
        <f ca="1">IFERROR(_xlfn.CONCAT("D",MATCH(A1021,INDIRECT("'"&amp;E1021&amp;"'!C"&amp;$O$1016&amp;":C"&amp;$O$1018),0)+$O$1016-1),"")</f>
        <v>D343</v>
      </c>
      <c r="D1021" s="897" t="s">
        <v>1367</v>
      </c>
      <c r="E1021" s="897" t="s">
        <v>1535</v>
      </c>
      <c r="F1021" s="1409" t="s">
        <v>1402</v>
      </c>
      <c r="G1021" s="1409" t="str">
        <f>IF(T1021&lt;&gt;"","C","")</f>
        <v/>
      </c>
      <c r="H1021" s="1409" t="s">
        <v>1926</v>
      </c>
      <c r="I1021" s="857" t="str">
        <f t="shared" si="184"/>
        <v/>
      </c>
      <c r="J1021" s="1409"/>
      <c r="K1021" s="1409" t="str">
        <f t="shared" si="185"/>
        <v/>
      </c>
      <c r="L1021" s="897" t="s">
        <v>1402</v>
      </c>
      <c r="M1021" s="1410">
        <v>1004</v>
      </c>
      <c r="N1021" s="1409"/>
      <c r="O1021" s="1408"/>
      <c r="P1021" s="1408"/>
      <c r="Q1021" s="1408"/>
      <c r="R1021" s="1409" t="s">
        <v>481</v>
      </c>
      <c r="S1021" s="1408"/>
      <c r="T1021" s="1409" t="str">
        <f t="shared" si="199"/>
        <v/>
      </c>
      <c r="U1021" s="1408"/>
      <c r="V1021" s="1408"/>
      <c r="W1021" s="1408"/>
      <c r="X1021" s="1408"/>
      <c r="Y1021" s="1408"/>
      <c r="Z1021" s="1408"/>
      <c r="AA1021" s="1408"/>
    </row>
    <row r="1022" spans="1:27" x14ac:dyDescent="0.25">
      <c r="A1022" s="929" t="s">
        <v>1403</v>
      </c>
      <c r="B1022" s="897" t="str">
        <f ca="1">IFERROR(_xlfn.CONCAT("C",MATCH(A1022,INDIRECT("'"&amp;E1022&amp;"'!C"&amp;$O$1016&amp;":C"&amp;$O$1018),0)+$O$1016-1),"")</f>
        <v>C345</v>
      </c>
      <c r="C1022" s="897" t="str">
        <f ca="1">IFERROR(_xlfn.CONCAT("D",MATCH(A1022,INDIRECT("'"&amp;E1022&amp;"'!C"&amp;$O$1016&amp;":C"&amp;$O$1018),0)+$O$1016-1),"")</f>
        <v>D345</v>
      </c>
      <c r="D1022" s="897" t="s">
        <v>1367</v>
      </c>
      <c r="E1022" s="897" t="s">
        <v>1535</v>
      </c>
      <c r="F1022" s="1409" t="s">
        <v>1403</v>
      </c>
      <c r="G1022" s="1409" t="str">
        <f>IF(T1022&lt;&gt;"","D","")</f>
        <v/>
      </c>
      <c r="H1022" s="1409" t="s">
        <v>1926</v>
      </c>
      <c r="I1022" s="857" t="str">
        <f t="shared" si="184"/>
        <v/>
      </c>
      <c r="J1022" s="1409"/>
      <c r="K1022" s="1409" t="str">
        <f t="shared" si="185"/>
        <v/>
      </c>
      <c r="L1022" s="897" t="s">
        <v>1403</v>
      </c>
      <c r="M1022" s="1410">
        <v>1005</v>
      </c>
      <c r="N1022" s="1409"/>
      <c r="O1022" s="1408"/>
      <c r="P1022" s="1408"/>
      <c r="Q1022" s="1408"/>
      <c r="R1022" s="1409" t="s">
        <v>481</v>
      </c>
      <c r="S1022" s="1408"/>
      <c r="T1022" s="1409" t="str">
        <f t="shared" si="199"/>
        <v/>
      </c>
      <c r="U1022" s="1408"/>
      <c r="V1022" s="1408"/>
      <c r="W1022" s="1408"/>
      <c r="X1022" s="1408"/>
      <c r="Y1022" s="1408"/>
      <c r="Z1022" s="1408"/>
      <c r="AA1022" s="1408"/>
    </row>
    <row r="1023" spans="1:27" x14ac:dyDescent="0.25">
      <c r="A1023" s="929" t="s">
        <v>1514</v>
      </c>
      <c r="B1023" s="897" t="str">
        <f ca="1">IFERROR(_xlfn.CONCAT("C",MATCH(A1023,INDIRECT("'"&amp;E1023&amp;"'!C"&amp;$O$1016&amp;":C"&amp;$O$1018),0)+$O$1016-1),"")</f>
        <v>C347</v>
      </c>
      <c r="C1023" s="897" t="str">
        <f ca="1">IFERROR(_xlfn.CONCAT("D",MATCH(A1023,INDIRECT("'"&amp;E1023&amp;"'!C"&amp;$O$1016&amp;":C"&amp;$O$1018),0)+$O$1016-1),"")</f>
        <v>D347</v>
      </c>
      <c r="D1023" s="897" t="s">
        <v>1367</v>
      </c>
      <c r="E1023" s="897" t="s">
        <v>1535</v>
      </c>
      <c r="F1023" s="1409" t="s">
        <v>1514</v>
      </c>
      <c r="G1023" s="1409" t="str">
        <f>IF(T1023&lt;&gt;"","AN","")</f>
        <v/>
      </c>
      <c r="H1023" s="1409" t="s">
        <v>1926</v>
      </c>
      <c r="I1023" s="857" t="str">
        <f t="shared" si="184"/>
        <v/>
      </c>
      <c r="J1023" s="1409" t="str">
        <f t="shared" si="198"/>
        <v/>
      </c>
      <c r="K1023" s="1409" t="str">
        <f t="shared" si="185"/>
        <v/>
      </c>
      <c r="L1023" s="897" t="s">
        <v>1514</v>
      </c>
      <c r="M1023" s="1410">
        <v>1006</v>
      </c>
      <c r="N1023" s="1409"/>
      <c r="O1023" s="18"/>
      <c r="P1023" s="1409" t="str" cm="1">
        <f t="array" aca="1" ref="P1023" ca="1">_xlfn.CONCAT("F",RIGHT(B1023, LEN(B1023) - MAX(IF(ISNUMBER(MID(B1023, ROW(INDIRECT("1:"&amp;LEN(B1023))), 1) *1)=FALSE, ROW(INDIRECT("1:"&amp;LEN(B1023))), 0))))</f>
        <v>F347</v>
      </c>
      <c r="Q1023" s="1409" t="str" cm="1">
        <f t="array" aca="1" ref="Q1023" ca="1">_xlfn.CONCAT("E",RIGHT(C1023, LEN(C1023) - MAX(IF(ISNUMBER(MID(C1023, ROW(INDIRECT("1:"&amp;LEN(C1023))), 1) *1)=FALSE, ROW(INDIRECT("1:"&amp;LEN(C1023))), 0))))</f>
        <v>E347</v>
      </c>
      <c r="R1023" s="1409" t="s">
        <v>481</v>
      </c>
      <c r="S1023" s="1408"/>
      <c r="T1023" s="1409" t="str">
        <f>IF(Q$1016="Yes",24,"")</f>
        <v/>
      </c>
      <c r="U1023" s="1408"/>
      <c r="V1023" s="1408"/>
      <c r="W1023" s="1408"/>
      <c r="X1023" s="1408"/>
      <c r="Y1023" s="1408"/>
      <c r="Z1023" s="1408"/>
      <c r="AA1023" s="1408"/>
    </row>
    <row r="1024" spans="1:27" x14ac:dyDescent="0.25">
      <c r="A1024" s="929" t="s">
        <v>1511</v>
      </c>
      <c r="B1024" s="897" t="str">
        <f ca="1">_xlfn.CONCAT(IFERROR(SUBSTITUTE(ADDRESS(1,MATCH(A1024,INDIRECT("'"&amp;E1024&amp;"'"&amp;"!A" &amp; $O$1016 + 8 &amp; ":Z" &amp; $O$1016 + 8),0),4),1,""),""),$O$1016 + 8)</f>
        <v>H345</v>
      </c>
      <c r="C1024" s="897" t="str">
        <f ca="1">_xlfn.CONCAT(IFERROR(SUBSTITUTE(ADDRESS(1,MATCH(A1024,INDIRECT("'"&amp;E1024&amp;"'"&amp;"!A" &amp; $O$1016 + 8 &amp; ":Z" &amp; $O$1016 + 8),0),4),1,""),""),$O$1016 + 9)</f>
        <v>H346</v>
      </c>
      <c r="D1024" s="897" t="s">
        <v>1367</v>
      </c>
      <c r="E1024" s="897" t="s">
        <v>1535</v>
      </c>
      <c r="F1024" s="1409" t="s">
        <v>1511</v>
      </c>
      <c r="G1024" s="1409" t="str">
        <f>IF(T1024&lt;&gt;"","AL","")</f>
        <v/>
      </c>
      <c r="H1024" s="1409" t="s">
        <v>1926</v>
      </c>
      <c r="I1024" s="857" t="str">
        <f t="shared" si="184"/>
        <v/>
      </c>
      <c r="J1024" s="1409" t="str">
        <f t="shared" si="198"/>
        <v/>
      </c>
      <c r="K1024" s="1409" t="str">
        <f t="shared" si="185"/>
        <v/>
      </c>
      <c r="L1024" s="897" t="s">
        <v>1511</v>
      </c>
      <c r="M1024" s="1410">
        <v>1007</v>
      </c>
      <c r="N1024" s="1409"/>
      <c r="O1024" s="1408"/>
      <c r="P1024" s="1408"/>
      <c r="Q1024" s="1408"/>
      <c r="R1024" s="1409" t="s">
        <v>481</v>
      </c>
      <c r="S1024" s="1408"/>
      <c r="T1024" s="1409" t="str">
        <f>IF(Q$1016="Yes",24,"")</f>
        <v/>
      </c>
      <c r="U1024" s="1408"/>
      <c r="V1024" s="1408"/>
      <c r="W1024" s="1408"/>
      <c r="X1024" s="1408"/>
      <c r="Y1024" s="1408"/>
      <c r="Z1024" s="1408"/>
      <c r="AA1024" s="1408"/>
    </row>
    <row r="1025" spans="1:27" x14ac:dyDescent="0.25">
      <c r="A1025" s="929" t="s">
        <v>1413</v>
      </c>
      <c r="B1025" s="897" t="str">
        <f ca="1">_xlfn.CONCAT(IFERROR(SUBSTITUTE(ADDRESS(1,MATCH(A1025,INDIRECT("'"&amp;E1025&amp;"'"&amp;"!A" &amp; $O$1016 + 5 &amp; ":Z" &amp; $O$1016 + 5),0),4),1,""),""),$O$1016 + 5)</f>
        <v>H342</v>
      </c>
      <c r="C1025" s="897" t="str">
        <f ca="1">_xlfn.CONCAT(IFERROR(SUBSTITUTE(ADDRESS(1,MATCH(A1025,INDIRECT("'"&amp;E1025&amp;"'"&amp;"!A" &amp; $O$1016 + 5 &amp; ":Z" &amp; $O$1016 + 5),0),4),1,""),""),$O$1016 + 6)</f>
        <v>H343</v>
      </c>
      <c r="D1025" s="897" t="s">
        <v>1367</v>
      </c>
      <c r="E1025" s="897" t="s">
        <v>1535</v>
      </c>
      <c r="F1025" s="1409" t="s">
        <v>1413</v>
      </c>
      <c r="G1025" s="1409" t="str">
        <f>IF(T1025&lt;&gt;"","S","")</f>
        <v/>
      </c>
      <c r="H1025" s="1409" t="s">
        <v>1926</v>
      </c>
      <c r="I1025" s="857" t="str">
        <f t="shared" si="184"/>
        <v/>
      </c>
      <c r="J1025" s="1409" t="str">
        <f t="shared" si="198"/>
        <v/>
      </c>
      <c r="K1025" s="1409" t="str">
        <f t="shared" si="185"/>
        <v/>
      </c>
      <c r="L1025" s="897" t="s">
        <v>1413</v>
      </c>
      <c r="M1025" s="1410">
        <v>1008</v>
      </c>
      <c r="N1025" s="1409"/>
      <c r="O1025" s="1408"/>
      <c r="P1025" s="1408"/>
      <c r="Q1025" s="1408"/>
      <c r="R1025" s="1409" t="s">
        <v>481</v>
      </c>
      <c r="S1025" s="1408"/>
      <c r="T1025" s="1409" t="str">
        <f>IF(Q$1016="Yes",24,"")</f>
        <v/>
      </c>
      <c r="U1025" s="1408"/>
      <c r="V1025" s="1408"/>
      <c r="W1025" s="1408"/>
      <c r="X1025" s="1408"/>
      <c r="Y1025" s="1408"/>
      <c r="Z1025" s="1408"/>
      <c r="AA1025" s="1408"/>
    </row>
    <row r="1026" spans="1:27" x14ac:dyDescent="0.25">
      <c r="A1026" s="926" t="s">
        <v>1510</v>
      </c>
      <c r="B1026" s="897" t="str">
        <f ca="1">IFERROR(_xlfn.CONCAT("C",MATCH(A1026,INDIRECT("'"&amp;E1026&amp;"'!C"&amp;$O$1027&amp;":C"&amp;$O$1029),0)+$O$1027-1),"")</f>
        <v>C355</v>
      </c>
      <c r="C1026" s="897" t="str">
        <f ca="1">IFERROR(_xlfn.CONCAT("D",MATCH(A1026,INDIRECT("'"&amp;E1026&amp;"'!C"&amp;$O$1027&amp;":C"&amp;$O$1029),0)+$O$1027-1),"")</f>
        <v>D355</v>
      </c>
      <c r="D1026" s="897" t="s">
        <v>1367</v>
      </c>
      <c r="E1026" s="897" t="s">
        <v>1535</v>
      </c>
      <c r="F1026" s="1409" t="s">
        <v>1510</v>
      </c>
      <c r="G1026" s="1409" t="str">
        <f>IF(T1026&lt;&gt;"","A","")</f>
        <v/>
      </c>
      <c r="H1026" s="1409" t="s">
        <v>1926</v>
      </c>
      <c r="I1026" s="857" t="str">
        <f t="shared" si="184"/>
        <v/>
      </c>
      <c r="J1026" s="1409"/>
      <c r="K1026" s="1409" t="str">
        <f t="shared" si="185"/>
        <v/>
      </c>
      <c r="L1026" s="897" t="s">
        <v>1510</v>
      </c>
      <c r="M1026" s="1410">
        <v>1009</v>
      </c>
      <c r="N1026" s="1409"/>
      <c r="O1026" s="1408" t="s">
        <v>726</v>
      </c>
      <c r="P1026" s="18"/>
      <c r="Q1026" s="1408"/>
      <c r="R1026" s="1409" t="s">
        <v>481</v>
      </c>
      <c r="S1026" s="1408"/>
      <c r="T1026" s="1409" t="str">
        <f>IF(Q$1027="Yes",25,"")</f>
        <v/>
      </c>
      <c r="U1026" s="1408"/>
      <c r="V1026" s="1408"/>
      <c r="W1026" s="1408"/>
      <c r="X1026" s="1408"/>
      <c r="Y1026" s="1408"/>
      <c r="Z1026" s="1408"/>
      <c r="AA1026" s="1408"/>
    </row>
    <row r="1027" spans="1:27" x14ac:dyDescent="0.25">
      <c r="A1027" s="926" t="s">
        <v>1724</v>
      </c>
      <c r="B1027" s="897" t="str">
        <f ca="1">_xlfn.CONCAT(IFERROR(SUBSTITUTE(ADDRESS(1,MATCH(A1027,INDIRECT("'"&amp;E1027&amp;"'"&amp;"!A" &amp; $O$1027 + 11 &amp; ":Z" &amp; $O$1027 + 11),0),4),1,""),""),$O$1027+ 11)</f>
        <v>T362</v>
      </c>
      <c r="C1027" s="897" t="str">
        <f ca="1">_xlfn.CONCAT(IFERROR(SUBSTITUTE(ADDRESS(1,MATCH(A1027,INDIRECT("'"&amp;E1027&amp;"'"&amp;"!A" &amp; $O$1027 + 11 &amp; ":Z" &amp; $O$1027 + 11),0),4),1,""),""),$O$1027+ 12)</f>
        <v>T363</v>
      </c>
      <c r="D1027" s="897" t="s">
        <v>1367</v>
      </c>
      <c r="E1027" s="897" t="s">
        <v>1535</v>
      </c>
      <c r="F1027" s="1409"/>
      <c r="G1027" s="1409"/>
      <c r="H1027" s="1409"/>
      <c r="I1027" s="857" t="str">
        <f t="shared" si="184"/>
        <v/>
      </c>
      <c r="J1027" s="1409" t="str">
        <f>IF(M1027&lt;&gt;"",IF($Q$1027="Yes",Q$1&amp;M1027,""))</f>
        <v/>
      </c>
      <c r="K1027" s="1409" t="str">
        <f t="shared" si="185"/>
        <v/>
      </c>
      <c r="L1027" s="897" t="s">
        <v>1724</v>
      </c>
      <c r="M1027" s="1410">
        <v>1010</v>
      </c>
      <c r="N1027" s="1409"/>
      <c r="O1027" s="1408">
        <f>'Configurable Tab'!H27</f>
        <v>351</v>
      </c>
      <c r="P1027" s="18">
        <f>'Configurable Tab'!J27</f>
        <v>0</v>
      </c>
      <c r="Q1027" s="1408" t="s">
        <v>649</v>
      </c>
      <c r="R1027" s="1409" t="s">
        <v>481</v>
      </c>
      <c r="S1027" s="1408"/>
      <c r="T1027" s="1409" t="str">
        <f t="shared" ref="T1027:T1033" si="200">IF(Q$1027="Yes",25,"")</f>
        <v/>
      </c>
      <c r="U1027" s="1408"/>
      <c r="V1027" s="1408"/>
      <c r="W1027" s="1408"/>
      <c r="X1027" s="1408"/>
      <c r="Y1027" s="1408"/>
      <c r="Z1027" s="1408"/>
      <c r="AA1027" s="1408"/>
    </row>
    <row r="1028" spans="1:27" x14ac:dyDescent="0.25">
      <c r="A1028" s="926" t="s">
        <v>1400</v>
      </c>
      <c r="B1028" s="897" t="str">
        <f ca="1">IFERROR(_xlfn.CONCAT("C",MATCH(A1028,INDIRECT("'"&amp;E1028&amp;"'!C"&amp;$O$1027&amp;":C"&amp;$O$1029),0)+$O$1027-1),"")</f>
        <v>C353</v>
      </c>
      <c r="C1028" s="897" t="str">
        <f ca="1">IFERROR(_xlfn.CONCAT("D",MATCH(A1028,INDIRECT("'"&amp;E1028&amp;"'!C"&amp;$O$1027&amp;":C"&amp;$O$1029),0)+$O$1027-1),"")</f>
        <v>D353</v>
      </c>
      <c r="D1028" s="897" t="s">
        <v>1367</v>
      </c>
      <c r="E1028" s="897" t="s">
        <v>1535</v>
      </c>
      <c r="F1028" s="1409" t="s">
        <v>1400</v>
      </c>
      <c r="G1028" s="1409" t="str">
        <f>IF(T1028&lt;&gt;"","B","")</f>
        <v/>
      </c>
      <c r="H1028" s="1409" t="s">
        <v>1926</v>
      </c>
      <c r="I1028" s="857" t="str">
        <f t="shared" ref="I1028:I1091" si="201">IF(J1028&lt;&gt;"",A1028,"")</f>
        <v/>
      </c>
      <c r="J1028" s="1409"/>
      <c r="K1028" s="1409" t="str">
        <f t="shared" ref="K1028:K1091" si="202">IF(J1028&lt;&gt;"",E1028,"")</f>
        <v/>
      </c>
      <c r="L1028" s="897" t="s">
        <v>1400</v>
      </c>
      <c r="M1028" s="1410">
        <v>1011</v>
      </c>
      <c r="N1028" s="1409"/>
      <c r="O1028" s="1408" t="s">
        <v>727</v>
      </c>
      <c r="P1028" s="1408"/>
      <c r="Q1028" s="1408"/>
      <c r="R1028" s="1409" t="s">
        <v>481</v>
      </c>
      <c r="S1028" s="1408"/>
      <c r="T1028" s="1409" t="str">
        <f t="shared" si="200"/>
        <v/>
      </c>
      <c r="U1028" s="1408"/>
      <c r="V1028" s="1408"/>
      <c r="W1028" s="1408"/>
      <c r="X1028" s="1408"/>
      <c r="Y1028" s="1408"/>
      <c r="Z1028" s="1408"/>
      <c r="AA1028" s="1408"/>
    </row>
    <row r="1029" spans="1:27" x14ac:dyDescent="0.25">
      <c r="A1029" s="926" t="s">
        <v>1398</v>
      </c>
      <c r="B1029" s="897" t="str">
        <f ca="1">_xlfn.CONCAT(IFERROR(SUBSTITUTE(ADDRESS(1,MATCH(A1029,INDIRECT("'"&amp;E1029&amp;"'"&amp;"!A" &amp; $O$1027 + 2 &amp; ":Z" &amp; $O$1027 + 2),0),4),1,""),""),$O$1027+ 2)</f>
        <v>J353</v>
      </c>
      <c r="C1029" s="897" t="str">
        <f ca="1">_xlfn.CONCAT(IFERROR(SUBSTITUTE(ADDRESS(1,MATCH(A1029,INDIRECT("'"&amp;E1029&amp;"'"&amp;"!A" &amp; $O$1027 + 2 &amp; ":Z" &amp; $O$1027 + 2),0),4),1,""),""),$O$1027+ 3)</f>
        <v>J354</v>
      </c>
      <c r="D1029" s="897" t="s">
        <v>1367</v>
      </c>
      <c r="E1029" s="897" t="s">
        <v>1535</v>
      </c>
      <c r="F1029" s="1409" t="s">
        <v>1928</v>
      </c>
      <c r="G1029" s="1409" t="str">
        <f>IF(T1029&lt;&gt;"","I","")</f>
        <v/>
      </c>
      <c r="H1029" s="1409" t="s">
        <v>1926</v>
      </c>
      <c r="I1029" s="857" t="str">
        <f t="shared" si="201"/>
        <v/>
      </c>
      <c r="J1029" s="1409" t="str">
        <f>IF(M1029&lt;&gt;"",IF($Q$1027="Yes",Q$1&amp;M1029,""))</f>
        <v/>
      </c>
      <c r="K1029" s="1409" t="str">
        <f t="shared" si="202"/>
        <v/>
      </c>
      <c r="L1029" s="897" t="s">
        <v>1398</v>
      </c>
      <c r="M1029" s="1410">
        <v>1012</v>
      </c>
      <c r="N1029" s="1409"/>
      <c r="O1029" s="1408">
        <f>'Configurable Tab'!I27</f>
        <v>364</v>
      </c>
      <c r="P1029" s="1408"/>
      <c r="Q1029" s="1408" t="s">
        <v>482</v>
      </c>
      <c r="R1029" s="1409" t="s">
        <v>481</v>
      </c>
      <c r="S1029" s="1408"/>
      <c r="T1029" s="1409" t="str">
        <f t="shared" si="200"/>
        <v/>
      </c>
      <c r="U1029" s="1408"/>
      <c r="V1029" s="1408"/>
      <c r="W1029" s="1408"/>
      <c r="X1029" s="1408"/>
      <c r="Y1029" s="1408"/>
      <c r="Z1029" s="1408"/>
      <c r="AA1029" s="1408"/>
    </row>
    <row r="1030" spans="1:27" x14ac:dyDescent="0.25">
      <c r="A1030" s="926" t="s">
        <v>1414</v>
      </c>
      <c r="B1030" s="897" t="str">
        <f ca="1">_xlfn.CONCAT(IFERROR(SUBSTITUTE(ADDRESS(1,MATCH(A1030,INDIRECT("'"&amp;E1030&amp;"'"&amp;"!A" &amp; $O$1027 + 2 &amp; ":Z" &amp; $O$1027 + 2),0),4),1,""),""),$O$1027+ 2)</f>
        <v>L353</v>
      </c>
      <c r="C1030" s="897" t="str">
        <f ca="1">_xlfn.CONCAT(IFERROR(SUBSTITUTE(ADDRESS(1,MATCH(A1030,INDIRECT("'"&amp;E1030&amp;"'"&amp;"!A" &amp; $O$1027 + 2 &amp; ":Z" &amp; $O$1027 + 2),0),4),1,""),""),$O$1027+ 3)</f>
        <v>L354</v>
      </c>
      <c r="D1030" s="897" t="s">
        <v>1367</v>
      </c>
      <c r="E1030" s="897" t="s">
        <v>1535</v>
      </c>
      <c r="F1030" s="1409" t="s">
        <v>1929</v>
      </c>
      <c r="G1030" s="1409" t="str">
        <f>IF(T1030&lt;&gt;"","H","")</f>
        <v/>
      </c>
      <c r="H1030" s="1409" t="s">
        <v>1926</v>
      </c>
      <c r="I1030" s="857" t="str">
        <f t="shared" si="201"/>
        <v/>
      </c>
      <c r="J1030" s="1409" t="str">
        <f>IF(M1030&lt;&gt;"",IF($Q$1027="Yes",Q$1&amp;M1030,""))</f>
        <v/>
      </c>
      <c r="K1030" s="1409" t="str">
        <f t="shared" si="202"/>
        <v/>
      </c>
      <c r="L1030" s="897" t="s">
        <v>1414</v>
      </c>
      <c r="M1030" s="1410">
        <v>1013</v>
      </c>
      <c r="N1030" s="1409"/>
      <c r="O1030" s="1408" t="s">
        <v>1671</v>
      </c>
      <c r="P1030" s="1408"/>
      <c r="Q1030" s="1408"/>
      <c r="R1030" s="1409" t="s">
        <v>481</v>
      </c>
      <c r="S1030" s="1408"/>
      <c r="T1030" s="1409" t="str">
        <f t="shared" si="200"/>
        <v/>
      </c>
      <c r="U1030" s="1408"/>
      <c r="V1030" s="1408"/>
      <c r="W1030" s="1408"/>
      <c r="X1030" s="1408"/>
      <c r="Y1030" s="1408"/>
      <c r="Z1030" s="1408"/>
      <c r="AA1030" s="1408"/>
    </row>
    <row r="1031" spans="1:27" x14ac:dyDescent="0.25">
      <c r="A1031" s="926" t="s">
        <v>1399</v>
      </c>
      <c r="B1031" s="897" t="str">
        <f ca="1">_xlfn.CONCAT(IFERROR(SUBSTITUTE(ADDRESS(1,MATCH(A1031,INDIRECT("'"&amp;E1031&amp;"'"&amp;"!A" &amp; $O$1027 + 2 &amp; ":Z" &amp; $O$1027 + 2),0),4),1,""),""),$O$1027+ 2)</f>
        <v>N353</v>
      </c>
      <c r="C1031" s="897" t="str">
        <f ca="1">_xlfn.CONCAT(IFERROR(SUBSTITUTE(ADDRESS(1,MATCH(A1031,INDIRECT("'"&amp;E1031&amp;"'"&amp;"!A" &amp; $O$1027 + 2 &amp; ":Z" &amp; $O$1027 + 2),0),4),1,""),""),$O$1027+ 3)</f>
        <v>N354</v>
      </c>
      <c r="D1031" s="897" t="s">
        <v>1367</v>
      </c>
      <c r="E1031" s="897" t="s">
        <v>1535</v>
      </c>
      <c r="F1031" s="1409" t="s">
        <v>1399</v>
      </c>
      <c r="G1031" s="1409" t="str">
        <f>IF(T1031&lt;&gt;"",IF(Q1029="Credit Memo","J",IF(Q1029="Check","K","")),"")</f>
        <v/>
      </c>
      <c r="H1031" s="1409" t="s">
        <v>1926</v>
      </c>
      <c r="I1031" s="857" t="str">
        <f t="shared" si="201"/>
        <v/>
      </c>
      <c r="J1031" s="1409" t="str">
        <f>IF(M1031&lt;&gt;"",IF($Q$1027="Yes",Q$1&amp;M1031,""))</f>
        <v/>
      </c>
      <c r="K1031" s="1409" t="str">
        <f t="shared" si="202"/>
        <v/>
      </c>
      <c r="L1031" s="897" t="s">
        <v>1399</v>
      </c>
      <c r="M1031" s="1410">
        <v>1014</v>
      </c>
      <c r="N1031" s="1409"/>
      <c r="O1031" s="1408"/>
      <c r="P1031" s="1408"/>
      <c r="Q1031" s="1408"/>
      <c r="R1031" s="1409" t="s">
        <v>481</v>
      </c>
      <c r="S1031" s="1408"/>
      <c r="T1031" s="1409" t="str">
        <f t="shared" si="200"/>
        <v/>
      </c>
      <c r="U1031" s="1408"/>
      <c r="V1031" s="1408"/>
      <c r="W1031" s="1408"/>
      <c r="X1031" s="1408"/>
      <c r="Y1031" s="1408"/>
      <c r="Z1031" s="1408"/>
      <c r="AA1031" s="1408"/>
    </row>
    <row r="1032" spans="1:27" x14ac:dyDescent="0.25">
      <c r="A1032" s="926" t="s">
        <v>1402</v>
      </c>
      <c r="B1032" s="897" t="str">
        <f t="shared" ref="B1032:B1034" ca="1" si="203">IFERROR(_xlfn.CONCAT("C",MATCH(A1032,INDIRECT("'"&amp;E1032&amp;"'!C"&amp;$O$1027&amp;":C"&amp;$O$1029),0)+$O$1027-1),"")</f>
        <v>C357</v>
      </c>
      <c r="C1032" s="897" t="str">
        <f t="shared" ref="C1032:C1034" ca="1" si="204">IFERROR(_xlfn.CONCAT("D",MATCH(A1032,INDIRECT("'"&amp;E1032&amp;"'!C"&amp;$O$1027&amp;":C"&amp;$O$1029),0)+$O$1027-1),"")</f>
        <v>D357</v>
      </c>
      <c r="D1032" s="897" t="s">
        <v>1367</v>
      </c>
      <c r="E1032" s="897" t="s">
        <v>1535</v>
      </c>
      <c r="F1032" s="1409" t="s">
        <v>1402</v>
      </c>
      <c r="G1032" s="1409" t="str">
        <f>IF(T1032&lt;&gt;"","C","")</f>
        <v/>
      </c>
      <c r="H1032" s="1409" t="s">
        <v>1926</v>
      </c>
      <c r="I1032" s="857" t="str">
        <f t="shared" si="201"/>
        <v/>
      </c>
      <c r="J1032" s="1409"/>
      <c r="K1032" s="1409" t="str">
        <f t="shared" si="202"/>
        <v/>
      </c>
      <c r="L1032" s="897" t="s">
        <v>1402</v>
      </c>
      <c r="M1032" s="1410">
        <v>1015</v>
      </c>
      <c r="N1032" s="1409"/>
      <c r="O1032" s="1408"/>
      <c r="P1032" s="1408"/>
      <c r="Q1032" s="1408"/>
      <c r="R1032" s="1409" t="s">
        <v>481</v>
      </c>
      <c r="S1032" s="1408"/>
      <c r="T1032" s="1409" t="str">
        <f t="shared" si="200"/>
        <v/>
      </c>
      <c r="U1032" s="1408"/>
      <c r="V1032" s="1408"/>
      <c r="W1032" s="1408"/>
      <c r="X1032" s="1408"/>
      <c r="Y1032" s="1408"/>
      <c r="Z1032" s="1408"/>
      <c r="AA1032" s="1408"/>
    </row>
    <row r="1033" spans="1:27" x14ac:dyDescent="0.25">
      <c r="A1033" s="926" t="s">
        <v>1403</v>
      </c>
      <c r="B1033" s="897" t="str">
        <f t="shared" ca="1" si="203"/>
        <v>C359</v>
      </c>
      <c r="C1033" s="897" t="str">
        <f t="shared" ca="1" si="204"/>
        <v>D359</v>
      </c>
      <c r="D1033" s="897" t="s">
        <v>1367</v>
      </c>
      <c r="E1033" s="897" t="s">
        <v>1535</v>
      </c>
      <c r="F1033" s="1409" t="s">
        <v>1403</v>
      </c>
      <c r="G1033" s="1409" t="str">
        <f>IF(T1033&lt;&gt;"","D","")</f>
        <v/>
      </c>
      <c r="H1033" s="1409" t="s">
        <v>1926</v>
      </c>
      <c r="I1033" s="857" t="str">
        <f t="shared" si="201"/>
        <v/>
      </c>
      <c r="J1033" s="1409"/>
      <c r="K1033" s="1409" t="str">
        <f t="shared" si="202"/>
        <v/>
      </c>
      <c r="L1033" s="897" t="s">
        <v>1403</v>
      </c>
      <c r="M1033" s="1410">
        <v>1016</v>
      </c>
      <c r="N1033" s="1409"/>
      <c r="O1033" s="1408"/>
      <c r="P1033" s="1408"/>
      <c r="Q1033" s="1408"/>
      <c r="R1033" s="1409" t="s">
        <v>481</v>
      </c>
      <c r="S1033" s="1408"/>
      <c r="T1033" s="1409" t="str">
        <f t="shared" si="200"/>
        <v/>
      </c>
      <c r="U1033" s="1408"/>
      <c r="V1033" s="1408"/>
      <c r="W1033" s="1408"/>
      <c r="X1033" s="1408"/>
      <c r="Y1033" s="1408"/>
      <c r="Z1033" s="1408"/>
      <c r="AA1033" s="1408"/>
    </row>
    <row r="1034" spans="1:27" x14ac:dyDescent="0.25">
      <c r="A1034" s="926" t="s">
        <v>1514</v>
      </c>
      <c r="B1034" s="897" t="str">
        <f t="shared" ca="1" si="203"/>
        <v>C361</v>
      </c>
      <c r="C1034" s="897" t="str">
        <f t="shared" ca="1" si="204"/>
        <v>D361</v>
      </c>
      <c r="D1034" s="897" t="s">
        <v>1367</v>
      </c>
      <c r="E1034" s="897" t="s">
        <v>1535</v>
      </c>
      <c r="F1034" s="1409" t="s">
        <v>1514</v>
      </c>
      <c r="G1034" s="1409" t="str">
        <f>IF(T1034&lt;&gt;"","AN","")</f>
        <v/>
      </c>
      <c r="H1034" s="1409" t="s">
        <v>1926</v>
      </c>
      <c r="I1034" s="857" t="str">
        <f t="shared" si="201"/>
        <v/>
      </c>
      <c r="J1034" s="1409" t="str">
        <f>IF(M1034&lt;&gt;"",IF($Q$1027="Yes",Q$1&amp;M1034,""))</f>
        <v/>
      </c>
      <c r="K1034" s="1409" t="str">
        <f t="shared" si="202"/>
        <v/>
      </c>
      <c r="L1034" s="897" t="s">
        <v>1514</v>
      </c>
      <c r="M1034" s="1410">
        <v>1017</v>
      </c>
      <c r="N1034" s="1409"/>
      <c r="O1034" s="18"/>
      <c r="P1034" s="1409" t="str" cm="1">
        <f t="array" aca="1" ref="P1034" ca="1">_xlfn.CONCAT("F",RIGHT(B1034, LEN(B1034) - MAX(IF(ISNUMBER(MID(B1034, ROW(INDIRECT("1:"&amp;LEN(B1034))), 1) *1)=FALSE, ROW(INDIRECT("1:"&amp;LEN(B1034))), 0))))</f>
        <v>F361</v>
      </c>
      <c r="Q1034" s="1409" t="str" cm="1">
        <f t="array" aca="1" ref="Q1034" ca="1">_xlfn.CONCAT("E",RIGHT(C1034, LEN(C1034) - MAX(IF(ISNUMBER(MID(C1034, ROW(INDIRECT("1:"&amp;LEN(C1034))), 1) *1)=FALSE, ROW(INDIRECT("1:"&amp;LEN(C1034))), 0))))</f>
        <v>E361</v>
      </c>
      <c r="R1034" s="1409" t="s">
        <v>481</v>
      </c>
      <c r="S1034" s="1408"/>
      <c r="T1034" s="1409" t="str">
        <f>IF(Q$1027="Yes",25,"")</f>
        <v/>
      </c>
      <c r="U1034" s="1408"/>
      <c r="V1034" s="1408"/>
      <c r="W1034" s="1408"/>
      <c r="X1034" s="1408"/>
      <c r="Y1034" s="1408"/>
      <c r="Z1034" s="1408"/>
      <c r="AA1034" s="1408"/>
    </row>
    <row r="1035" spans="1:27" x14ac:dyDescent="0.25">
      <c r="A1035" s="926" t="s">
        <v>1511</v>
      </c>
      <c r="B1035" s="897" t="str">
        <f ca="1">_xlfn.CONCAT(IFERROR(SUBSTITUTE(ADDRESS(1,MATCH(A1035,INDIRECT("'"&amp;E1035&amp;"'"&amp;"!A" &amp; $O$1027 + 8 &amp; ":Z" &amp; $O$1027 + 8),0),4),1,""),""),$O$1027+ 8)</f>
        <v>H359</v>
      </c>
      <c r="C1035" s="897" t="str">
        <f ca="1">_xlfn.CONCAT(IFERROR(SUBSTITUTE(ADDRESS(1,MATCH(A1035,INDIRECT("'"&amp;E1035&amp;"'"&amp;"!A" &amp; $O$1027 + 8 &amp; ":Z" &amp; $O$1027 + 8),0),4),1,""),""),$O$1027+ 9)</f>
        <v>H360</v>
      </c>
      <c r="D1035" s="897" t="s">
        <v>1367</v>
      </c>
      <c r="E1035" s="897" t="s">
        <v>1535</v>
      </c>
      <c r="F1035" s="1409" t="s">
        <v>1511</v>
      </c>
      <c r="G1035" s="1409" t="str">
        <f>IF(T1035&lt;&gt;"","AL","")</f>
        <v/>
      </c>
      <c r="H1035" s="1409" t="s">
        <v>1926</v>
      </c>
      <c r="I1035" s="857" t="str">
        <f t="shared" si="201"/>
        <v/>
      </c>
      <c r="J1035" s="1409" t="str">
        <f>IF(M1035&lt;&gt;"",IF($Q$1027="Yes",Q$1&amp;M1035,""))</f>
        <v/>
      </c>
      <c r="K1035" s="1409" t="str">
        <f t="shared" si="202"/>
        <v/>
      </c>
      <c r="L1035" s="897" t="s">
        <v>1511</v>
      </c>
      <c r="M1035" s="1410">
        <v>1018</v>
      </c>
      <c r="N1035" s="1409"/>
      <c r="O1035" s="1408"/>
      <c r="P1035" s="1408"/>
      <c r="Q1035" s="1408"/>
      <c r="R1035" s="1409" t="s">
        <v>481</v>
      </c>
      <c r="S1035" s="1408"/>
      <c r="T1035" s="1409" t="str">
        <f>IF(Q$1027="Yes",25,"")</f>
        <v/>
      </c>
      <c r="U1035" s="1408"/>
      <c r="V1035" s="1408"/>
      <c r="W1035" s="1408"/>
      <c r="X1035" s="1408"/>
      <c r="Y1035" s="1408"/>
      <c r="Z1035" s="1408"/>
      <c r="AA1035" s="1408"/>
    </row>
    <row r="1036" spans="1:27" x14ac:dyDescent="0.25">
      <c r="A1036" s="926" t="s">
        <v>1413</v>
      </c>
      <c r="B1036" s="897" t="str">
        <f ca="1">_xlfn.CONCAT(IFERROR(SUBSTITUTE(ADDRESS(1,MATCH(A1036,INDIRECT("'"&amp;E1036&amp;"'"&amp;"!A" &amp; $O$1027 + 5 &amp; ":Z" &amp; $O$1027 + 5),0),4),1,""),""),$O$1027+ 5)</f>
        <v>H356</v>
      </c>
      <c r="C1036" s="897" t="str">
        <f ca="1">_xlfn.CONCAT(IFERROR(SUBSTITUTE(ADDRESS(1,MATCH(A1036,INDIRECT("'"&amp;E1036&amp;"'"&amp;"!A" &amp; $O$1027 + 5 &amp; ":Z" &amp; $O$1027 + 5),0),4),1,""),""),$O$1027+ 6)</f>
        <v>H357</v>
      </c>
      <c r="D1036" s="897" t="s">
        <v>1367</v>
      </c>
      <c r="E1036" s="897" t="s">
        <v>1535</v>
      </c>
      <c r="F1036" s="1409" t="s">
        <v>1413</v>
      </c>
      <c r="G1036" s="1409" t="str">
        <f>IF(T1036&lt;&gt;"","S","")</f>
        <v/>
      </c>
      <c r="H1036" s="1409" t="s">
        <v>1926</v>
      </c>
      <c r="I1036" s="857" t="str">
        <f t="shared" si="201"/>
        <v/>
      </c>
      <c r="J1036" s="1409" t="str">
        <f>IF(M1036&lt;&gt;"",IF($Q$1027="Yes",Q$1&amp;M1036,""))</f>
        <v/>
      </c>
      <c r="K1036" s="1409" t="str">
        <f t="shared" si="202"/>
        <v/>
      </c>
      <c r="L1036" s="897" t="s">
        <v>1413</v>
      </c>
      <c r="M1036" s="1410">
        <v>1019</v>
      </c>
      <c r="N1036" s="1409"/>
      <c r="O1036" s="1408"/>
      <c r="P1036" s="1408"/>
      <c r="Q1036" s="1408"/>
      <c r="R1036" s="1409" t="s">
        <v>481</v>
      </c>
      <c r="S1036" s="1408"/>
      <c r="T1036" s="1409" t="str">
        <f>IF(Q$1027="Yes",25,"")</f>
        <v/>
      </c>
      <c r="U1036" s="1408"/>
      <c r="V1036" s="1408"/>
      <c r="W1036" s="1408"/>
      <c r="X1036" s="1408"/>
      <c r="Y1036" s="1408"/>
      <c r="Z1036" s="1408"/>
      <c r="AA1036" s="1408"/>
    </row>
    <row r="1037" spans="1:27" x14ac:dyDescent="0.25">
      <c r="A1037" s="929" t="s">
        <v>1510</v>
      </c>
      <c r="B1037" s="897" t="str">
        <f ca="1">IFERROR(_xlfn.CONCAT("C",MATCH(A1037,INDIRECT("'"&amp;E1037&amp;"'!C"&amp;$O$1038&amp;":C"&amp;$O$1040),0)+$O$1038-1),"")</f>
        <v>C369</v>
      </c>
      <c r="C1037" s="897" t="str">
        <f ca="1">IFERROR(_xlfn.CONCAT("D",MATCH(A1037,INDIRECT("'"&amp;E1037&amp;"'!C"&amp;$O$1038&amp;":C"&amp;$O$1040),0)+$O$1038-1),"")</f>
        <v>D369</v>
      </c>
      <c r="D1037" s="897" t="s">
        <v>1367</v>
      </c>
      <c r="E1037" s="897" t="s">
        <v>1535</v>
      </c>
      <c r="F1037" s="1409" t="s">
        <v>1510</v>
      </c>
      <c r="G1037" s="1409" t="str">
        <f>IF(T1037&lt;&gt;"","A","")</f>
        <v/>
      </c>
      <c r="H1037" s="1409" t="s">
        <v>1926</v>
      </c>
      <c r="I1037" s="857" t="str">
        <f t="shared" si="201"/>
        <v/>
      </c>
      <c r="J1037" s="1409"/>
      <c r="K1037" s="1409" t="str">
        <f t="shared" si="202"/>
        <v/>
      </c>
      <c r="L1037" s="897" t="s">
        <v>1510</v>
      </c>
      <c r="M1037" s="1410">
        <v>1020</v>
      </c>
      <c r="N1037" s="1409"/>
      <c r="O1037" s="1408" t="s">
        <v>726</v>
      </c>
      <c r="P1037" s="18"/>
      <c r="Q1037" s="1408"/>
      <c r="R1037" s="1409" t="s">
        <v>1142</v>
      </c>
      <c r="S1037" s="1408"/>
      <c r="T1037" s="1409" t="str">
        <f>IF(Q$1038="Yes",26,"")</f>
        <v/>
      </c>
      <c r="U1037" s="1408"/>
      <c r="V1037" s="1408"/>
      <c r="W1037" s="1408"/>
      <c r="X1037" s="1408"/>
      <c r="Y1037" s="1408"/>
      <c r="Z1037" s="1408"/>
      <c r="AA1037" s="1408"/>
    </row>
    <row r="1038" spans="1:27" x14ac:dyDescent="0.25">
      <c r="A1038" s="929" t="s">
        <v>1724</v>
      </c>
      <c r="B1038" s="897" t="str">
        <f ca="1">_xlfn.CONCAT(IFERROR(SUBSTITUTE(ADDRESS(1,MATCH(A1038,INDIRECT("'"&amp;E1038&amp;"'"&amp;"!A" &amp; $O$1038 + 11 &amp; ":Z" &amp; $O$1038 + 11),0),4),1,""),""),$O$1038+ 11)</f>
        <v>T376</v>
      </c>
      <c r="C1038" s="897" t="str">
        <f ca="1">_xlfn.CONCAT(IFERROR(SUBSTITUTE(ADDRESS(1,MATCH(A1038,INDIRECT("'"&amp;E1038&amp;"'"&amp;"!A" &amp; $O$1038 + 11 &amp; ":Z" &amp; $O$1038 + 11),0),4),1,""),""),$O$1038+ 12)</f>
        <v>T377</v>
      </c>
      <c r="D1038" s="897" t="s">
        <v>1367</v>
      </c>
      <c r="E1038" s="897" t="s">
        <v>1535</v>
      </c>
      <c r="F1038" s="1409"/>
      <c r="G1038" s="1409"/>
      <c r="H1038" s="1409"/>
      <c r="I1038" s="857" t="str">
        <f t="shared" si="201"/>
        <v/>
      </c>
      <c r="J1038" s="1409" t="str">
        <f t="shared" ref="J1038:J1049" si="205">IF(M1038&lt;&gt;"",IF($Q$1038="Yes",Q$1&amp;M1038,""))</f>
        <v/>
      </c>
      <c r="K1038" s="1409" t="str">
        <f t="shared" si="202"/>
        <v/>
      </c>
      <c r="L1038" s="897" t="s">
        <v>1724</v>
      </c>
      <c r="M1038" s="1410">
        <v>1021</v>
      </c>
      <c r="N1038" s="1409"/>
      <c r="O1038" s="1408">
        <f>'Configurable Tab'!H28</f>
        <v>365</v>
      </c>
      <c r="P1038" s="18">
        <f>'Configurable Tab'!J28</f>
        <v>0</v>
      </c>
      <c r="Q1038" s="1408" t="s">
        <v>649</v>
      </c>
      <c r="R1038" s="1409" t="s">
        <v>1142</v>
      </c>
      <c r="S1038" s="1408"/>
      <c r="T1038" s="1409" t="str">
        <f t="shared" ref="T1038:T1047" si="206">IF(Q$1038="Yes",26,"")</f>
        <v/>
      </c>
      <c r="U1038" s="1408"/>
      <c r="V1038" s="1408"/>
      <c r="W1038" s="1408"/>
      <c r="X1038" s="1408"/>
      <c r="Y1038" s="1408"/>
      <c r="Z1038" s="1408"/>
      <c r="AA1038" s="1408"/>
    </row>
    <row r="1039" spans="1:27" x14ac:dyDescent="0.25">
      <c r="A1039" s="929" t="s">
        <v>1400</v>
      </c>
      <c r="B1039" s="897" t="str">
        <f ca="1">IFERROR(_xlfn.CONCAT("C",MATCH(A1039,INDIRECT("'"&amp;E1039&amp;"'!C"&amp;$O$1038&amp;":C"&amp;$O$1040),0)+$O$1038-1),"")</f>
        <v>C367</v>
      </c>
      <c r="C1039" s="897" t="str">
        <f ca="1">IFERROR(_xlfn.CONCAT("D",MATCH(A1039,INDIRECT("'"&amp;E1039&amp;"'!C"&amp;$O$1038&amp;":C"&amp;$O$1040),0)+$O$1038-1),"")</f>
        <v>D367</v>
      </c>
      <c r="D1039" s="897" t="s">
        <v>1367</v>
      </c>
      <c r="E1039" s="897" t="s">
        <v>1535</v>
      </c>
      <c r="F1039" s="1409" t="s">
        <v>1400</v>
      </c>
      <c r="G1039" s="1409" t="str">
        <f>IF(T1039&lt;&gt;"","B","")</f>
        <v/>
      </c>
      <c r="H1039" s="1409" t="s">
        <v>1926</v>
      </c>
      <c r="I1039" s="857" t="str">
        <f t="shared" si="201"/>
        <v/>
      </c>
      <c r="J1039" s="1409"/>
      <c r="K1039" s="1409" t="str">
        <f t="shared" si="202"/>
        <v/>
      </c>
      <c r="L1039" s="897" t="s">
        <v>1400</v>
      </c>
      <c r="M1039" s="1410">
        <v>1022</v>
      </c>
      <c r="N1039" s="1409"/>
      <c r="O1039" s="1408" t="s">
        <v>727</v>
      </c>
      <c r="P1039" s="1408"/>
      <c r="Q1039" s="1408"/>
      <c r="R1039" s="1409" t="s">
        <v>1142</v>
      </c>
      <c r="S1039" s="1408"/>
      <c r="T1039" s="1409" t="str">
        <f t="shared" si="206"/>
        <v/>
      </c>
      <c r="U1039" s="1408"/>
      <c r="V1039" s="1408"/>
      <c r="W1039" s="1408"/>
      <c r="X1039" s="1408"/>
      <c r="Y1039" s="1408"/>
      <c r="Z1039" s="1408"/>
      <c r="AA1039" s="1408"/>
    </row>
    <row r="1040" spans="1:27" x14ac:dyDescent="0.25">
      <c r="A1040" s="929" t="s">
        <v>1398</v>
      </c>
      <c r="B1040" s="897" t="str">
        <f t="shared" ref="B1040:B1045" ca="1" si="207">_xlfn.CONCAT(IFERROR(SUBSTITUTE(ADDRESS(1,MATCH(A1040,INDIRECT("'"&amp;E1040&amp;"'"&amp;"!A" &amp; $O$1038 + 2 &amp; ":Z" &amp; $O$1038 + 2),0),4),1,""),""),$O$1038+ 2)</f>
        <v>J367</v>
      </c>
      <c r="C1040" s="897" t="str">
        <f t="shared" ref="C1040:C1045" ca="1" si="208">_xlfn.CONCAT(IFERROR(SUBSTITUTE(ADDRESS(1,MATCH(A1040,INDIRECT("'"&amp;E1040&amp;"'"&amp;"!A" &amp; $O$1038 + 2 &amp; ":Z" &amp; $O$1038 + 2),0),4),1,""),""),$O$1038+ 3)</f>
        <v>J368</v>
      </c>
      <c r="D1040" s="897" t="s">
        <v>1367</v>
      </c>
      <c r="E1040" s="897" t="s">
        <v>1535</v>
      </c>
      <c r="F1040" s="1409" t="s">
        <v>1928</v>
      </c>
      <c r="G1040" s="1409" t="str">
        <f>IF(T1040&lt;&gt;"","I","")</f>
        <v/>
      </c>
      <c r="H1040" s="1409" t="s">
        <v>1926</v>
      </c>
      <c r="I1040" s="857" t="str">
        <f t="shared" si="201"/>
        <v/>
      </c>
      <c r="J1040" s="1409" t="str">
        <f t="shared" si="205"/>
        <v/>
      </c>
      <c r="K1040" s="1409" t="str">
        <f t="shared" si="202"/>
        <v/>
      </c>
      <c r="L1040" s="897" t="s">
        <v>1398</v>
      </c>
      <c r="M1040" s="1410">
        <v>1023</v>
      </c>
      <c r="N1040" s="1409"/>
      <c r="O1040" s="1408">
        <f>'Configurable Tab'!I28</f>
        <v>378</v>
      </c>
      <c r="P1040" s="1408"/>
      <c r="Q1040" s="1408" t="s">
        <v>482</v>
      </c>
      <c r="R1040" s="1409" t="s">
        <v>1142</v>
      </c>
      <c r="S1040" s="1408"/>
      <c r="T1040" s="1409" t="str">
        <f t="shared" si="206"/>
        <v/>
      </c>
      <c r="U1040" s="1408"/>
      <c r="V1040" s="1408"/>
      <c r="W1040" s="1408"/>
      <c r="X1040" s="1408"/>
      <c r="Y1040" s="1408"/>
      <c r="Z1040" s="1408"/>
      <c r="AA1040" s="1408"/>
    </row>
    <row r="1041" spans="1:27" x14ac:dyDescent="0.25">
      <c r="A1041" s="929" t="s">
        <v>1414</v>
      </c>
      <c r="B1041" s="897" t="str">
        <f t="shared" ca="1" si="207"/>
        <v>L367</v>
      </c>
      <c r="C1041" s="897" t="str">
        <f t="shared" ca="1" si="208"/>
        <v>L368</v>
      </c>
      <c r="D1041" s="897" t="s">
        <v>1367</v>
      </c>
      <c r="E1041" s="897" t="s">
        <v>1535</v>
      </c>
      <c r="F1041" s="1409" t="s">
        <v>1929</v>
      </c>
      <c r="G1041" s="1409" t="str">
        <f>IF(T1041&lt;&gt;"","H","")</f>
        <v/>
      </c>
      <c r="H1041" s="1409" t="s">
        <v>1926</v>
      </c>
      <c r="I1041" s="857" t="str">
        <f t="shared" si="201"/>
        <v/>
      </c>
      <c r="J1041" s="1409" t="str">
        <f t="shared" si="205"/>
        <v/>
      </c>
      <c r="K1041" s="1409" t="str">
        <f t="shared" si="202"/>
        <v/>
      </c>
      <c r="L1041" s="897" t="s">
        <v>1414</v>
      </c>
      <c r="M1041" s="1410">
        <v>1024</v>
      </c>
      <c r="N1041" s="1409"/>
      <c r="O1041" s="1408" t="s">
        <v>1672</v>
      </c>
      <c r="P1041" s="1408"/>
      <c r="Q1041" s="1408"/>
      <c r="R1041" s="1409" t="s">
        <v>1142</v>
      </c>
      <c r="S1041" s="1408"/>
      <c r="T1041" s="1409" t="str">
        <f t="shared" si="206"/>
        <v/>
      </c>
      <c r="U1041" s="1408"/>
      <c r="V1041" s="1408"/>
      <c r="W1041" s="1408"/>
      <c r="X1041" s="1408"/>
      <c r="Y1041" s="1408"/>
      <c r="Z1041" s="1408"/>
      <c r="AA1041" s="1408"/>
    </row>
    <row r="1042" spans="1:27" x14ac:dyDescent="0.25">
      <c r="A1042" s="929" t="s">
        <v>1399</v>
      </c>
      <c r="B1042" s="897" t="str">
        <f t="shared" ca="1" si="207"/>
        <v>N367</v>
      </c>
      <c r="C1042" s="897" t="str">
        <f t="shared" ca="1" si="208"/>
        <v>N368</v>
      </c>
      <c r="D1042" s="897" t="s">
        <v>1367</v>
      </c>
      <c r="E1042" s="897" t="s">
        <v>1535</v>
      </c>
      <c r="F1042" s="1409" t="s">
        <v>1399</v>
      </c>
      <c r="G1042" s="1409" t="str">
        <f>IF(T1042&lt;&gt;"",IF(Q1040="Credit Memo","J",IF(Q1040="Check","K","")),"")</f>
        <v/>
      </c>
      <c r="H1042" s="1409" t="s">
        <v>1926</v>
      </c>
      <c r="I1042" s="857" t="str">
        <f t="shared" si="201"/>
        <v/>
      </c>
      <c r="J1042" s="1409" t="str">
        <f t="shared" si="205"/>
        <v/>
      </c>
      <c r="K1042" s="1409" t="str">
        <f t="shared" si="202"/>
        <v/>
      </c>
      <c r="L1042" s="897" t="s">
        <v>1399</v>
      </c>
      <c r="M1042" s="1410">
        <v>1025</v>
      </c>
      <c r="N1042" s="1409"/>
      <c r="O1042" s="1408"/>
      <c r="P1042" s="1408"/>
      <c r="Q1042" s="1408"/>
      <c r="R1042" s="1409" t="s">
        <v>1142</v>
      </c>
      <c r="S1042" s="1408"/>
      <c r="T1042" s="1409" t="str">
        <f t="shared" si="206"/>
        <v/>
      </c>
      <c r="U1042" s="1408"/>
      <c r="V1042" s="1408"/>
      <c r="W1042" s="1408"/>
      <c r="X1042" s="1408"/>
      <c r="Y1042" s="1408"/>
      <c r="Z1042" s="1408"/>
      <c r="AA1042" s="1408"/>
    </row>
    <row r="1043" spans="1:27" x14ac:dyDescent="0.25">
      <c r="A1043" s="929" t="s">
        <v>1505</v>
      </c>
      <c r="B1043" s="897" t="str">
        <f t="shared" ca="1" si="207"/>
        <v>P367</v>
      </c>
      <c r="C1043" s="897" t="str">
        <f t="shared" ca="1" si="208"/>
        <v>P368</v>
      </c>
      <c r="D1043" s="897" t="s">
        <v>1367</v>
      </c>
      <c r="E1043" s="897" t="s">
        <v>1535</v>
      </c>
      <c r="F1043" s="1409" t="s">
        <v>1930</v>
      </c>
      <c r="G1043" s="1409" t="str">
        <f>IF(T1043&lt;&gt;"","F","")</f>
        <v/>
      </c>
      <c r="H1043" s="1409" t="s">
        <v>1926</v>
      </c>
      <c r="I1043" s="857" t="str">
        <f t="shared" si="201"/>
        <v/>
      </c>
      <c r="J1043" s="1409" t="str">
        <f t="shared" si="205"/>
        <v/>
      </c>
      <c r="K1043" s="1409" t="str">
        <f t="shared" si="202"/>
        <v/>
      </c>
      <c r="L1043" s="897" t="s">
        <v>1505</v>
      </c>
      <c r="M1043" s="1410">
        <v>1026</v>
      </c>
      <c r="N1043" s="1409"/>
      <c r="O1043" s="1408"/>
      <c r="P1043" s="1408"/>
      <c r="Q1043" s="1408"/>
      <c r="R1043" s="1409" t="s">
        <v>1142</v>
      </c>
      <c r="S1043" s="1408"/>
      <c r="T1043" s="1409" t="str">
        <f t="shared" si="206"/>
        <v/>
      </c>
      <c r="U1043" s="1408"/>
      <c r="V1043" s="1408"/>
      <c r="W1043" s="1408"/>
      <c r="X1043" s="1408"/>
      <c r="Y1043" s="1408"/>
      <c r="Z1043" s="1408"/>
      <c r="AA1043" s="1408"/>
    </row>
    <row r="1044" spans="1:27" x14ac:dyDescent="0.25">
      <c r="A1044" s="929" t="s">
        <v>1506</v>
      </c>
      <c r="B1044" s="897" t="str">
        <f t="shared" ca="1" si="207"/>
        <v>R367</v>
      </c>
      <c r="C1044" s="897" t="str">
        <f t="shared" ca="1" si="208"/>
        <v>R368</v>
      </c>
      <c r="D1044" s="897" t="s">
        <v>1367</v>
      </c>
      <c r="E1044" s="897" t="s">
        <v>1535</v>
      </c>
      <c r="F1044" s="1409" t="s">
        <v>1931</v>
      </c>
      <c r="G1044" s="1409" t="str">
        <f>IF(T1044&lt;&gt;"","G","")</f>
        <v/>
      </c>
      <c r="H1044" s="1409" t="s">
        <v>1926</v>
      </c>
      <c r="I1044" s="857" t="str">
        <f t="shared" si="201"/>
        <v/>
      </c>
      <c r="J1044" s="1409" t="str">
        <f t="shared" si="205"/>
        <v/>
      </c>
      <c r="K1044" s="1409" t="str">
        <f t="shared" si="202"/>
        <v/>
      </c>
      <c r="L1044" s="897" t="s">
        <v>1506</v>
      </c>
      <c r="M1044" s="1410">
        <v>1027</v>
      </c>
      <c r="N1044" s="1409"/>
      <c r="O1044" s="1408"/>
      <c r="P1044" s="1408"/>
      <c r="Q1044" s="1408"/>
      <c r="R1044" s="1409" t="s">
        <v>1142</v>
      </c>
      <c r="S1044" s="1408"/>
      <c r="T1044" s="1409" t="str">
        <f t="shared" si="206"/>
        <v/>
      </c>
      <c r="U1044" s="1408"/>
      <c r="V1044" s="1408"/>
      <c r="W1044" s="1408"/>
      <c r="X1044" s="1408"/>
      <c r="Y1044" s="1408"/>
      <c r="Z1044" s="1408"/>
      <c r="AA1044" s="1408"/>
    </row>
    <row r="1045" spans="1:27" x14ac:dyDescent="0.25">
      <c r="A1045" s="929" t="s">
        <v>1507</v>
      </c>
      <c r="B1045" s="897" t="str">
        <f t="shared" ca="1" si="207"/>
        <v>T367</v>
      </c>
      <c r="C1045" s="897" t="str">
        <f t="shared" ca="1" si="208"/>
        <v>T368</v>
      </c>
      <c r="D1045" s="897" t="s">
        <v>1367</v>
      </c>
      <c r="E1045" s="897" t="s">
        <v>1535</v>
      </c>
      <c r="F1045" s="919" t="s">
        <v>1507</v>
      </c>
      <c r="G1045" s="1409" t="str">
        <f>IF(T1045&lt;&gt;"","AW","")</f>
        <v/>
      </c>
      <c r="H1045" s="1409" t="s">
        <v>1926</v>
      </c>
      <c r="I1045" s="857" t="str">
        <f t="shared" si="201"/>
        <v/>
      </c>
      <c r="J1045" s="1409" t="str">
        <f t="shared" si="205"/>
        <v/>
      </c>
      <c r="K1045" s="1409" t="str">
        <f t="shared" si="202"/>
        <v/>
      </c>
      <c r="L1045" s="897" t="s">
        <v>1507</v>
      </c>
      <c r="M1045" s="1410">
        <v>1028</v>
      </c>
      <c r="N1045" s="1409"/>
      <c r="O1045" s="1408"/>
      <c r="P1045" s="1408"/>
      <c r="Q1045" s="1408"/>
      <c r="R1045" s="1409" t="s">
        <v>1142</v>
      </c>
      <c r="S1045" s="1408"/>
      <c r="T1045" s="1409" t="str">
        <f t="shared" si="206"/>
        <v/>
      </c>
      <c r="U1045" s="1408"/>
      <c r="V1045" s="1408"/>
      <c r="W1045" s="1408"/>
      <c r="X1045" s="1408"/>
      <c r="Y1045" s="1408"/>
      <c r="Z1045" s="1408"/>
      <c r="AA1045" s="1408"/>
    </row>
    <row r="1046" spans="1:27" x14ac:dyDescent="0.25">
      <c r="A1046" s="929" t="s">
        <v>1402</v>
      </c>
      <c r="B1046" s="897" t="str">
        <f ca="1">IFERROR(_xlfn.CONCAT("C",MATCH(A1046,INDIRECT("'"&amp;E1046&amp;"'!C"&amp;$O$1038&amp;":C"&amp;$O$1040),0)+$O$1038-1),"")</f>
        <v>C371</v>
      </c>
      <c r="C1046" s="897" t="str">
        <f ca="1">IFERROR(_xlfn.CONCAT("D",MATCH(A1046,INDIRECT("'"&amp;E1046&amp;"'!C"&amp;$O$1038&amp;":C"&amp;$O$1040),0)+$O$1038-1),"")</f>
        <v>D371</v>
      </c>
      <c r="D1046" s="897" t="s">
        <v>1367</v>
      </c>
      <c r="E1046" s="897" t="s">
        <v>1535</v>
      </c>
      <c r="F1046" s="1409" t="s">
        <v>1402</v>
      </c>
      <c r="G1046" s="1409" t="str">
        <f>IF(T1046&lt;&gt;"","C","")</f>
        <v/>
      </c>
      <c r="H1046" s="1409" t="s">
        <v>1926</v>
      </c>
      <c r="I1046" s="857" t="str">
        <f t="shared" si="201"/>
        <v/>
      </c>
      <c r="J1046" s="1409"/>
      <c r="K1046" s="1409" t="str">
        <f t="shared" si="202"/>
        <v/>
      </c>
      <c r="L1046" s="897" t="s">
        <v>1402</v>
      </c>
      <c r="M1046" s="1410">
        <v>1029</v>
      </c>
      <c r="N1046" s="1409"/>
      <c r="O1046" s="1408"/>
      <c r="P1046" s="1408"/>
      <c r="Q1046" s="1408"/>
      <c r="R1046" s="1409" t="s">
        <v>1142</v>
      </c>
      <c r="S1046" s="1408"/>
      <c r="T1046" s="1409" t="str">
        <f t="shared" si="206"/>
        <v/>
      </c>
      <c r="U1046" s="1408"/>
      <c r="V1046" s="1408"/>
      <c r="W1046" s="1408"/>
      <c r="X1046" s="1408"/>
      <c r="Y1046" s="1408"/>
      <c r="Z1046" s="1408"/>
      <c r="AA1046" s="1408"/>
    </row>
    <row r="1047" spans="1:27" x14ac:dyDescent="0.25">
      <c r="A1047" s="929" t="s">
        <v>1403</v>
      </c>
      <c r="B1047" s="897" t="str">
        <f ca="1">IFERROR(_xlfn.CONCAT("C",MATCH(A1047,INDIRECT("'"&amp;E1047&amp;"'!C"&amp;$O$1038&amp;":C"&amp;$O$1040),0)+$O$1038-1),"")</f>
        <v>C373</v>
      </c>
      <c r="C1047" s="897" t="str">
        <f ca="1">IFERROR(_xlfn.CONCAT("D",MATCH(A1047,INDIRECT("'"&amp;E1047&amp;"'!C"&amp;$O$1038&amp;":C"&amp;$O$1040),0)+$O$1038-1),"")</f>
        <v>D373</v>
      </c>
      <c r="D1047" s="897" t="s">
        <v>1367</v>
      </c>
      <c r="E1047" s="897" t="s">
        <v>1535</v>
      </c>
      <c r="F1047" s="1409" t="s">
        <v>1403</v>
      </c>
      <c r="G1047" s="1409" t="str">
        <f>IF(T1047&lt;&gt;"","D","")</f>
        <v/>
      </c>
      <c r="H1047" s="1409" t="s">
        <v>1926</v>
      </c>
      <c r="I1047" s="857" t="str">
        <f t="shared" si="201"/>
        <v/>
      </c>
      <c r="J1047" s="1409"/>
      <c r="K1047" s="1409" t="str">
        <f t="shared" si="202"/>
        <v/>
      </c>
      <c r="L1047" s="897" t="s">
        <v>1403</v>
      </c>
      <c r="M1047" s="1410">
        <v>1030</v>
      </c>
      <c r="N1047" s="1409"/>
      <c r="O1047" s="1408"/>
      <c r="P1047" s="1408"/>
      <c r="Q1047" s="1408"/>
      <c r="R1047" s="1409" t="s">
        <v>1142</v>
      </c>
      <c r="S1047" s="1408"/>
      <c r="T1047" s="1409" t="str">
        <f t="shared" si="206"/>
        <v/>
      </c>
      <c r="U1047" s="1408"/>
      <c r="V1047" s="1408"/>
      <c r="W1047" s="1408"/>
      <c r="X1047" s="1408"/>
      <c r="Y1047" s="1408"/>
      <c r="Z1047" s="1408"/>
      <c r="AA1047" s="1408"/>
    </row>
    <row r="1048" spans="1:27" x14ac:dyDescent="0.25">
      <c r="A1048" s="929" t="s">
        <v>1514</v>
      </c>
      <c r="B1048" s="897" t="str">
        <f ca="1">IFERROR(_xlfn.CONCAT("C",MATCH(A1048,INDIRECT("'"&amp;E1048&amp;"'!C"&amp;$O$1038&amp;":C"&amp;$O$1040),0)+$O$1038-1),"")</f>
        <v>C375</v>
      </c>
      <c r="C1048" s="897" t="str">
        <f ca="1">IFERROR(_xlfn.CONCAT("D",MATCH(A1048,INDIRECT("'"&amp;E1048&amp;"'!C"&amp;$O$1038&amp;":C"&amp;$O$1040),0)+$O$1038-1),"")</f>
        <v>D375</v>
      </c>
      <c r="D1048" s="897" t="s">
        <v>1367</v>
      </c>
      <c r="E1048" s="897" t="s">
        <v>1535</v>
      </c>
      <c r="F1048" s="1409" t="s">
        <v>1514</v>
      </c>
      <c r="G1048" s="1409" t="str">
        <f>IF(T1048&lt;&gt;"","AN","")</f>
        <v/>
      </c>
      <c r="H1048" s="1409" t="s">
        <v>1926</v>
      </c>
      <c r="I1048" s="857" t="str">
        <f t="shared" si="201"/>
        <v/>
      </c>
      <c r="J1048" s="1409" t="str">
        <f t="shared" si="205"/>
        <v/>
      </c>
      <c r="K1048" s="1409" t="str">
        <f t="shared" si="202"/>
        <v/>
      </c>
      <c r="L1048" s="897" t="s">
        <v>1514</v>
      </c>
      <c r="M1048" s="1410">
        <v>1031</v>
      </c>
      <c r="N1048" s="1409"/>
      <c r="O1048" s="18"/>
      <c r="P1048" s="1409" t="str" cm="1">
        <f t="array" aca="1" ref="P1048" ca="1">_xlfn.CONCAT("F",RIGHT(B1048, LEN(B1048) - MAX(IF(ISNUMBER(MID(B1048, ROW(INDIRECT("1:"&amp;LEN(B1048))), 1) *1)=FALSE, ROW(INDIRECT("1:"&amp;LEN(B1048))), 0))))</f>
        <v>F375</v>
      </c>
      <c r="Q1048" s="1409" t="str" cm="1">
        <f t="array" aca="1" ref="Q1048" ca="1">_xlfn.CONCAT("E",RIGHT(C1048, LEN(C1048) - MAX(IF(ISNUMBER(MID(C1048, ROW(INDIRECT("1:"&amp;LEN(C1048))), 1) *1)=FALSE, ROW(INDIRECT("1:"&amp;LEN(C1048))), 0))))</f>
        <v>E375</v>
      </c>
      <c r="R1048" s="1409" t="s">
        <v>1142</v>
      </c>
      <c r="S1048" s="1408"/>
      <c r="T1048" s="1409" t="str">
        <f>IF(Q$1038="Yes",26,"")</f>
        <v/>
      </c>
      <c r="U1048" s="1408"/>
      <c r="V1048" s="1408"/>
      <c r="W1048" s="1408"/>
      <c r="X1048" s="1408"/>
      <c r="Y1048" s="1408"/>
      <c r="Z1048" s="1408"/>
      <c r="AA1048" s="1408"/>
    </row>
    <row r="1049" spans="1:27" x14ac:dyDescent="0.25">
      <c r="A1049" s="929" t="s">
        <v>1511</v>
      </c>
      <c r="B1049" s="897" t="str">
        <f ca="1">_xlfn.CONCAT(IFERROR(SUBSTITUTE(ADDRESS(1,MATCH(A1049,INDIRECT("'"&amp;E1049&amp;"'"&amp;"!A" &amp; $O$1038 + 8 &amp; ":Z" &amp; $O$1038 + 8),0),4),1,""),""),$O$1038+ 8)</f>
        <v>H373</v>
      </c>
      <c r="C1049" s="897" t="str">
        <f ca="1">_xlfn.CONCAT(IFERROR(SUBSTITUTE(ADDRESS(1,MATCH(A1049,INDIRECT("'"&amp;E1049&amp;"'"&amp;"!A" &amp; $O$1038 + 8 &amp; ":Z" &amp; $O$1038 + 8),0),4),1,""),""),$O$1038+ 9)</f>
        <v>H374</v>
      </c>
      <c r="D1049" s="897" t="s">
        <v>1367</v>
      </c>
      <c r="E1049" s="897" t="s">
        <v>1535</v>
      </c>
      <c r="F1049" s="1409" t="s">
        <v>1511</v>
      </c>
      <c r="G1049" s="1409" t="str">
        <f>IF(T1049&lt;&gt;"","AL","")</f>
        <v/>
      </c>
      <c r="H1049" s="1409" t="s">
        <v>1926</v>
      </c>
      <c r="I1049" s="857" t="str">
        <f t="shared" si="201"/>
        <v/>
      </c>
      <c r="J1049" s="1409" t="str">
        <f t="shared" si="205"/>
        <v/>
      </c>
      <c r="K1049" s="1409" t="str">
        <f t="shared" si="202"/>
        <v/>
      </c>
      <c r="L1049" s="897" t="s">
        <v>1511</v>
      </c>
      <c r="M1049" s="1410">
        <v>1032</v>
      </c>
      <c r="N1049" s="1409"/>
      <c r="O1049" s="1408"/>
      <c r="P1049" s="1408"/>
      <c r="Q1049" s="1408"/>
      <c r="R1049" s="1409" t="s">
        <v>1142</v>
      </c>
      <c r="S1049" s="1408"/>
      <c r="T1049" s="1409" t="str">
        <f>IF(Q$1038="Yes",26,"")</f>
        <v/>
      </c>
      <c r="U1049" s="1408"/>
      <c r="V1049" s="1408"/>
      <c r="W1049" s="1408"/>
      <c r="X1049" s="1408"/>
      <c r="Y1049" s="1408"/>
      <c r="Z1049" s="1408"/>
      <c r="AA1049" s="1408"/>
    </row>
    <row r="1050" spans="1:27" x14ac:dyDescent="0.25">
      <c r="A1050" s="929" t="s">
        <v>1406</v>
      </c>
      <c r="B1050" s="897" t="str">
        <f ca="1">_xlfn.CONCAT(IFERROR(SUBSTITUTE(ADDRESS(1,MATCH(A1050,INDIRECT("'"&amp;E1050&amp;"'"&amp;"!A" &amp; $O$1038 + 5 &amp; ":Z" &amp; $O$1038 + 5),0),4),1,""),""),$O$1038+ 5)</f>
        <v>L370</v>
      </c>
      <c r="C1050" s="897" t="str">
        <f ca="1">_xlfn.CONCAT(IFERROR(SUBSTITUTE(ADDRESS(1,MATCH(A1050,INDIRECT("'"&amp;E1050&amp;"'"&amp;"!A" &amp; $O$1038 + 5 &amp; ":Z" &amp; $O$1038 + 5),0),4),1,""),""),$O$1038+ 6)</f>
        <v>L371</v>
      </c>
      <c r="D1050" s="897" t="s">
        <v>1367</v>
      </c>
      <c r="E1050" s="897" t="s">
        <v>1535</v>
      </c>
      <c r="F1050" s="1409" t="s">
        <v>1896</v>
      </c>
      <c r="G1050" s="1409" t="str">
        <f>IF(T1050&lt;&gt;"","O","")</f>
        <v/>
      </c>
      <c r="H1050" s="1409" t="s">
        <v>1926</v>
      </c>
      <c r="I1050" s="857" t="str">
        <f t="shared" si="201"/>
        <v/>
      </c>
      <c r="J1050" s="1409"/>
      <c r="K1050" s="1409" t="str">
        <f t="shared" si="202"/>
        <v/>
      </c>
      <c r="L1050" s="897" t="s">
        <v>1406</v>
      </c>
      <c r="M1050" s="1410">
        <v>1033</v>
      </c>
      <c r="N1050" s="1409"/>
      <c r="O1050" s="1408"/>
      <c r="P1050" s="1408"/>
      <c r="Q1050" s="1408"/>
      <c r="R1050" s="1409" t="s">
        <v>1142</v>
      </c>
      <c r="S1050" s="1408"/>
      <c r="T1050" s="1409" t="str">
        <f t="shared" ref="T1050" si="209">IF(Q$1038="Yes",26,"")</f>
        <v/>
      </c>
      <c r="U1050" s="1408"/>
      <c r="V1050" s="1408"/>
      <c r="W1050" s="1408"/>
      <c r="X1050" s="1408"/>
      <c r="Y1050" s="1408"/>
      <c r="Z1050" s="1408"/>
      <c r="AA1050" s="1408"/>
    </row>
    <row r="1051" spans="1:27" x14ac:dyDescent="0.25">
      <c r="A1051" s="926" t="s">
        <v>1510</v>
      </c>
      <c r="B1051" s="897" t="str">
        <f ca="1">IFERROR(_xlfn.CONCAT("C",MATCH(A1051,INDIRECT("'"&amp;E1051&amp;"'!C"&amp;$O$1052&amp;":C"&amp;$O$1054),0)+$O$1052-1),"")</f>
        <v>C383</v>
      </c>
      <c r="C1051" s="897" t="str">
        <f ca="1">IFERROR(_xlfn.CONCAT("D",MATCH(A1051,INDIRECT("'"&amp;E1051&amp;"'!C"&amp;$O$1052&amp;":C"&amp;$O$1054),0)+$O$1052-1),"")</f>
        <v>D383</v>
      </c>
      <c r="D1051" s="897" t="s">
        <v>1367</v>
      </c>
      <c r="E1051" s="897" t="s">
        <v>1535</v>
      </c>
      <c r="F1051" s="1409" t="s">
        <v>1510</v>
      </c>
      <c r="G1051" s="1409" t="str">
        <f>IF(T1051&lt;&gt;"","A","")</f>
        <v/>
      </c>
      <c r="H1051" s="1409" t="s">
        <v>1926</v>
      </c>
      <c r="I1051" s="857" t="str">
        <f t="shared" si="201"/>
        <v/>
      </c>
      <c r="J1051" s="1409"/>
      <c r="K1051" s="1409" t="str">
        <f t="shared" si="202"/>
        <v/>
      </c>
      <c r="L1051" s="897" t="s">
        <v>1510</v>
      </c>
      <c r="M1051" s="1410">
        <v>1034</v>
      </c>
      <c r="N1051" s="1409"/>
      <c r="O1051" s="1408" t="s">
        <v>726</v>
      </c>
      <c r="P1051" s="18"/>
      <c r="Q1051" s="1408"/>
      <c r="R1051" s="1409" t="s">
        <v>1719</v>
      </c>
      <c r="S1051" s="1408"/>
      <c r="T1051" s="1409" t="str">
        <f>IF(Q$1052="Yes",27,"")</f>
        <v/>
      </c>
      <c r="U1051" s="1408"/>
      <c r="V1051" s="1408"/>
      <c r="W1051" s="1408"/>
      <c r="X1051" s="1408"/>
      <c r="Y1051" s="1408"/>
      <c r="Z1051" s="1408"/>
      <c r="AA1051" s="1408"/>
    </row>
    <row r="1052" spans="1:27" x14ac:dyDescent="0.25">
      <c r="A1052" s="926" t="s">
        <v>1724</v>
      </c>
      <c r="B1052" s="897" t="str">
        <f ca="1">_xlfn.CONCAT(IFERROR(SUBSTITUTE(ADDRESS(1,MATCH(A1052,INDIRECT("'"&amp;E1052&amp;"'"&amp;"!A" &amp; $O$1052 + 11 &amp; ":Z" &amp; $O$1052 + 11),0),4),1,""),""),$O$1052+ 11)</f>
        <v>T390</v>
      </c>
      <c r="C1052" s="897" t="str">
        <f ca="1">_xlfn.CONCAT(IFERROR(SUBSTITUTE(ADDRESS(1,MATCH(A1052,INDIRECT("'"&amp;E1052&amp;"'"&amp;"!A" &amp; $O$1052 + 11 &amp; ":Z" &amp; $O$1052 + 11),0),4),1,""),""),$O$1052+ 12)</f>
        <v>T391</v>
      </c>
      <c r="D1052" s="897" t="s">
        <v>1367</v>
      </c>
      <c r="E1052" s="897" t="s">
        <v>1535</v>
      </c>
      <c r="F1052" s="1409"/>
      <c r="G1052" s="1409"/>
      <c r="H1052" s="1409"/>
      <c r="I1052" s="857" t="str">
        <f t="shared" si="201"/>
        <v/>
      </c>
      <c r="J1052" s="1409" t="str">
        <f t="shared" ref="J1052:J1067" si="210">IF(M1052&lt;&gt;"",IF($Q$1052="Yes",Q$1&amp;M1052,""))</f>
        <v/>
      </c>
      <c r="K1052" s="1409" t="str">
        <f t="shared" si="202"/>
        <v/>
      </c>
      <c r="L1052" s="897" t="s">
        <v>1724</v>
      </c>
      <c r="M1052" s="1410">
        <v>1035</v>
      </c>
      <c r="N1052" s="1409"/>
      <c r="O1052" s="1408">
        <f>'Configurable Tab'!H29</f>
        <v>379</v>
      </c>
      <c r="P1052" s="18">
        <f>'Configurable Tab'!J29</f>
        <v>0</v>
      </c>
      <c r="Q1052" s="1408" t="s">
        <v>649</v>
      </c>
      <c r="R1052" s="1409" t="s">
        <v>1719</v>
      </c>
      <c r="S1052" s="1408"/>
      <c r="T1052" s="1409" t="str">
        <f t="shared" ref="T1052:T1057" si="211">IF(Q$1052="Yes",27,"")</f>
        <v/>
      </c>
      <c r="U1052" s="1408"/>
      <c r="V1052" s="1408"/>
      <c r="W1052" s="1408"/>
      <c r="X1052" s="1408"/>
      <c r="Y1052" s="1408"/>
      <c r="Z1052" s="1408"/>
      <c r="AA1052" s="1408"/>
    </row>
    <row r="1053" spans="1:27" x14ac:dyDescent="0.25">
      <c r="A1053" s="926" t="s">
        <v>1400</v>
      </c>
      <c r="B1053" s="897" t="str">
        <f ca="1">IFERROR(_xlfn.CONCAT("C",MATCH(A1053,INDIRECT("'"&amp;E1053&amp;"'!C"&amp;$O$1052&amp;":C"&amp;$O$1054),0)+$O$1052-1),"")</f>
        <v>C381</v>
      </c>
      <c r="C1053" s="897" t="str">
        <f ca="1">IFERROR(_xlfn.CONCAT("D",MATCH(A1053,INDIRECT("'"&amp;E1053&amp;"'!C"&amp;$O$1052&amp;":C"&amp;$O$1054),0)+$O$1052-1),"")</f>
        <v>D381</v>
      </c>
      <c r="D1053" s="897" t="s">
        <v>1367</v>
      </c>
      <c r="E1053" s="897" t="s">
        <v>1535</v>
      </c>
      <c r="F1053" s="1409" t="s">
        <v>1400</v>
      </c>
      <c r="G1053" s="1409" t="str">
        <f>IF(T1053&lt;&gt;"","B","")</f>
        <v/>
      </c>
      <c r="H1053" s="1409" t="s">
        <v>1926</v>
      </c>
      <c r="I1053" s="857" t="str">
        <f t="shared" si="201"/>
        <v/>
      </c>
      <c r="J1053" s="1409"/>
      <c r="K1053" s="1409" t="str">
        <f t="shared" si="202"/>
        <v/>
      </c>
      <c r="L1053" s="897" t="s">
        <v>1400</v>
      </c>
      <c r="M1053" s="1410">
        <v>1036</v>
      </c>
      <c r="N1053" s="1409"/>
      <c r="O1053" s="1408" t="s">
        <v>727</v>
      </c>
      <c r="P1053" s="1408"/>
      <c r="Q1053" s="1408"/>
      <c r="R1053" s="1409" t="s">
        <v>1719</v>
      </c>
      <c r="S1053" s="1408"/>
      <c r="T1053" s="1409" t="str">
        <f t="shared" si="211"/>
        <v/>
      </c>
      <c r="U1053" s="1408"/>
      <c r="V1053" s="1408"/>
      <c r="W1053" s="1408"/>
      <c r="X1053" s="1408"/>
      <c r="Y1053" s="1408"/>
      <c r="Z1053" s="1408"/>
      <c r="AA1053" s="1408"/>
    </row>
    <row r="1054" spans="1:27" x14ac:dyDescent="0.25">
      <c r="A1054" s="926" t="s">
        <v>1398</v>
      </c>
      <c r="B1054" s="897" t="str">
        <f ca="1">_xlfn.CONCAT(IFERROR(SUBSTITUTE(ADDRESS(1,MATCH(A1054,INDIRECT("'"&amp;E1054&amp;"'"&amp;"!A" &amp; $O$1052 + 2 &amp; ":Z" &amp; $O$1052 + 2),0),4),1,""),""),$O$1052+ 2)</f>
        <v>J381</v>
      </c>
      <c r="C1054" s="897" t="str">
        <f ca="1">_xlfn.CONCAT(IFERROR(SUBSTITUTE(ADDRESS(1,MATCH(A1054,INDIRECT("'"&amp;E1054&amp;"'"&amp;"!A" &amp; $O$1052 + 2 &amp; ":Z" &amp; $O$1052 + 2),0),4),1,""),""),$O$1052+ 3)</f>
        <v>J382</v>
      </c>
      <c r="D1054" s="897" t="s">
        <v>1367</v>
      </c>
      <c r="E1054" s="897" t="s">
        <v>1535</v>
      </c>
      <c r="F1054" s="1409" t="s">
        <v>1928</v>
      </c>
      <c r="G1054" s="1409" t="str">
        <f>IF(T1054&lt;&gt;"","I","")</f>
        <v/>
      </c>
      <c r="H1054" s="1409" t="s">
        <v>1926</v>
      </c>
      <c r="I1054" s="857" t="str">
        <f t="shared" si="201"/>
        <v/>
      </c>
      <c r="J1054" s="1409" t="str">
        <f t="shared" si="210"/>
        <v/>
      </c>
      <c r="K1054" s="1409" t="str">
        <f t="shared" si="202"/>
        <v/>
      </c>
      <c r="L1054" s="897" t="s">
        <v>1398</v>
      </c>
      <c r="M1054" s="1410">
        <v>1037</v>
      </c>
      <c r="N1054" s="1409"/>
      <c r="O1054" s="1408">
        <f>'Configurable Tab'!I29</f>
        <v>392</v>
      </c>
      <c r="P1054" s="1408"/>
      <c r="Q1054" s="1408" t="s">
        <v>482</v>
      </c>
      <c r="R1054" s="1409" t="s">
        <v>1719</v>
      </c>
      <c r="S1054" s="1408"/>
      <c r="T1054" s="1409" t="str">
        <f t="shared" si="211"/>
        <v/>
      </c>
      <c r="U1054" s="1408"/>
      <c r="V1054" s="1408"/>
      <c r="W1054" s="1408"/>
      <c r="X1054" s="1408"/>
      <c r="Y1054" s="1408"/>
      <c r="Z1054" s="1408"/>
      <c r="AA1054" s="1408"/>
    </row>
    <row r="1055" spans="1:27" x14ac:dyDescent="0.25">
      <c r="A1055" s="926" t="s">
        <v>1399</v>
      </c>
      <c r="B1055" s="897" t="str">
        <f ca="1">_xlfn.CONCAT(IFERROR(SUBSTITUTE(ADDRESS(1,MATCH(A1055,INDIRECT("'"&amp;E1055&amp;"'"&amp;"!A" &amp; $O$1052 + 2 &amp; ":Z" &amp; $O$1052 + 2),0),4),1,""),""),$O$1052+ 2)</f>
        <v>N381</v>
      </c>
      <c r="C1055" s="897" t="str">
        <f ca="1">_xlfn.CONCAT(IFERROR(SUBSTITUTE(ADDRESS(1,MATCH(A1055,INDIRECT("'"&amp;E1055&amp;"'"&amp;"!A" &amp; $O$1052 + 2 &amp; ":Z" &amp; $O$1052 + 2),0),4),1,""),""),$O$1052+ 3)</f>
        <v>N382</v>
      </c>
      <c r="D1055" s="897" t="s">
        <v>1367</v>
      </c>
      <c r="E1055" s="897" t="s">
        <v>1535</v>
      </c>
      <c r="F1055" s="1409" t="s">
        <v>1399</v>
      </c>
      <c r="G1055" s="1409" t="str">
        <f>IF(T1055&lt;&gt;"",IF(Q1054="Credit Memo","J",IF(Q1054="Check","K","")),"")</f>
        <v/>
      </c>
      <c r="H1055" s="1409" t="s">
        <v>1926</v>
      </c>
      <c r="I1055" s="857" t="str">
        <f t="shared" si="201"/>
        <v/>
      </c>
      <c r="J1055" s="1409" t="str">
        <f t="shared" si="210"/>
        <v/>
      </c>
      <c r="K1055" s="1409" t="str">
        <f t="shared" si="202"/>
        <v/>
      </c>
      <c r="L1055" s="897" t="s">
        <v>1399</v>
      </c>
      <c r="M1055" s="1410">
        <v>1038</v>
      </c>
      <c r="N1055" s="1409"/>
      <c r="O1055" s="1408" t="s">
        <v>1673</v>
      </c>
      <c r="P1055" s="1408"/>
      <c r="Q1055" s="1408"/>
      <c r="R1055" s="1409" t="s">
        <v>1719</v>
      </c>
      <c r="S1055" s="1408"/>
      <c r="T1055" s="1409" t="str">
        <f t="shared" si="211"/>
        <v/>
      </c>
      <c r="U1055" s="1408"/>
      <c r="V1055" s="1408"/>
      <c r="W1055" s="1408"/>
      <c r="X1055" s="1408"/>
      <c r="Y1055" s="1408"/>
      <c r="Z1055" s="1408"/>
      <c r="AA1055" s="1408"/>
    </row>
    <row r="1056" spans="1:27" x14ac:dyDescent="0.25">
      <c r="A1056" s="926" t="s">
        <v>1402</v>
      </c>
      <c r="B1056" s="897" t="str">
        <f ca="1">IFERROR(_xlfn.CONCAT("C",MATCH(A1056,INDIRECT("'"&amp;E1056&amp;"'!C"&amp;$O$1052&amp;":C"&amp;$O$1054),0)+$O$1052-1),"")</f>
        <v>C385</v>
      </c>
      <c r="C1056" s="897" t="str">
        <f ca="1">IFERROR(_xlfn.CONCAT("D",MATCH(A1056,INDIRECT("'"&amp;E1056&amp;"'!C"&amp;$O$1052&amp;":C"&amp;$O$1054),0)+$O$1052-1),"")</f>
        <v>D385</v>
      </c>
      <c r="D1056" s="897" t="s">
        <v>1367</v>
      </c>
      <c r="E1056" s="897" t="s">
        <v>1535</v>
      </c>
      <c r="F1056" s="1409" t="s">
        <v>1402</v>
      </c>
      <c r="G1056" s="1409" t="str">
        <f>IF(T1056&lt;&gt;"","C","")</f>
        <v/>
      </c>
      <c r="H1056" s="1409" t="s">
        <v>1926</v>
      </c>
      <c r="I1056" s="857" t="str">
        <f t="shared" si="201"/>
        <v/>
      </c>
      <c r="J1056" s="1409"/>
      <c r="K1056" s="1409" t="str">
        <f t="shared" si="202"/>
        <v/>
      </c>
      <c r="L1056" s="897" t="s">
        <v>1402</v>
      </c>
      <c r="M1056" s="1410">
        <v>1039</v>
      </c>
      <c r="N1056" s="1409"/>
      <c r="O1056" s="1408"/>
      <c r="P1056" s="1408"/>
      <c r="Q1056" s="1408"/>
      <c r="R1056" s="1409" t="s">
        <v>1719</v>
      </c>
      <c r="S1056" s="1408"/>
      <c r="T1056" s="1409" t="str">
        <f t="shared" si="211"/>
        <v/>
      </c>
      <c r="U1056" s="1408"/>
      <c r="V1056" s="1408"/>
      <c r="W1056" s="1408"/>
      <c r="X1056" s="1408"/>
      <c r="Y1056" s="1408"/>
      <c r="Z1056" s="1408"/>
      <c r="AA1056" s="1408"/>
    </row>
    <row r="1057" spans="1:27" x14ac:dyDescent="0.25">
      <c r="A1057" s="926" t="s">
        <v>1403</v>
      </c>
      <c r="B1057" s="897" t="str">
        <f ca="1">IFERROR(_xlfn.CONCAT("C",MATCH(A1057,INDIRECT("'"&amp;E1057&amp;"'!C"&amp;$O$1052&amp;":C"&amp;$O$1054),0)+$O$1052-1),"")</f>
        <v>C387</v>
      </c>
      <c r="C1057" s="897" t="str">
        <f ca="1">IFERROR(_xlfn.CONCAT("D",MATCH(A1057,INDIRECT("'"&amp;E1057&amp;"'!C"&amp;$O$1052&amp;":C"&amp;$O$1054),0)+$O$1052-1),"")</f>
        <v>D387</v>
      </c>
      <c r="D1057" s="897" t="s">
        <v>1367</v>
      </c>
      <c r="E1057" s="897" t="s">
        <v>1535</v>
      </c>
      <c r="F1057" s="1409" t="s">
        <v>1403</v>
      </c>
      <c r="G1057" s="1409" t="str">
        <f>IF(T1057&lt;&gt;"","D","")</f>
        <v/>
      </c>
      <c r="H1057" s="1409" t="s">
        <v>1926</v>
      </c>
      <c r="I1057" s="857" t="str">
        <f t="shared" si="201"/>
        <v/>
      </c>
      <c r="J1057" s="1409"/>
      <c r="K1057" s="1409" t="str">
        <f t="shared" si="202"/>
        <v/>
      </c>
      <c r="L1057" s="897" t="s">
        <v>1403</v>
      </c>
      <c r="M1057" s="1410">
        <v>1040</v>
      </c>
      <c r="N1057" s="1409"/>
      <c r="O1057" s="1408"/>
      <c r="P1057" s="1408"/>
      <c r="Q1057" s="1408"/>
      <c r="R1057" s="1409" t="s">
        <v>1719</v>
      </c>
      <c r="S1057" s="1408"/>
      <c r="T1057" s="1409" t="str">
        <f t="shared" si="211"/>
        <v/>
      </c>
      <c r="U1057" s="1408"/>
      <c r="V1057" s="1408"/>
      <c r="W1057" s="1408"/>
      <c r="X1057" s="1408"/>
      <c r="Y1057" s="1408"/>
      <c r="Z1057" s="1408"/>
      <c r="AA1057" s="1408"/>
    </row>
    <row r="1058" spans="1:27" x14ac:dyDescent="0.25">
      <c r="A1058" s="926" t="s">
        <v>1514</v>
      </c>
      <c r="B1058" s="897" t="str">
        <f ca="1">IFERROR(_xlfn.CONCAT("C",MATCH(A1058,INDIRECT("'"&amp;E1058&amp;"'!C"&amp;$O$1052&amp;":C"&amp;$O$1054),0)+$O$1052-1),"")</f>
        <v>C389</v>
      </c>
      <c r="C1058" s="897" t="str">
        <f ca="1">IFERROR(_xlfn.CONCAT("D",MATCH(A1058,INDIRECT("'"&amp;E1058&amp;"'!C"&amp;$O$1052&amp;":C"&amp;$O$1054),0)+$O$1052-1),"")</f>
        <v>D389</v>
      </c>
      <c r="D1058" s="897" t="s">
        <v>1367</v>
      </c>
      <c r="E1058" s="897" t="s">
        <v>1535</v>
      </c>
      <c r="F1058" s="1409" t="s">
        <v>1514</v>
      </c>
      <c r="G1058" s="1409" t="str">
        <f>IF(T1058&lt;&gt;"","AN","")</f>
        <v/>
      </c>
      <c r="H1058" s="1409" t="s">
        <v>1926</v>
      </c>
      <c r="I1058" s="857" t="str">
        <f t="shared" si="201"/>
        <v/>
      </c>
      <c r="J1058" s="1409" t="str">
        <f t="shared" si="210"/>
        <v/>
      </c>
      <c r="K1058" s="1409" t="str">
        <f t="shared" si="202"/>
        <v/>
      </c>
      <c r="L1058" s="897" t="s">
        <v>1514</v>
      </c>
      <c r="M1058" s="1410">
        <v>1041</v>
      </c>
      <c r="N1058" s="1409"/>
      <c r="O1058" s="18"/>
      <c r="P1058" s="1409" t="str" cm="1">
        <f t="array" aca="1" ref="P1058" ca="1">_xlfn.CONCAT("F",RIGHT(B1058, LEN(B1058) - MAX(IF(ISNUMBER(MID(B1058, ROW(INDIRECT("1:"&amp;LEN(B1058))), 1) *1)=FALSE, ROW(INDIRECT("1:"&amp;LEN(B1058))), 0))))</f>
        <v>F389</v>
      </c>
      <c r="Q1058" s="1409" t="str" cm="1">
        <f t="array" aca="1" ref="Q1058" ca="1">_xlfn.CONCAT("E",RIGHT(C1058, LEN(C1058) - MAX(IF(ISNUMBER(MID(C1058, ROW(INDIRECT("1:"&amp;LEN(C1058))), 1) *1)=FALSE, ROW(INDIRECT("1:"&amp;LEN(C1058))), 0))))</f>
        <v>E389</v>
      </c>
      <c r="R1058" s="1409" t="s">
        <v>1719</v>
      </c>
      <c r="S1058" s="1408"/>
      <c r="T1058" s="1409" t="str">
        <f>IF(Q$1052="Yes",27,"")</f>
        <v/>
      </c>
      <c r="U1058" s="1408"/>
      <c r="V1058" s="1408"/>
      <c r="W1058" s="1408"/>
      <c r="X1058" s="1408"/>
      <c r="Y1058" s="1408"/>
      <c r="Z1058" s="1408"/>
      <c r="AA1058" s="1408"/>
    </row>
    <row r="1059" spans="1:27" x14ac:dyDescent="0.25">
      <c r="A1059" s="926" t="s">
        <v>1511</v>
      </c>
      <c r="B1059" s="897" t="str">
        <f ca="1">_xlfn.CONCAT(IFERROR(SUBSTITUTE(ADDRESS(1,MATCH(A1059,INDIRECT("'"&amp;E1059&amp;"'"&amp;"!A" &amp; $O$1052 + 11 &amp; ":Z" &amp; $O$1052 + 11),0),4),1,""),""),$O$1052+ 11)</f>
        <v>H390</v>
      </c>
      <c r="C1059" s="897" t="str">
        <f ca="1">_xlfn.CONCAT(IFERROR(SUBSTITUTE(ADDRESS(1,MATCH(A1059,INDIRECT("'"&amp;E1059&amp;"'"&amp;"!A" &amp; $O$1052 + 11 &amp; ":Z" &amp; $O$1052 + 11),0),4),1,""),""),$O$1052+ 12)</f>
        <v>H391</v>
      </c>
      <c r="D1059" s="897" t="s">
        <v>1367</v>
      </c>
      <c r="E1059" s="897" t="s">
        <v>1535</v>
      </c>
      <c r="F1059" s="1409" t="s">
        <v>1511</v>
      </c>
      <c r="G1059" s="1409" t="str">
        <f>IF(T1059&lt;&gt;"","AL","")</f>
        <v/>
      </c>
      <c r="H1059" s="1409" t="s">
        <v>1926</v>
      </c>
      <c r="I1059" s="857" t="str">
        <f t="shared" si="201"/>
        <v/>
      </c>
      <c r="J1059" s="1409" t="str">
        <f t="shared" si="210"/>
        <v/>
      </c>
      <c r="K1059" s="1409" t="str">
        <f t="shared" si="202"/>
        <v/>
      </c>
      <c r="L1059" s="897" t="s">
        <v>1511</v>
      </c>
      <c r="M1059" s="1410">
        <v>1042</v>
      </c>
      <c r="N1059" s="1409"/>
      <c r="O1059" s="1408"/>
      <c r="P1059" s="1408"/>
      <c r="Q1059" s="1408"/>
      <c r="R1059" s="1409" t="s">
        <v>1719</v>
      </c>
      <c r="S1059" s="1408"/>
      <c r="T1059" s="1409" t="str">
        <f>IF(Q$1052="Yes",27,"")</f>
        <v/>
      </c>
      <c r="U1059" s="1408"/>
      <c r="V1059" s="1408"/>
      <c r="W1059" s="1408"/>
      <c r="X1059" s="1408"/>
      <c r="Y1059" s="1408"/>
      <c r="Z1059" s="1408"/>
      <c r="AA1059" s="1408"/>
    </row>
    <row r="1060" spans="1:27" x14ac:dyDescent="0.25">
      <c r="A1060" s="926" t="s">
        <v>1413</v>
      </c>
      <c r="B1060" s="897" t="str">
        <f ca="1">_xlfn.CONCAT(IFERROR(SUBSTITUTE(ADDRESS(1,MATCH(A1060,INDIRECT("'"&amp;E1060&amp;"'"&amp;"!A" &amp; $O$1052 + 5 &amp; ":Z" &amp; $O$1052 + 5),0),4),1,""),""),$O$1052+ 5)</f>
        <v>H384</v>
      </c>
      <c r="C1060" s="897" t="str">
        <f ca="1">_xlfn.CONCAT(IFERROR(SUBSTITUTE(ADDRESS(1,MATCH(A1060,INDIRECT("'"&amp;E1060&amp;"'"&amp;"!A" &amp; $O$1052 + 5 &amp; ":Z" &amp; $O$1052 + 5),0),4),1,""),""),$O$1052+ 6)</f>
        <v>H385</v>
      </c>
      <c r="D1060" s="897" t="s">
        <v>1367</v>
      </c>
      <c r="E1060" s="897" t="s">
        <v>1535</v>
      </c>
      <c r="F1060" s="1409" t="s">
        <v>1413</v>
      </c>
      <c r="G1060" s="1409" t="str">
        <f>IF(T1060&lt;&gt;"","S","")</f>
        <v/>
      </c>
      <c r="H1060" s="1409" t="s">
        <v>1926</v>
      </c>
      <c r="I1060" s="857" t="str">
        <f t="shared" si="201"/>
        <v/>
      </c>
      <c r="J1060" s="1409" t="str">
        <f t="shared" si="210"/>
        <v/>
      </c>
      <c r="K1060" s="1409" t="str">
        <f t="shared" si="202"/>
        <v/>
      </c>
      <c r="L1060" s="897" t="s">
        <v>1413</v>
      </c>
      <c r="M1060" s="1410">
        <v>1043</v>
      </c>
      <c r="N1060" s="1409"/>
      <c r="O1060" s="1408"/>
      <c r="P1060" s="1408"/>
      <c r="Q1060" s="1408"/>
      <c r="R1060" s="1409" t="s">
        <v>1719</v>
      </c>
      <c r="S1060" s="1408"/>
      <c r="T1060" s="1409" t="str">
        <f>IF(Q$1052="Yes",27,"")</f>
        <v/>
      </c>
      <c r="U1060" s="1408"/>
      <c r="V1060" s="1408"/>
      <c r="W1060" s="1408"/>
      <c r="X1060" s="1408"/>
      <c r="Y1060" s="1408"/>
      <c r="Z1060" s="1408"/>
      <c r="AA1060" s="1408"/>
    </row>
    <row r="1061" spans="1:27" x14ac:dyDescent="0.25">
      <c r="A1061" s="926" t="s">
        <v>1493</v>
      </c>
      <c r="B1061" s="897" t="str">
        <f ca="1">_xlfn.CONCAT(IFERROR(SUBSTITUTE(ADDRESS(1,MATCH(A1061,INDIRECT("'"&amp;E1061&amp;"'"&amp;"!A" &amp; $O$1052 + 5 &amp; ":Z" &amp; $O$1052 + 5),0),4),1,""),""),$O$1052+ 5)</f>
        <v>J384</v>
      </c>
      <c r="C1061" s="897" t="str">
        <f ca="1">_xlfn.CONCAT(IFERROR(SUBSTITUTE(ADDRESS(1,MATCH(A1061,INDIRECT("'"&amp;E1061&amp;"'"&amp;"!A" &amp; $O$1052 + 5 &amp; ":Z" &amp; $O$1052 + 5),0),4),1,""),""),$O$1052+ 6)</f>
        <v>J385</v>
      </c>
      <c r="D1061" s="897" t="s">
        <v>1367</v>
      </c>
      <c r="E1061" s="897" t="s">
        <v>1535</v>
      </c>
      <c r="F1061" s="1409"/>
      <c r="G1061" s="1409"/>
      <c r="H1061" s="1409"/>
      <c r="I1061" s="857" t="str">
        <f t="shared" si="201"/>
        <v/>
      </c>
      <c r="J1061" s="1409" t="str">
        <f t="shared" si="210"/>
        <v/>
      </c>
      <c r="K1061" s="1409" t="str">
        <f t="shared" si="202"/>
        <v/>
      </c>
      <c r="L1061" s="897" t="s">
        <v>1493</v>
      </c>
      <c r="M1061" s="1410">
        <v>1044</v>
      </c>
      <c r="N1061" s="1409"/>
      <c r="O1061" s="1408"/>
      <c r="P1061" s="1408"/>
      <c r="Q1061" s="1408"/>
      <c r="R1061" s="1409" t="s">
        <v>1719</v>
      </c>
      <c r="S1061" s="1408"/>
      <c r="T1061" s="1408"/>
      <c r="U1061" s="1408"/>
      <c r="V1061" s="1408"/>
      <c r="W1061" s="1408"/>
      <c r="X1061" s="1408"/>
      <c r="Y1061" s="1408"/>
      <c r="Z1061" s="1408"/>
      <c r="AA1061" s="1408"/>
    </row>
    <row r="1062" spans="1:27" x14ac:dyDescent="0.25">
      <c r="A1062" s="926" t="s">
        <v>1494</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1367</v>
      </c>
      <c r="E1062" s="897" t="s">
        <v>1535</v>
      </c>
      <c r="F1062" s="858" t="s">
        <v>1494</v>
      </c>
      <c r="G1062" s="52" t="s">
        <v>1933</v>
      </c>
      <c r="H1062" s="52" t="s">
        <v>1912</v>
      </c>
      <c r="I1062" s="857" t="str">
        <f t="shared" si="201"/>
        <v/>
      </c>
      <c r="J1062" s="1409" t="str">
        <f t="shared" si="210"/>
        <v/>
      </c>
      <c r="K1062" s="1409" t="str">
        <f t="shared" si="202"/>
        <v/>
      </c>
      <c r="L1062" s="897" t="s">
        <v>1494</v>
      </c>
      <c r="M1062" s="1410">
        <v>1045</v>
      </c>
      <c r="N1062" s="1409"/>
      <c r="O1062" s="1408"/>
      <c r="P1062" s="1408"/>
      <c r="Q1062" s="1408"/>
      <c r="R1062" s="1409" t="s">
        <v>1719</v>
      </c>
      <c r="S1062" s="1408"/>
      <c r="T1062" s="1408"/>
      <c r="U1062" s="1408"/>
      <c r="V1062" s="1408"/>
      <c r="W1062" s="1408"/>
      <c r="X1062" s="1408"/>
      <c r="Y1062" s="1408"/>
      <c r="Z1062" s="1408"/>
      <c r="AA1062" s="1408"/>
    </row>
    <row r="1063" spans="1:27" ht="30" x14ac:dyDescent="0.25">
      <c r="A1063" s="920" t="s">
        <v>1498</v>
      </c>
      <c r="B1063" s="897" t="str">
        <f ca="1">_xlfn.CONCAT(IFERROR(SUBSTITUTE(ADDRESS(1,MATCH(A1063,INDIRECT("'"&amp;E1063&amp;"'"&amp;"!A" &amp; $O$1052 + 8 &amp; ":Z" &amp; $O$1052 + 8),0),4),1,""),""),$O$1052+ 8)</f>
        <v>J387</v>
      </c>
      <c r="C1063" s="897" t="str">
        <f ca="1">_xlfn.CONCAT(IFERROR(SUBSTITUTE(ADDRESS(1,MATCH(A1063,INDIRECT("'"&amp;E1063&amp;"'"&amp;"!A" &amp; $O$1052 + 8 &amp; ":Z" &amp; $O$1052 + 8),0),4),1,""),""),$O$1052+ 9)</f>
        <v>J388</v>
      </c>
      <c r="D1063" s="897" t="s">
        <v>1367</v>
      </c>
      <c r="E1063" s="897" t="s">
        <v>1535</v>
      </c>
      <c r="F1063" s="1409" t="s">
        <v>1498</v>
      </c>
      <c r="G1063" s="1409" t="str">
        <f>IF(T1063&lt;&gt;"","AY","")</f>
        <v/>
      </c>
      <c r="H1063" s="1409" t="s">
        <v>1926</v>
      </c>
      <c r="I1063" s="857" t="str">
        <f t="shared" si="201"/>
        <v/>
      </c>
      <c r="J1063" s="1409" t="str">
        <f t="shared" si="210"/>
        <v/>
      </c>
      <c r="K1063" s="1409" t="str">
        <f t="shared" si="202"/>
        <v/>
      </c>
      <c r="L1063" s="898" t="s">
        <v>1498</v>
      </c>
      <c r="M1063" s="1410">
        <v>1046</v>
      </c>
      <c r="N1063" s="1409"/>
      <c r="O1063" s="1408"/>
      <c r="P1063" s="1408"/>
      <c r="Q1063" s="1408"/>
      <c r="R1063" s="1409" t="s">
        <v>1719</v>
      </c>
      <c r="S1063" s="1408"/>
      <c r="T1063" s="1409" t="str">
        <f t="shared" ref="T1063:T1065" si="212">IF(Q$1052="Yes",27,"")</f>
        <v/>
      </c>
      <c r="U1063" s="1408"/>
      <c r="V1063" s="1408"/>
      <c r="W1063" s="1408"/>
      <c r="X1063" s="1408"/>
      <c r="Y1063" s="1408"/>
      <c r="Z1063" s="1408"/>
      <c r="AA1063" s="1408"/>
    </row>
    <row r="1064" spans="1:27" x14ac:dyDescent="0.25">
      <c r="A1064" s="926" t="s">
        <v>1141</v>
      </c>
      <c r="B1064" s="897" t="str">
        <f ca="1">_xlfn.CONCAT(IFERROR(SUBSTITUTE(ADDRESS(1,MATCH(A1064,INDIRECT("'"&amp;E1064&amp;"'"&amp;"!A" &amp; $O$1052 + 8 &amp; ":Z" &amp; $O$1052 + 8),0),4),1,""),""),$O$1052+ 8)</f>
        <v>L387</v>
      </c>
      <c r="C1064" s="897" t="str">
        <f ca="1">_xlfn.CONCAT(IFERROR(SUBSTITUTE(ADDRESS(1,MATCH(A1064,INDIRECT("'"&amp;E1064&amp;"'"&amp;"!A" &amp; $O$1052 + 8 &amp; ":Z" &amp; $O$1052 + 8),0),4),1,""),""),$O$1052+ 9)</f>
        <v>L388</v>
      </c>
      <c r="D1064" s="897" t="s">
        <v>1367</v>
      </c>
      <c r="E1064" s="897" t="s">
        <v>1535</v>
      </c>
      <c r="F1064" s="1409"/>
      <c r="G1064" s="1409"/>
      <c r="H1064" s="1409"/>
      <c r="I1064" s="857" t="str">
        <f t="shared" si="201"/>
        <v/>
      </c>
      <c r="J1064" s="1409" t="str">
        <f t="shared" si="210"/>
        <v/>
      </c>
      <c r="K1064" s="1409" t="str">
        <f t="shared" si="202"/>
        <v/>
      </c>
      <c r="L1064" s="897" t="s">
        <v>1141</v>
      </c>
      <c r="M1064" s="1410">
        <v>1047</v>
      </c>
      <c r="N1064" s="1409"/>
      <c r="O1064" s="1408"/>
      <c r="P1064" s="1408"/>
      <c r="Q1064" s="1408"/>
      <c r="R1064" s="1409" t="s">
        <v>1719</v>
      </c>
      <c r="S1064" s="1408"/>
      <c r="T1064" s="1408"/>
      <c r="U1064" s="1408"/>
      <c r="V1064" s="1408"/>
      <c r="W1064" s="1408"/>
      <c r="X1064" s="1408"/>
      <c r="Y1064" s="1408"/>
      <c r="Z1064" s="1408"/>
      <c r="AA1064" s="1408"/>
    </row>
    <row r="1065" spans="1:27" x14ac:dyDescent="0.25">
      <c r="A1065" s="926" t="s">
        <v>1419</v>
      </c>
      <c r="B1065" s="897" t="str">
        <f ca="1">_xlfn.CONCAT(IFERROR(SUBSTITUTE(ADDRESS(1,MATCH(A1065,INDIRECT("'"&amp;E1065&amp;"'"&amp;"!A" &amp; $O$1052 + 8 &amp; ":Z" &amp; $O$1052 + 8),0),4),1,""),""),$O$1052+ 8)</f>
        <v>R387</v>
      </c>
      <c r="C1065" s="897" t="str">
        <f ca="1">_xlfn.CONCAT(IFERROR(SUBSTITUTE(ADDRESS(1,MATCH(A1065,INDIRECT("'"&amp;E1065&amp;"'"&amp;"!A" &amp; $O$1052 + 8 &amp; ":Z" &amp; $O$1052 + 8),0),4),1,""),""),$O$1052+ 9)</f>
        <v>R388</v>
      </c>
      <c r="D1065" s="897" t="s">
        <v>1367</v>
      </c>
      <c r="E1065" s="897" t="s">
        <v>1535</v>
      </c>
      <c r="F1065" s="1424" t="s">
        <v>1419</v>
      </c>
      <c r="G1065" s="1409" t="str">
        <f>IF(T1065&lt;&gt;"","AT","")</f>
        <v/>
      </c>
      <c r="H1065" s="1409" t="s">
        <v>1926</v>
      </c>
      <c r="I1065" s="857" t="str">
        <f t="shared" si="201"/>
        <v/>
      </c>
      <c r="J1065" s="1409" t="str">
        <f t="shared" si="210"/>
        <v/>
      </c>
      <c r="K1065" s="1409" t="str">
        <f t="shared" si="202"/>
        <v/>
      </c>
      <c r="L1065" s="897" t="s">
        <v>1419</v>
      </c>
      <c r="M1065" s="1410">
        <v>1048</v>
      </c>
      <c r="N1065" s="1409"/>
      <c r="O1065" s="1408"/>
      <c r="P1065" s="1408"/>
      <c r="Q1065" s="1408"/>
      <c r="R1065" s="1409" t="s">
        <v>1719</v>
      </c>
      <c r="S1065" s="1408"/>
      <c r="T1065" s="1409" t="str">
        <f t="shared" si="212"/>
        <v/>
      </c>
      <c r="U1065" s="1408"/>
      <c r="V1065" s="1408"/>
      <c r="W1065" s="1408"/>
      <c r="X1065" s="1408"/>
      <c r="Y1065" s="1408"/>
      <c r="Z1065" s="1408"/>
      <c r="AA1065" s="1408"/>
    </row>
    <row r="1066" spans="1:27" x14ac:dyDescent="0.25">
      <c r="A1066" s="926" t="s">
        <v>1499</v>
      </c>
      <c r="B1066" s="897" t="str">
        <f ca="1">_xlfn.CONCAT(IFERROR(SUBSTITUTE(ADDRESS(1,MATCH(A1066,INDIRECT("'"&amp;E1066&amp;"'"&amp;"!A" &amp; $O$1052 + 8 &amp; ":Z" &amp; $O$1052 + 8),0),4),1,""),""),$O$1052+ 8)</f>
        <v>N387</v>
      </c>
      <c r="C1066" s="897" t="str">
        <f ca="1">_xlfn.CONCAT(IFERROR(SUBSTITUTE(ADDRESS(1,MATCH(A1066,INDIRECT("'"&amp;E1066&amp;"'"&amp;"!A" &amp; $O$1052 + 8 &amp; ":Z" &amp; $O$1052 + 8),0),4),1,""),""),$O$1052+ 9)</f>
        <v>N388</v>
      </c>
      <c r="D1066" s="897" t="s">
        <v>1367</v>
      </c>
      <c r="E1066" s="897" t="s">
        <v>1535</v>
      </c>
      <c r="F1066" s="1409"/>
      <c r="G1066" s="1409"/>
      <c r="H1066" s="1409"/>
      <c r="I1066" s="857" t="str">
        <f t="shared" si="201"/>
        <v/>
      </c>
      <c r="J1066" s="1409" t="str">
        <f t="shared" si="210"/>
        <v/>
      </c>
      <c r="K1066" s="1409" t="str">
        <f t="shared" si="202"/>
        <v/>
      </c>
      <c r="L1066" s="897" t="s">
        <v>1499</v>
      </c>
      <c r="M1066" s="1410">
        <v>1049</v>
      </c>
      <c r="N1066" s="1409"/>
      <c r="O1066" s="1408"/>
      <c r="P1066" s="1408"/>
      <c r="Q1066" s="1408"/>
      <c r="R1066" s="1409" t="s">
        <v>1719</v>
      </c>
      <c r="S1066" s="1408"/>
      <c r="T1066" s="1408"/>
      <c r="U1066" s="1408"/>
      <c r="V1066" s="1408"/>
      <c r="W1066" s="1408"/>
      <c r="X1066" s="1408"/>
      <c r="Y1066" s="1408"/>
      <c r="Z1066" s="1408"/>
      <c r="AA1066" s="1408"/>
    </row>
    <row r="1067" spans="1:27" x14ac:dyDescent="0.25">
      <c r="A1067" s="926" t="s">
        <v>1140</v>
      </c>
      <c r="B1067" s="897" t="str">
        <f ca="1">_xlfn.CONCAT(IFERROR(SUBSTITUTE(ADDRESS(1,MATCH(A1067,INDIRECT("'"&amp;E1067&amp;"'"&amp;"!A" &amp; $O$1052 + 8 &amp; ":Z" &amp; $O$1052 + 8),0),4),1,""),""),$O$1052+ 8)</f>
        <v>P387</v>
      </c>
      <c r="C1067" s="897" t="str">
        <f ca="1">_xlfn.CONCAT(IFERROR(SUBSTITUTE(ADDRESS(1,MATCH(A1067,INDIRECT("'"&amp;E1067&amp;"'"&amp;"!A" &amp; $O$1052 + 8 &amp; ":Z" &amp; $O$1052 + 8),0),4),1,""),""),$O$1052+ 9)</f>
        <v>P388</v>
      </c>
      <c r="D1067" s="897" t="s">
        <v>1367</v>
      </c>
      <c r="E1067" s="897" t="s">
        <v>1535</v>
      </c>
      <c r="F1067" s="1409"/>
      <c r="G1067" s="1409"/>
      <c r="H1067" s="1409"/>
      <c r="I1067" s="857" t="str">
        <f t="shared" si="201"/>
        <v/>
      </c>
      <c r="J1067" s="1409" t="str">
        <f t="shared" si="210"/>
        <v/>
      </c>
      <c r="K1067" s="1409" t="str">
        <f t="shared" si="202"/>
        <v/>
      </c>
      <c r="L1067" s="897" t="s">
        <v>1140</v>
      </c>
      <c r="M1067" s="1410">
        <v>1050</v>
      </c>
      <c r="N1067" s="1409"/>
      <c r="O1067" s="1408"/>
      <c r="P1067" s="1408"/>
      <c r="Q1067" s="1408"/>
      <c r="R1067" s="1409" t="s">
        <v>1719</v>
      </c>
      <c r="S1067" s="1408"/>
      <c r="T1067" s="1408"/>
      <c r="U1067" s="1408"/>
      <c r="V1067" s="1408"/>
      <c r="W1067" s="1408"/>
      <c r="X1067" s="1408"/>
      <c r="Y1067" s="1408"/>
      <c r="Z1067" s="1408"/>
      <c r="AA1067" s="1408"/>
    </row>
    <row r="1068" spans="1:27" x14ac:dyDescent="0.25">
      <c r="A1068" s="1082" t="s">
        <v>1510</v>
      </c>
      <c r="B1068" s="897" t="str">
        <f ca="1">IFERROR(_xlfn.CONCAT("C",MATCH(A1068,INDIRECT("'"&amp;E1068&amp;"'!C"&amp;$O$1069&amp;":C"&amp;$O$1071),0)+$O$1069-1),"")</f>
        <v>C397</v>
      </c>
      <c r="C1068" s="897" t="str">
        <f ca="1">IFERROR(_xlfn.CONCAT("D",MATCH(A1068,INDIRECT("'"&amp;E1068&amp;"'!C"&amp;$O$1069&amp;":C"&amp;$O$1071),0)+$O$1069-1),"")</f>
        <v>D397</v>
      </c>
      <c r="D1068" s="897" t="s">
        <v>1367</v>
      </c>
      <c r="E1068" s="897" t="s">
        <v>1535</v>
      </c>
      <c r="F1068" s="1409" t="s">
        <v>1510</v>
      </c>
      <c r="G1068" s="1409" t="str">
        <f>IF(T1068&lt;&gt;"","A","")</f>
        <v/>
      </c>
      <c r="H1068" s="1409" t="s">
        <v>1926</v>
      </c>
      <c r="I1068" s="857" t="str">
        <f t="shared" si="201"/>
        <v/>
      </c>
      <c r="J1068" s="1409"/>
      <c r="K1068" s="1409" t="str">
        <f t="shared" si="202"/>
        <v/>
      </c>
      <c r="L1068" s="897" t="s">
        <v>1510</v>
      </c>
      <c r="M1068" s="1410">
        <v>1051</v>
      </c>
      <c r="N1068" s="1409"/>
      <c r="O1068" s="1408" t="s">
        <v>726</v>
      </c>
      <c r="P1068" s="18"/>
      <c r="Q1068" s="1408"/>
      <c r="R1068" s="1409" t="s">
        <v>1719</v>
      </c>
      <c r="S1068" s="1408"/>
      <c r="T1068" s="1409" t="str">
        <f>IF(Q$1069="Yes",28,"")</f>
        <v/>
      </c>
      <c r="U1068" s="1408"/>
      <c r="V1068" s="1408"/>
      <c r="W1068" s="1408"/>
      <c r="X1068" s="1408"/>
      <c r="Y1068" s="1408"/>
      <c r="Z1068" s="1408"/>
      <c r="AA1068" s="1408"/>
    </row>
    <row r="1069" spans="1:27" x14ac:dyDescent="0.25">
      <c r="A1069" s="1082" t="s">
        <v>1724</v>
      </c>
      <c r="B1069" s="897" t="str">
        <f ca="1">_xlfn.CONCAT(IFERROR(SUBSTITUTE(ADDRESS(1,MATCH(A1069,INDIRECT("'"&amp;E1069&amp;"'"&amp;"!A" &amp; $O$1069 + 11 &amp; ":Z" &amp; $O$1069 + 11),0),4),1,""),""),$O$1069+ 11)</f>
        <v>T404</v>
      </c>
      <c r="C1069" s="897" t="str">
        <f ca="1">_xlfn.CONCAT(IFERROR(SUBSTITUTE(ADDRESS(1,MATCH(A1069,INDIRECT("'"&amp;E1069&amp;"'"&amp;"!A" &amp; $O$1069 + 11 &amp; ":Z" &amp; $O$1069 + 11),0),4),1,""),""),$O$1069+ 12)</f>
        <v>T405</v>
      </c>
      <c r="D1069" s="897" t="s">
        <v>1367</v>
      </c>
      <c r="E1069" s="897" t="s">
        <v>1535</v>
      </c>
      <c r="F1069" s="1409"/>
      <c r="G1069" s="1409"/>
      <c r="H1069" s="1409"/>
      <c r="I1069" s="857" t="str">
        <f t="shared" si="201"/>
        <v/>
      </c>
      <c r="J1069" s="1409" t="str">
        <f t="shared" ref="J1069:J1083" si="213">IF(M1069&lt;&gt;"",IF($Q$1069="Yes",Q$1&amp;M1069,""))</f>
        <v/>
      </c>
      <c r="K1069" s="1409" t="str">
        <f t="shared" si="202"/>
        <v/>
      </c>
      <c r="L1069" s="897" t="s">
        <v>1724</v>
      </c>
      <c r="M1069" s="1410">
        <v>1052</v>
      </c>
      <c r="N1069" s="1409"/>
      <c r="O1069" s="1408">
        <f>'Configurable Tab'!H30</f>
        <v>393</v>
      </c>
      <c r="P1069" s="18">
        <f>'Configurable Tab'!J30</f>
        <v>0</v>
      </c>
      <c r="Q1069" s="1408" t="s">
        <v>649</v>
      </c>
      <c r="R1069" s="1409" t="s">
        <v>1719</v>
      </c>
      <c r="S1069" s="1408"/>
      <c r="T1069" s="1409" t="str">
        <f t="shared" ref="T1069:T1074" si="214">IF(Q$1069="Yes",28,"")</f>
        <v/>
      </c>
      <c r="U1069" s="1408"/>
      <c r="V1069" s="1408"/>
      <c r="W1069" s="1408"/>
      <c r="X1069" s="1408"/>
      <c r="Y1069" s="1408"/>
      <c r="Z1069" s="1408"/>
      <c r="AA1069" s="1408"/>
    </row>
    <row r="1070" spans="1:27" x14ac:dyDescent="0.25">
      <c r="A1070" s="1082" t="s">
        <v>1400</v>
      </c>
      <c r="B1070" s="897" t="str">
        <f ca="1">IFERROR(_xlfn.CONCAT("C",MATCH(A1070,INDIRECT("'"&amp;E1070&amp;"'!C"&amp;$O$1069&amp;":C"&amp;$O$1071),0)+$O$1069-1),"")</f>
        <v>C395</v>
      </c>
      <c r="C1070" s="897" t="str">
        <f ca="1">IFERROR(_xlfn.CONCAT("D",MATCH(A1070,INDIRECT("'"&amp;E1070&amp;"'!C"&amp;$O$1069&amp;":C"&amp;$O$1071),0)+$O$1069-1),"")</f>
        <v>D395</v>
      </c>
      <c r="D1070" s="897" t="s">
        <v>1367</v>
      </c>
      <c r="E1070" s="897" t="s">
        <v>1535</v>
      </c>
      <c r="F1070" s="1409" t="s">
        <v>1400</v>
      </c>
      <c r="G1070" s="1409" t="str">
        <f>IF(T1070&lt;&gt;"","B","")</f>
        <v/>
      </c>
      <c r="H1070" s="1409" t="s">
        <v>1926</v>
      </c>
      <c r="I1070" s="857" t="str">
        <f t="shared" si="201"/>
        <v/>
      </c>
      <c r="J1070" s="1409"/>
      <c r="K1070" s="1409" t="str">
        <f t="shared" si="202"/>
        <v/>
      </c>
      <c r="L1070" s="897" t="s">
        <v>1400</v>
      </c>
      <c r="M1070" s="1410">
        <v>1053</v>
      </c>
      <c r="N1070" s="1409"/>
      <c r="O1070" s="1408" t="s">
        <v>727</v>
      </c>
      <c r="P1070" s="1408"/>
      <c r="Q1070" s="1408"/>
      <c r="R1070" s="1409" t="s">
        <v>1719</v>
      </c>
      <c r="S1070" s="1408"/>
      <c r="T1070" s="1409" t="str">
        <f t="shared" si="214"/>
        <v/>
      </c>
      <c r="U1070" s="1408"/>
      <c r="V1070" s="1408"/>
      <c r="W1070" s="1408"/>
      <c r="X1070" s="1408"/>
      <c r="Y1070" s="1408"/>
      <c r="Z1070" s="1408"/>
      <c r="AA1070" s="1408"/>
    </row>
    <row r="1071" spans="1:27" x14ac:dyDescent="0.25">
      <c r="A1071" s="1082" t="s">
        <v>1398</v>
      </c>
      <c r="B1071" s="897" t="str">
        <f ca="1">_xlfn.CONCAT(IFERROR(SUBSTITUTE(ADDRESS(1,MATCH(A1071,INDIRECT("'"&amp;E1071&amp;"'"&amp;"!A" &amp; $O$1069 + 2 &amp; ":Z" &amp; $O$1069 + 2),0),4),1,""),""),$O$1069+ 2)</f>
        <v>J395</v>
      </c>
      <c r="C1071" s="897" t="str">
        <f ca="1">_xlfn.CONCAT(IFERROR(SUBSTITUTE(ADDRESS(1,MATCH(A1071,INDIRECT("'"&amp;E1071&amp;"'"&amp;"!A" &amp; $O$1069 + 2 &amp; ":Z" &amp; $O$1069 + 2),0),4),1,""),""),$O$1069+ 3)</f>
        <v>J396</v>
      </c>
      <c r="D1071" s="897" t="s">
        <v>1367</v>
      </c>
      <c r="E1071" s="897" t="s">
        <v>1535</v>
      </c>
      <c r="F1071" s="1409" t="s">
        <v>1928</v>
      </c>
      <c r="G1071" s="1409" t="str">
        <f>IF(T1071&lt;&gt;"","I","")</f>
        <v/>
      </c>
      <c r="H1071" s="1409" t="s">
        <v>1926</v>
      </c>
      <c r="I1071" s="857" t="str">
        <f t="shared" si="201"/>
        <v/>
      </c>
      <c r="J1071" s="1409" t="str">
        <f t="shared" si="213"/>
        <v/>
      </c>
      <c r="K1071" s="1409" t="str">
        <f t="shared" si="202"/>
        <v/>
      </c>
      <c r="L1071" s="897" t="s">
        <v>1398</v>
      </c>
      <c r="M1071" s="1410">
        <v>1054</v>
      </c>
      <c r="N1071" s="1409"/>
      <c r="O1071" s="1408">
        <f>'Configurable Tab'!I30</f>
        <v>406</v>
      </c>
      <c r="P1071" s="1408"/>
      <c r="Q1071" s="1408"/>
      <c r="R1071" s="1409" t="s">
        <v>1719</v>
      </c>
      <c r="S1071" s="1408"/>
      <c r="T1071" s="1409" t="str">
        <f t="shared" si="214"/>
        <v/>
      </c>
      <c r="U1071" s="1408"/>
      <c r="V1071" s="1408"/>
      <c r="W1071" s="1408"/>
      <c r="X1071" s="1408"/>
      <c r="Y1071" s="1408"/>
      <c r="Z1071" s="1408"/>
      <c r="AA1071" s="1408"/>
    </row>
    <row r="1072" spans="1:27" x14ac:dyDescent="0.25">
      <c r="A1072" s="1082" t="s">
        <v>1399</v>
      </c>
      <c r="B1072" s="897" t="str">
        <f ca="1">_xlfn.CONCAT(IFERROR(SUBSTITUTE(ADDRESS(1,MATCH(A1072,INDIRECT("'"&amp;E1072&amp;"'"&amp;"!A" &amp; $O$1069 + 2 &amp; ":Z" &amp; $O$1069 + 2),0),4),1,""),""),$O$1069+ 2)</f>
        <v>N395</v>
      </c>
      <c r="C1072" s="897" t="str">
        <f ca="1">_xlfn.CONCAT(IFERROR(SUBSTITUTE(ADDRESS(1,MATCH(A1072,INDIRECT("'"&amp;E1072&amp;"'"&amp;"!A" &amp; $O$1069 + 2 &amp; ":Z" &amp; $O$1069 + 2),0),4),1,""),""),$O$1069+ 3)</f>
        <v>N396</v>
      </c>
      <c r="D1072" s="897" t="s">
        <v>1367</v>
      </c>
      <c r="E1072" s="897" t="s">
        <v>1535</v>
      </c>
      <c r="F1072" s="1409" t="s">
        <v>1399</v>
      </c>
      <c r="G1072" s="1409" t="str">
        <f>IF(T1072&lt;&gt;"",IF(Q1071="Credit Memo","J",IF(Q1071="Check","K","")),"")</f>
        <v/>
      </c>
      <c r="H1072" s="1409" t="s">
        <v>1926</v>
      </c>
      <c r="I1072" s="857" t="str">
        <f t="shared" si="201"/>
        <v/>
      </c>
      <c r="J1072" s="1409" t="str">
        <f t="shared" si="213"/>
        <v/>
      </c>
      <c r="K1072" s="1409" t="str">
        <f t="shared" si="202"/>
        <v/>
      </c>
      <c r="L1072" s="897" t="s">
        <v>1399</v>
      </c>
      <c r="M1072" s="1410">
        <v>1055</v>
      </c>
      <c r="N1072" s="1409"/>
      <c r="O1072" s="1408" t="s">
        <v>1674</v>
      </c>
      <c r="P1072" s="1408"/>
      <c r="Q1072" s="1408"/>
      <c r="R1072" s="1409" t="s">
        <v>1719</v>
      </c>
      <c r="S1072" s="1408"/>
      <c r="T1072" s="1409" t="str">
        <f t="shared" si="214"/>
        <v/>
      </c>
      <c r="U1072" s="1408"/>
      <c r="V1072" s="1408"/>
      <c r="W1072" s="1408"/>
      <c r="X1072" s="1408"/>
      <c r="Y1072" s="1408"/>
      <c r="Z1072" s="1408"/>
      <c r="AA1072" s="1408"/>
    </row>
    <row r="1073" spans="1:27" x14ac:dyDescent="0.25">
      <c r="A1073" s="1082" t="s">
        <v>1402</v>
      </c>
      <c r="B1073" s="897" t="str">
        <f ca="1">IFERROR(_xlfn.CONCAT("C",MATCH(A1073,INDIRECT("'"&amp;E1073&amp;"'!C"&amp;$O$1069&amp;":C"&amp;$O$1071),0)+$O$1069-1),"")</f>
        <v>C399</v>
      </c>
      <c r="C1073" s="897" t="str">
        <f ca="1">IFERROR(_xlfn.CONCAT("D",MATCH(A1073,INDIRECT("'"&amp;E1073&amp;"'!C"&amp;$O$1069&amp;":C"&amp;$O$1071),0)+$O$1069-1),"")</f>
        <v>D399</v>
      </c>
      <c r="D1073" s="897" t="s">
        <v>1367</v>
      </c>
      <c r="E1073" s="897" t="s">
        <v>1535</v>
      </c>
      <c r="F1073" s="1409" t="s">
        <v>1402</v>
      </c>
      <c r="G1073" s="1409" t="str">
        <f>IF(T1073&lt;&gt;"","C","")</f>
        <v/>
      </c>
      <c r="H1073" s="1409" t="s">
        <v>1926</v>
      </c>
      <c r="I1073" s="857" t="str">
        <f t="shared" si="201"/>
        <v/>
      </c>
      <c r="J1073" s="1409"/>
      <c r="K1073" s="1409" t="str">
        <f t="shared" si="202"/>
        <v/>
      </c>
      <c r="L1073" s="897" t="s">
        <v>1402</v>
      </c>
      <c r="M1073" s="1410">
        <v>1056</v>
      </c>
      <c r="N1073" s="1409"/>
      <c r="O1073" s="1408"/>
      <c r="P1073" s="1408"/>
      <c r="Q1073" s="1408"/>
      <c r="R1073" s="1409" t="s">
        <v>1719</v>
      </c>
      <c r="S1073" s="1408"/>
      <c r="T1073" s="1409" t="str">
        <f t="shared" si="214"/>
        <v/>
      </c>
      <c r="U1073" s="1408"/>
      <c r="V1073" s="1408"/>
      <c r="W1073" s="1408"/>
      <c r="X1073" s="1408"/>
      <c r="Y1073" s="1408"/>
      <c r="Z1073" s="1408"/>
      <c r="AA1073" s="1408"/>
    </row>
    <row r="1074" spans="1:27" x14ac:dyDescent="0.25">
      <c r="A1074" s="1082" t="s">
        <v>1403</v>
      </c>
      <c r="B1074" s="897" t="str">
        <f ca="1">IFERROR(_xlfn.CONCAT("C",MATCH(A1074,INDIRECT("'"&amp;E1074&amp;"'!C"&amp;$O$1069&amp;":C"&amp;$O$1071),0)+$O$1069-1),"")</f>
        <v>C401</v>
      </c>
      <c r="C1074" s="897" t="str">
        <f ca="1">IFERROR(_xlfn.CONCAT("D",MATCH(A1074,INDIRECT("'"&amp;E1074&amp;"'!C"&amp;$O$1069&amp;":C"&amp;$O$1071),0)+$O$1069-1),"")</f>
        <v>D401</v>
      </c>
      <c r="D1074" s="897" t="s">
        <v>1367</v>
      </c>
      <c r="E1074" s="897" t="s">
        <v>1535</v>
      </c>
      <c r="F1074" s="1409" t="s">
        <v>1403</v>
      </c>
      <c r="G1074" s="1409" t="str">
        <f>IF(T1074&lt;&gt;"","D","")</f>
        <v/>
      </c>
      <c r="H1074" s="1409" t="s">
        <v>1926</v>
      </c>
      <c r="I1074" s="857" t="str">
        <f t="shared" si="201"/>
        <v/>
      </c>
      <c r="J1074" s="1409"/>
      <c r="K1074" s="1409" t="str">
        <f t="shared" si="202"/>
        <v/>
      </c>
      <c r="L1074" s="897" t="s">
        <v>1403</v>
      </c>
      <c r="M1074" s="1410">
        <v>1057</v>
      </c>
      <c r="N1074" s="1409"/>
      <c r="O1074" s="1408"/>
      <c r="P1074" s="1408"/>
      <c r="Q1074" s="1408"/>
      <c r="R1074" s="1409" t="s">
        <v>1719</v>
      </c>
      <c r="S1074" s="1408"/>
      <c r="T1074" s="1409" t="str">
        <f t="shared" si="214"/>
        <v/>
      </c>
      <c r="U1074" s="1408"/>
      <c r="V1074" s="1408"/>
      <c r="W1074" s="1408"/>
      <c r="X1074" s="1408"/>
      <c r="Y1074" s="1408"/>
      <c r="Z1074" s="1408"/>
      <c r="AA1074" s="1408"/>
    </row>
    <row r="1075" spans="1:27" x14ac:dyDescent="0.25">
      <c r="A1075" s="1082" t="s">
        <v>1514</v>
      </c>
      <c r="B1075" s="897" t="str">
        <f ca="1">IFERROR(_xlfn.CONCAT("C",MATCH(A1075,INDIRECT("'"&amp;E1075&amp;"'!C"&amp;$O$1069&amp;":C"&amp;$O$1071),0)+$O$1069-1),"")</f>
        <v>C403</v>
      </c>
      <c r="C1075" s="897" t="str">
        <f ca="1">IFERROR(_xlfn.CONCAT("D",MATCH(A1075,INDIRECT("'"&amp;E1075&amp;"'!C"&amp;$O$1069&amp;":C"&amp;$O$1071),0)+$O$1069-1),"")</f>
        <v>D403</v>
      </c>
      <c r="D1075" s="897" t="s">
        <v>1367</v>
      </c>
      <c r="E1075" s="897" t="s">
        <v>1535</v>
      </c>
      <c r="F1075" s="1409" t="s">
        <v>1514</v>
      </c>
      <c r="G1075" s="1409" t="str">
        <f>IF(T1075&lt;&gt;"","AN","")</f>
        <v/>
      </c>
      <c r="H1075" s="1409" t="s">
        <v>1926</v>
      </c>
      <c r="I1075" s="857" t="str">
        <f t="shared" si="201"/>
        <v/>
      </c>
      <c r="J1075" s="1409" t="str">
        <f t="shared" si="213"/>
        <v/>
      </c>
      <c r="K1075" s="1409" t="str">
        <f t="shared" si="202"/>
        <v/>
      </c>
      <c r="L1075" s="897" t="s">
        <v>1514</v>
      </c>
      <c r="M1075" s="1410">
        <v>1058</v>
      </c>
      <c r="N1075" s="1409"/>
      <c r="O1075" s="18"/>
      <c r="P1075" s="1409" t="str" cm="1">
        <f t="array" aca="1" ref="P1075" ca="1">_xlfn.CONCAT("F",RIGHT(B1075, LEN(B1075) - MAX(IF(ISNUMBER(MID(B1075, ROW(INDIRECT("1:"&amp;LEN(B1075))), 1) *1)=FALSE, ROW(INDIRECT("1:"&amp;LEN(B1075))), 0))))</f>
        <v>F403</v>
      </c>
      <c r="Q1075" s="1409" t="str" cm="1">
        <f t="array" aca="1" ref="Q1075" ca="1">_xlfn.CONCAT("E",RIGHT(C1075, LEN(C1075) - MAX(IF(ISNUMBER(MID(C1075, ROW(INDIRECT("1:"&amp;LEN(C1075))), 1) *1)=FALSE, ROW(INDIRECT("1:"&amp;LEN(C1075))), 0))))</f>
        <v>E403</v>
      </c>
      <c r="R1075" s="1409" t="s">
        <v>1719</v>
      </c>
      <c r="S1075" s="1408"/>
      <c r="T1075" s="1409" t="str">
        <f>IF(Q$1069="Yes",28,"")</f>
        <v/>
      </c>
      <c r="U1075" s="1408"/>
      <c r="V1075" s="1408"/>
      <c r="W1075" s="1408"/>
      <c r="X1075" s="1408"/>
      <c r="Y1075" s="1408"/>
      <c r="Z1075" s="1408"/>
      <c r="AA1075" s="1408"/>
    </row>
    <row r="1076" spans="1:27" x14ac:dyDescent="0.25">
      <c r="A1076" s="1082" t="s">
        <v>1511</v>
      </c>
      <c r="B1076" s="897" t="str">
        <f ca="1">_xlfn.CONCAT(IFERROR(SUBSTITUTE(ADDRESS(1,MATCH(A1076,INDIRECT("'"&amp;E1076&amp;"'"&amp;"!A" &amp; $O$1069 + 11 &amp; ":Z" &amp; $O$1069 + 11),0),4),1,""),""),$O$1069+ 11)</f>
        <v>H404</v>
      </c>
      <c r="C1076" s="897" t="str">
        <f ca="1">_xlfn.CONCAT(IFERROR(SUBSTITUTE(ADDRESS(1,MATCH(A1076,INDIRECT("'"&amp;E1076&amp;"'"&amp;"!A" &amp; $O$1069 + 11 &amp; ":Z" &amp; $O$1069 + 11),0),4),1,""),""),$O$1069+ 12)</f>
        <v>H405</v>
      </c>
      <c r="D1076" s="897" t="s">
        <v>1367</v>
      </c>
      <c r="E1076" s="897" t="s">
        <v>1535</v>
      </c>
      <c r="F1076" s="1409" t="s">
        <v>1511</v>
      </c>
      <c r="G1076" s="1409" t="str">
        <f>IF(T1076&lt;&gt;"","AL","")</f>
        <v/>
      </c>
      <c r="H1076" s="1409" t="s">
        <v>1926</v>
      </c>
      <c r="I1076" s="857" t="str">
        <f t="shared" si="201"/>
        <v/>
      </c>
      <c r="J1076" s="1409" t="str">
        <f t="shared" si="213"/>
        <v/>
      </c>
      <c r="K1076" s="1409" t="str">
        <f t="shared" si="202"/>
        <v/>
      </c>
      <c r="L1076" s="897" t="s">
        <v>1511</v>
      </c>
      <c r="M1076" s="1410">
        <v>1059</v>
      </c>
      <c r="N1076" s="1409"/>
      <c r="O1076" s="1408"/>
      <c r="P1076" s="1408"/>
      <c r="Q1076" s="1408"/>
      <c r="R1076" s="1409" t="s">
        <v>1719</v>
      </c>
      <c r="S1076" s="1408"/>
      <c r="T1076" s="1409" t="str">
        <f>IF(Q$1069="Yes",28,"")</f>
        <v/>
      </c>
      <c r="U1076" s="1408"/>
      <c r="V1076" s="1408"/>
      <c r="W1076" s="1408"/>
      <c r="X1076" s="1408"/>
      <c r="Y1076" s="1408"/>
      <c r="Z1076" s="1408"/>
      <c r="AA1076" s="1408"/>
    </row>
    <row r="1077" spans="1:27" x14ac:dyDescent="0.25">
      <c r="A1077" s="1082" t="s">
        <v>1413</v>
      </c>
      <c r="B1077" s="897" t="str">
        <f ca="1">_xlfn.CONCAT(IFERROR(SUBSTITUTE(ADDRESS(1,MATCH(A1077,INDIRECT("'"&amp;E1077&amp;"'"&amp;"!A" &amp; $O$1069 + 5 &amp; ":Z" &amp; $O$1069 + 5),0),4),1,""),""),$O$1069+ 5)</f>
        <v>H398</v>
      </c>
      <c r="C1077" s="897" t="str">
        <f ca="1">_xlfn.CONCAT(IFERROR(SUBSTITUTE(ADDRESS(1,MATCH(A1077,INDIRECT("'"&amp;E1077&amp;"'"&amp;"!A" &amp; $O$1069 + 5 &amp; ":Z" &amp; $O$1069 + 5),0),4),1,""),""),$O$1069+ 6)</f>
        <v>H399</v>
      </c>
      <c r="D1077" s="897" t="s">
        <v>1367</v>
      </c>
      <c r="E1077" s="897" t="s">
        <v>1535</v>
      </c>
      <c r="F1077" s="1409" t="s">
        <v>1413</v>
      </c>
      <c r="G1077" s="1409" t="str">
        <f>IF(T1077&lt;&gt;"","S","")</f>
        <v/>
      </c>
      <c r="H1077" s="1409" t="s">
        <v>1926</v>
      </c>
      <c r="I1077" s="857" t="str">
        <f t="shared" si="201"/>
        <v/>
      </c>
      <c r="J1077" s="1409" t="str">
        <f t="shared" si="213"/>
        <v/>
      </c>
      <c r="K1077" s="1409" t="str">
        <f t="shared" si="202"/>
        <v/>
      </c>
      <c r="L1077" s="897" t="s">
        <v>1413</v>
      </c>
      <c r="M1077" s="1410">
        <v>1060</v>
      </c>
      <c r="N1077" s="1409"/>
      <c r="O1077" s="1408"/>
      <c r="P1077" s="1408"/>
      <c r="Q1077" s="1408"/>
      <c r="R1077" s="1409" t="s">
        <v>1719</v>
      </c>
      <c r="S1077" s="1408"/>
      <c r="T1077" s="1409" t="str">
        <f>IF(Q$1069="Yes",28,"")</f>
        <v/>
      </c>
      <c r="U1077" s="1408"/>
      <c r="V1077" s="1408"/>
      <c r="W1077" s="1408"/>
      <c r="X1077" s="1408"/>
      <c r="Y1077" s="1408"/>
      <c r="Z1077" s="1408"/>
      <c r="AA1077" s="1408"/>
    </row>
    <row r="1078" spans="1:27" x14ac:dyDescent="0.25">
      <c r="A1078" s="1082" t="s">
        <v>1493</v>
      </c>
      <c r="B1078" s="897" t="str">
        <f ca="1">_xlfn.CONCAT(IFERROR(SUBSTITUTE(ADDRESS(1,MATCH(A1078,INDIRECT("'"&amp;E1078&amp;"'"&amp;"!A" &amp; $O$1069 + 5 &amp; ":Z" &amp; $O$1069 + 5),0),4),1,""),""),$O$1069+ 5)</f>
        <v>J398</v>
      </c>
      <c r="C1078" s="897" t="str">
        <f ca="1">_xlfn.CONCAT(IFERROR(SUBSTITUTE(ADDRESS(1,MATCH(A1078,INDIRECT("'"&amp;E1078&amp;"'"&amp;"!A" &amp; $O$1069 + 5 &amp; ":Z" &amp; $O$1069 + 5),0),4),1,""),""),$O$1069+ 6)</f>
        <v>J399</v>
      </c>
      <c r="D1078" s="897" t="s">
        <v>1367</v>
      </c>
      <c r="E1078" s="897" t="s">
        <v>1535</v>
      </c>
      <c r="F1078" s="1409"/>
      <c r="G1078" s="1409"/>
      <c r="H1078" s="1409"/>
      <c r="I1078" s="857" t="str">
        <f t="shared" si="201"/>
        <v/>
      </c>
      <c r="J1078" s="1409" t="str">
        <f t="shared" si="213"/>
        <v/>
      </c>
      <c r="K1078" s="1409" t="str">
        <f t="shared" si="202"/>
        <v/>
      </c>
      <c r="L1078" s="897" t="s">
        <v>1493</v>
      </c>
      <c r="M1078" s="1410">
        <v>1061</v>
      </c>
      <c r="N1078" s="1409"/>
      <c r="O1078" s="1408"/>
      <c r="P1078" s="1408"/>
      <c r="Q1078" s="1408"/>
      <c r="R1078" s="1409" t="s">
        <v>1719</v>
      </c>
      <c r="S1078" s="1408"/>
      <c r="T1078" s="1408"/>
      <c r="U1078" s="1408"/>
      <c r="V1078" s="1408"/>
      <c r="W1078" s="1408"/>
      <c r="X1078" s="1408"/>
      <c r="Y1078" s="1408"/>
      <c r="Z1078" s="1408"/>
      <c r="AA1078" s="1408"/>
    </row>
    <row r="1079" spans="1:27" ht="30" x14ac:dyDescent="0.25">
      <c r="A1079" s="1101" t="s">
        <v>1498</v>
      </c>
      <c r="B1079" s="897" t="str">
        <f ca="1">_xlfn.CONCAT(IFERROR(SUBSTITUTE(ADDRESS(1,MATCH(A1079,INDIRECT("'"&amp;E1079&amp;"'"&amp;"!A" &amp; $O$1069 + 8 &amp; ":Z" &amp; $O$1069 + 8),0),4),1,""),""),$O$1069+ 8)</f>
        <v>J401</v>
      </c>
      <c r="C1079" s="897" t="str">
        <f ca="1">_xlfn.CONCAT(IFERROR(SUBSTITUTE(ADDRESS(1,MATCH(A1079,INDIRECT("'"&amp;E1079&amp;"'"&amp;"!A" &amp; $O$1069 + 8 &amp; ":Z" &amp; $O$1069 + 8),0),4),1,""),""),$O$1069+ 9)</f>
        <v>J402</v>
      </c>
      <c r="D1079" s="897" t="s">
        <v>1367</v>
      </c>
      <c r="E1079" s="897" t="s">
        <v>1535</v>
      </c>
      <c r="F1079" s="1409" t="s">
        <v>1498</v>
      </c>
      <c r="G1079" s="1409" t="str">
        <f>IF(T1079&lt;&gt;"","AY","")</f>
        <v/>
      </c>
      <c r="H1079" s="1409" t="s">
        <v>1926</v>
      </c>
      <c r="I1079" s="857" t="str">
        <f t="shared" si="201"/>
        <v/>
      </c>
      <c r="J1079" s="1409" t="str">
        <f t="shared" si="213"/>
        <v/>
      </c>
      <c r="K1079" s="1409" t="str">
        <f t="shared" si="202"/>
        <v/>
      </c>
      <c r="L1079" s="898" t="s">
        <v>1498</v>
      </c>
      <c r="M1079" s="1410">
        <v>1062</v>
      </c>
      <c r="N1079" s="1409"/>
      <c r="O1079" s="1408"/>
      <c r="P1079" s="1408"/>
      <c r="Q1079" s="1408"/>
      <c r="R1079" s="1409" t="s">
        <v>1719</v>
      </c>
      <c r="S1079" s="1408"/>
      <c r="T1079" s="1409" t="str">
        <f t="shared" ref="T1079:T1081" si="215">IF(Q$1069="Yes",28,"")</f>
        <v/>
      </c>
      <c r="U1079" s="1408"/>
      <c r="V1079" s="1408"/>
      <c r="W1079" s="1408"/>
      <c r="X1079" s="1408"/>
      <c r="Y1079" s="1408"/>
      <c r="Z1079" s="1408"/>
      <c r="AA1079" s="1408"/>
    </row>
    <row r="1080" spans="1:27" x14ac:dyDescent="0.25">
      <c r="A1080" s="1082" t="s">
        <v>1141</v>
      </c>
      <c r="B1080" s="897" t="str">
        <f ca="1">_xlfn.CONCAT(IFERROR(SUBSTITUTE(ADDRESS(1,MATCH(A1080,INDIRECT("'"&amp;E1080&amp;"'"&amp;"!A" &amp; $O$1069 + 8 &amp; ":Z" &amp; $O$1069 + 8),0),4),1,""),""),$O$1069+ 8)</f>
        <v>L401</v>
      </c>
      <c r="C1080" s="897" t="str">
        <f ca="1">_xlfn.CONCAT(IFERROR(SUBSTITUTE(ADDRESS(1,MATCH(A1080,INDIRECT("'"&amp;E1080&amp;"'"&amp;"!A" &amp; $O$1069 + 8 &amp; ":Z" &amp; $O$1069 + 8),0),4),1,""),""),$O$1069+ 9)</f>
        <v>L402</v>
      </c>
      <c r="D1080" s="897" t="s">
        <v>1367</v>
      </c>
      <c r="E1080" s="897" t="s">
        <v>1535</v>
      </c>
      <c r="F1080" s="1409"/>
      <c r="G1080" s="1409"/>
      <c r="H1080" s="1409"/>
      <c r="I1080" s="857" t="str">
        <f t="shared" si="201"/>
        <v/>
      </c>
      <c r="J1080" s="1409" t="str">
        <f t="shared" si="213"/>
        <v/>
      </c>
      <c r="K1080" s="1409" t="str">
        <f t="shared" si="202"/>
        <v/>
      </c>
      <c r="L1080" s="897" t="s">
        <v>1141</v>
      </c>
      <c r="M1080" s="1410">
        <v>1063</v>
      </c>
      <c r="N1080" s="1409"/>
      <c r="O1080" s="1408"/>
      <c r="P1080" s="1408"/>
      <c r="Q1080" s="1408"/>
      <c r="R1080" s="1409" t="s">
        <v>1719</v>
      </c>
      <c r="S1080" s="1408"/>
      <c r="T1080" s="1408"/>
      <c r="U1080" s="1408"/>
      <c r="V1080" s="1408"/>
      <c r="W1080" s="1408"/>
      <c r="X1080" s="1408"/>
      <c r="Y1080" s="1408"/>
      <c r="Z1080" s="1408"/>
      <c r="AA1080" s="1408"/>
    </row>
    <row r="1081" spans="1:27" x14ac:dyDescent="0.25">
      <c r="A1081" s="1082" t="s">
        <v>1419</v>
      </c>
      <c r="B1081" s="897" t="str">
        <f ca="1">_xlfn.CONCAT(IFERROR(SUBSTITUTE(ADDRESS(1,MATCH(A1081,INDIRECT("'"&amp;E1081&amp;"'"&amp;"!A" &amp; $O$1069 + 8 &amp; ":Z" &amp; $O$1069 + 8),0),4),1,""),""),$O$1069+ 8)</f>
        <v>R401</v>
      </c>
      <c r="C1081" s="897" t="str">
        <f ca="1">_xlfn.CONCAT(IFERROR(SUBSTITUTE(ADDRESS(1,MATCH(A1081,INDIRECT("'"&amp;E1081&amp;"'"&amp;"!A" &amp; $O$1069 + 8 &amp; ":Z" &amp; $O$1069 + 8),0),4),1,""),""),$O$1069+ 9)</f>
        <v>R402</v>
      </c>
      <c r="D1081" s="897" t="s">
        <v>1367</v>
      </c>
      <c r="E1081" s="897" t="s">
        <v>1535</v>
      </c>
      <c r="F1081" s="1424" t="s">
        <v>1419</v>
      </c>
      <c r="G1081" s="1409" t="str">
        <f>IF(T1081&lt;&gt;"","AT","")</f>
        <v/>
      </c>
      <c r="H1081" s="1409" t="s">
        <v>1926</v>
      </c>
      <c r="I1081" s="857" t="str">
        <f t="shared" si="201"/>
        <v/>
      </c>
      <c r="J1081" s="1409" t="str">
        <f t="shared" si="213"/>
        <v/>
      </c>
      <c r="K1081" s="1409" t="str">
        <f t="shared" si="202"/>
        <v/>
      </c>
      <c r="L1081" s="897" t="s">
        <v>1419</v>
      </c>
      <c r="M1081" s="1410">
        <v>1064</v>
      </c>
      <c r="N1081" s="1409"/>
      <c r="O1081" s="1408"/>
      <c r="P1081" s="1408"/>
      <c r="Q1081" s="1408"/>
      <c r="R1081" s="1409" t="s">
        <v>1719</v>
      </c>
      <c r="S1081" s="1408"/>
      <c r="T1081" s="1409" t="str">
        <f t="shared" si="215"/>
        <v/>
      </c>
      <c r="U1081" s="1408"/>
      <c r="V1081" s="1408"/>
      <c r="W1081" s="1408"/>
      <c r="X1081" s="1408"/>
      <c r="Y1081" s="1408"/>
      <c r="Z1081" s="1408"/>
      <c r="AA1081" s="1408"/>
    </row>
    <row r="1082" spans="1:27" x14ac:dyDescent="0.25">
      <c r="A1082" s="1082" t="s">
        <v>1499</v>
      </c>
      <c r="B1082" s="897" t="str">
        <f ca="1">_xlfn.CONCAT(IFERROR(SUBSTITUTE(ADDRESS(1,MATCH(A1082,INDIRECT("'"&amp;E1082&amp;"'"&amp;"!A" &amp; $O$1069 + 8 &amp; ":Z" &amp; $O$1069 + 8),0),4),1,""),""),$O$1069+ 8)</f>
        <v>N401</v>
      </c>
      <c r="C1082" s="897" t="str">
        <f ca="1">_xlfn.CONCAT(IFERROR(SUBSTITUTE(ADDRESS(1,MATCH(A1082,INDIRECT("'"&amp;E1082&amp;"'"&amp;"!A" &amp; $O$1069 + 8 &amp; ":Z" &amp; $O$1069 + 8),0),4),1,""),""),$O$1069+ 9)</f>
        <v>N402</v>
      </c>
      <c r="D1082" s="897" t="s">
        <v>1367</v>
      </c>
      <c r="E1082" s="897" t="s">
        <v>1535</v>
      </c>
      <c r="F1082" s="1409"/>
      <c r="G1082" s="1409"/>
      <c r="H1082" s="1409"/>
      <c r="I1082" s="857" t="str">
        <f t="shared" si="201"/>
        <v/>
      </c>
      <c r="J1082" s="1409" t="str">
        <f t="shared" si="213"/>
        <v/>
      </c>
      <c r="K1082" s="1409" t="str">
        <f t="shared" si="202"/>
        <v/>
      </c>
      <c r="L1082" s="897" t="s">
        <v>1499</v>
      </c>
      <c r="M1082" s="1410">
        <v>1065</v>
      </c>
      <c r="N1082" s="1409"/>
      <c r="O1082" s="1408"/>
      <c r="P1082" s="1408"/>
      <c r="Q1082" s="1408"/>
      <c r="R1082" s="1409" t="s">
        <v>1719</v>
      </c>
      <c r="S1082" s="1408"/>
      <c r="T1082" s="1408"/>
      <c r="U1082" s="1408"/>
      <c r="V1082" s="1408"/>
      <c r="W1082" s="1408"/>
      <c r="X1082" s="1408"/>
      <c r="Y1082" s="1408"/>
      <c r="Z1082" s="1408"/>
      <c r="AA1082" s="1408"/>
    </row>
    <row r="1083" spans="1:27" x14ac:dyDescent="0.25">
      <c r="A1083" s="1082" t="s">
        <v>1140</v>
      </c>
      <c r="B1083" s="897" t="str">
        <f ca="1">_xlfn.CONCAT(IFERROR(SUBSTITUTE(ADDRESS(1,MATCH(A1083,INDIRECT("'"&amp;E1083&amp;"'"&amp;"!A" &amp; $O$1069 + 8 &amp; ":Z" &amp; $O$1069 + 8),0),4),1,""),""),$O$1069+ 8)</f>
        <v>P401</v>
      </c>
      <c r="C1083" s="897" t="str">
        <f ca="1">_xlfn.CONCAT(IFERROR(SUBSTITUTE(ADDRESS(1,MATCH(A1083,INDIRECT("'"&amp;E1083&amp;"'"&amp;"!A" &amp; $O$1069 + 8 &amp; ":Z" &amp; $O$1069 + 8),0),4),1,""),""),$O$1069+ 9)</f>
        <v>P402</v>
      </c>
      <c r="D1083" s="897" t="s">
        <v>1367</v>
      </c>
      <c r="E1083" s="897" t="s">
        <v>1535</v>
      </c>
      <c r="F1083" s="1409"/>
      <c r="G1083" s="1409"/>
      <c r="H1083" s="1409"/>
      <c r="I1083" s="857" t="str">
        <f t="shared" si="201"/>
        <v/>
      </c>
      <c r="J1083" s="1409" t="str">
        <f t="shared" si="213"/>
        <v/>
      </c>
      <c r="K1083" s="1409" t="str">
        <f t="shared" si="202"/>
        <v/>
      </c>
      <c r="L1083" s="897" t="s">
        <v>1140</v>
      </c>
      <c r="M1083" s="1410">
        <v>1066</v>
      </c>
      <c r="N1083" s="1409"/>
      <c r="O1083" s="1408"/>
      <c r="P1083" s="1408"/>
      <c r="Q1083" s="1408"/>
      <c r="R1083" s="1409" t="s">
        <v>1719</v>
      </c>
      <c r="S1083" s="1408"/>
      <c r="T1083" s="1408"/>
      <c r="U1083" s="1408"/>
      <c r="V1083" s="1408"/>
      <c r="W1083" s="1408"/>
      <c r="X1083" s="1408"/>
      <c r="Y1083" s="1408"/>
      <c r="Z1083" s="1408"/>
      <c r="AA1083" s="1408"/>
    </row>
    <row r="1084" spans="1:27" x14ac:dyDescent="0.25">
      <c r="A1084" s="926" t="s">
        <v>1510</v>
      </c>
      <c r="B1084" s="897" t="str">
        <f ca="1">IFERROR(_xlfn.CONCAT("C",MATCH(A1084,INDIRECT("'"&amp;E1084&amp;"'!C"&amp;$O$1085&amp;":C"&amp;$O$1087),0)+$O$1085-1),"")</f>
        <v>C411</v>
      </c>
      <c r="C1084" s="897" t="str">
        <f ca="1">IFERROR(_xlfn.CONCAT("D",MATCH(A1084,INDIRECT("'"&amp;E1084&amp;"'!C"&amp;$O$1085&amp;":C"&amp;$O$1087),0)+$O$1085-1),"")</f>
        <v>D411</v>
      </c>
      <c r="D1084" s="897" t="s">
        <v>1367</v>
      </c>
      <c r="E1084" s="897" t="s">
        <v>1535</v>
      </c>
      <c r="F1084" s="1409" t="s">
        <v>1510</v>
      </c>
      <c r="G1084" s="1409" t="str">
        <f>IF(T1084&lt;&gt;"","A","")</f>
        <v/>
      </c>
      <c r="H1084" s="1409" t="s">
        <v>1926</v>
      </c>
      <c r="I1084" s="857" t="str">
        <f t="shared" si="201"/>
        <v/>
      </c>
      <c r="J1084" s="1409"/>
      <c r="K1084" s="1409" t="str">
        <f t="shared" si="202"/>
        <v/>
      </c>
      <c r="L1084" s="897" t="s">
        <v>1510</v>
      </c>
      <c r="M1084" s="1410">
        <v>1067</v>
      </c>
      <c r="N1084" s="1409"/>
      <c r="O1084" s="1408" t="s">
        <v>726</v>
      </c>
      <c r="P1084" s="18"/>
      <c r="Q1084" s="1408"/>
      <c r="R1084" s="1409" t="s">
        <v>1105</v>
      </c>
      <c r="S1084" s="1408"/>
      <c r="T1084" s="1409" t="str">
        <f>IF(Q$1085="Yes",29,"")</f>
        <v/>
      </c>
      <c r="U1084" s="1408"/>
      <c r="V1084" s="1408"/>
      <c r="W1084" s="1408"/>
      <c r="X1084" s="1408"/>
      <c r="Y1084" s="1408"/>
      <c r="Z1084" s="1408"/>
      <c r="AA1084" s="1408"/>
    </row>
    <row r="1085" spans="1:27" x14ac:dyDescent="0.25">
      <c r="A1085" s="926" t="s">
        <v>1724</v>
      </c>
      <c r="B1085" s="897" t="str">
        <f ca="1">_xlfn.CONCAT(IFERROR(SUBSTITUTE(ADDRESS(1,MATCH(A1085,INDIRECT("'"&amp;E1085&amp;"'"&amp;"!A" &amp; $O$1085 + 11 &amp; ":Z" &amp; $O$1085 + 11),0),4),1,""),""),$O$1085+ 11)</f>
        <v>T418</v>
      </c>
      <c r="C1085" s="897" t="str">
        <f ca="1">_xlfn.CONCAT(IFERROR(SUBSTITUTE(ADDRESS(1,MATCH(A1085,INDIRECT("'"&amp;E1085&amp;"'"&amp;"!A" &amp; $O$1085 + 11 &amp; ":Z" &amp; $O$1085 + 11),0),4),1,""),""),$O$1085+ 12)</f>
        <v>T419</v>
      </c>
      <c r="D1085" s="897" t="s">
        <v>1367</v>
      </c>
      <c r="E1085" s="897" t="s">
        <v>1535</v>
      </c>
      <c r="F1085" s="1409"/>
      <c r="G1085" s="1409"/>
      <c r="H1085" s="1409"/>
      <c r="I1085" s="857" t="str">
        <f t="shared" si="201"/>
        <v/>
      </c>
      <c r="J1085" s="1409" t="str">
        <f t="shared" ref="J1085:J1093" si="216">IF(M1085&lt;&gt;"",IF($Q$1085="Yes",Q$1&amp;M1085,""))</f>
        <v/>
      </c>
      <c r="K1085" s="1409" t="str">
        <f t="shared" si="202"/>
        <v/>
      </c>
      <c r="L1085" s="897" t="s">
        <v>1724</v>
      </c>
      <c r="M1085" s="1410">
        <v>1068</v>
      </c>
      <c r="N1085" s="1409"/>
      <c r="O1085" s="1408">
        <f>'Configurable Tab'!H31</f>
        <v>407</v>
      </c>
      <c r="P1085" s="18">
        <f>'Configurable Tab'!J31</f>
        <v>0</v>
      </c>
      <c r="Q1085" s="1408" t="s">
        <v>649</v>
      </c>
      <c r="R1085" s="1409" t="s">
        <v>1105</v>
      </c>
      <c r="S1085" s="1408"/>
      <c r="T1085" s="1409" t="str">
        <f t="shared" ref="T1085:T1090" si="217">IF(Q$1085="Yes",29,"")</f>
        <v/>
      </c>
      <c r="U1085" s="1408"/>
      <c r="V1085" s="1408"/>
      <c r="W1085" s="1408"/>
      <c r="X1085" s="1408"/>
      <c r="Y1085" s="1408"/>
      <c r="Z1085" s="1408"/>
      <c r="AA1085" s="1408"/>
    </row>
    <row r="1086" spans="1:27" x14ac:dyDescent="0.25">
      <c r="A1086" s="926" t="s">
        <v>1400</v>
      </c>
      <c r="B1086" s="897" t="str">
        <f ca="1">IFERROR(_xlfn.CONCAT("C",MATCH(A1086,INDIRECT("'"&amp;E1086&amp;"'!C"&amp;$O$1085&amp;":C"&amp;$O$1087),0)+$O$1085-1),"")</f>
        <v>C409</v>
      </c>
      <c r="C1086" s="897" t="str">
        <f ca="1">IFERROR(_xlfn.CONCAT("D",MATCH(A1086,INDIRECT("'"&amp;E1086&amp;"'!C"&amp;$O$1085&amp;":C"&amp;$O$1087),0)+$O$1085-1),"")</f>
        <v>D409</v>
      </c>
      <c r="D1086" s="897" t="s">
        <v>1367</v>
      </c>
      <c r="E1086" s="897" t="s">
        <v>1535</v>
      </c>
      <c r="F1086" s="1409" t="s">
        <v>1400</v>
      </c>
      <c r="G1086" s="1409" t="str">
        <f>IF(T1086&lt;&gt;"","B","")</f>
        <v/>
      </c>
      <c r="H1086" s="1409" t="s">
        <v>1926</v>
      </c>
      <c r="I1086" s="857" t="str">
        <f t="shared" si="201"/>
        <v/>
      </c>
      <c r="J1086" s="1409"/>
      <c r="K1086" s="1409" t="str">
        <f t="shared" si="202"/>
        <v/>
      </c>
      <c r="L1086" s="897" t="s">
        <v>1400</v>
      </c>
      <c r="M1086" s="1410">
        <v>1069</v>
      </c>
      <c r="N1086" s="1409"/>
      <c r="O1086" s="1408" t="s">
        <v>727</v>
      </c>
      <c r="P1086" s="1408"/>
      <c r="Q1086" s="1408"/>
      <c r="R1086" s="1409" t="s">
        <v>1105</v>
      </c>
      <c r="S1086" s="1408"/>
      <c r="T1086" s="1409" t="str">
        <f t="shared" si="217"/>
        <v/>
      </c>
      <c r="U1086" s="1408"/>
      <c r="V1086" s="1408"/>
      <c r="W1086" s="1408"/>
      <c r="X1086" s="1408"/>
      <c r="Y1086" s="1408"/>
      <c r="Z1086" s="1408"/>
      <c r="AA1086" s="1408"/>
    </row>
    <row r="1087" spans="1:27" x14ac:dyDescent="0.25">
      <c r="A1087" s="926" t="s">
        <v>1398</v>
      </c>
      <c r="B1087" s="897" t="str">
        <f ca="1">_xlfn.CONCAT(IFERROR(SUBSTITUTE(ADDRESS(1,MATCH(A1087,INDIRECT("'"&amp;E1087&amp;"'"&amp;"!A" &amp; $O$1085 + 2 &amp; ":Z" &amp; $O$1085 + 2),0),4),1,""),""),$O$1085+ 2)</f>
        <v>J409</v>
      </c>
      <c r="C1087" s="897" t="str">
        <f ca="1">_xlfn.CONCAT(IFERROR(SUBSTITUTE(ADDRESS(1,MATCH(A1087,INDIRECT("'"&amp;E1087&amp;"'"&amp;"!A" &amp; $O$1085 + 2 &amp; ":Z" &amp; $O$1085 + 2),0),4),1,""),""),$O$1085+ 3)</f>
        <v>J410</v>
      </c>
      <c r="D1087" s="897" t="s">
        <v>1367</v>
      </c>
      <c r="E1087" s="897" t="s">
        <v>1535</v>
      </c>
      <c r="F1087" s="1409" t="s">
        <v>1928</v>
      </c>
      <c r="G1087" s="1409" t="str">
        <f>IF(T1087&lt;&gt;"","I","")</f>
        <v/>
      </c>
      <c r="H1087" s="1409" t="s">
        <v>1926</v>
      </c>
      <c r="I1087" s="857" t="str">
        <f t="shared" si="201"/>
        <v/>
      </c>
      <c r="J1087" s="1409" t="str">
        <f t="shared" si="216"/>
        <v/>
      </c>
      <c r="K1087" s="1409" t="str">
        <f t="shared" si="202"/>
        <v/>
      </c>
      <c r="L1087" s="897" t="s">
        <v>1398</v>
      </c>
      <c r="M1087" s="1410">
        <v>1070</v>
      </c>
      <c r="N1087" s="1409"/>
      <c r="O1087" s="1408">
        <f>'Configurable Tab'!I31</f>
        <v>420</v>
      </c>
      <c r="P1087" s="1408"/>
      <c r="Q1087" s="1408"/>
      <c r="R1087" s="1409" t="s">
        <v>1105</v>
      </c>
      <c r="S1087" s="1408"/>
      <c r="T1087" s="1409" t="str">
        <f t="shared" si="217"/>
        <v/>
      </c>
      <c r="U1087" s="1408"/>
      <c r="V1087" s="1408"/>
      <c r="W1087" s="1408"/>
      <c r="X1087" s="1408"/>
      <c r="Y1087" s="1408"/>
      <c r="Z1087" s="1408"/>
      <c r="AA1087" s="1408"/>
    </row>
    <row r="1088" spans="1:27" x14ac:dyDescent="0.25">
      <c r="A1088" s="926" t="s">
        <v>1399</v>
      </c>
      <c r="B1088" s="897" t="str">
        <f ca="1">_xlfn.CONCAT(IFERROR(SUBSTITUTE(ADDRESS(1,MATCH(A1088,INDIRECT("'"&amp;E1088&amp;"'"&amp;"!A" &amp; $O$1085 + 2 &amp; ":Z" &amp; $O$1085 + 2),0),4),1,""),""),$O$1085+ 2)</f>
        <v>N409</v>
      </c>
      <c r="C1088" s="897" t="str">
        <f ca="1">_xlfn.CONCAT(IFERROR(SUBSTITUTE(ADDRESS(1,MATCH(A1088,INDIRECT("'"&amp;E1088&amp;"'"&amp;"!A" &amp; $O$1085 + 2 &amp; ":Z" &amp; $O$1085 + 2),0),4),1,""),""),$O$1085+ 3)</f>
        <v>N410</v>
      </c>
      <c r="D1088" s="897" t="s">
        <v>1367</v>
      </c>
      <c r="E1088" s="897" t="s">
        <v>1535</v>
      </c>
      <c r="F1088" s="1409" t="s">
        <v>1399</v>
      </c>
      <c r="G1088" s="1409" t="str">
        <f>IF(T1088&lt;&gt;"",IF(Q1087="Credit Memo","J",IF(Q1087="Check","K","")),"")</f>
        <v/>
      </c>
      <c r="H1088" s="1409" t="s">
        <v>1926</v>
      </c>
      <c r="I1088" s="857" t="str">
        <f t="shared" si="201"/>
        <v/>
      </c>
      <c r="J1088" s="1409" t="str">
        <f t="shared" si="216"/>
        <v/>
      </c>
      <c r="K1088" s="1409" t="str">
        <f t="shared" si="202"/>
        <v/>
      </c>
      <c r="L1088" s="897" t="s">
        <v>1399</v>
      </c>
      <c r="M1088" s="1410">
        <v>1071</v>
      </c>
      <c r="N1088" s="1409"/>
      <c r="O1088" s="1408" t="s">
        <v>1675</v>
      </c>
      <c r="P1088" s="1408"/>
      <c r="Q1088" s="1408"/>
      <c r="R1088" s="1409" t="s">
        <v>1105</v>
      </c>
      <c r="S1088" s="1408"/>
      <c r="T1088" s="1409" t="str">
        <f t="shared" si="217"/>
        <v/>
      </c>
      <c r="U1088" s="1408"/>
      <c r="V1088" s="1408"/>
      <c r="W1088" s="1408"/>
      <c r="X1088" s="1408"/>
      <c r="Y1088" s="1408"/>
      <c r="Z1088" s="1408"/>
      <c r="AA1088" s="1408"/>
    </row>
    <row r="1089" spans="1:27" x14ac:dyDescent="0.25">
      <c r="A1089" s="926" t="s">
        <v>1402</v>
      </c>
      <c r="B1089" s="897" t="str">
        <f ca="1">IFERROR(_xlfn.CONCAT("C",MATCH(A1089,INDIRECT("'"&amp;E1089&amp;"'!C"&amp;$O$1085&amp;":C"&amp;$O$1087),0)+$O$1085-1),"")</f>
        <v>C413</v>
      </c>
      <c r="C1089" s="897" t="str">
        <f ca="1">IFERROR(_xlfn.CONCAT("D",MATCH(A1089,INDIRECT("'"&amp;E1089&amp;"'!C"&amp;$O$1085&amp;":C"&amp;$O$1087),0)+$O$1085-1),"")</f>
        <v>D413</v>
      </c>
      <c r="D1089" s="897" t="s">
        <v>1367</v>
      </c>
      <c r="E1089" s="897" t="s">
        <v>1535</v>
      </c>
      <c r="F1089" s="1409" t="s">
        <v>1402</v>
      </c>
      <c r="G1089" s="1409" t="str">
        <f>IF(T1089&lt;&gt;"","C","")</f>
        <v/>
      </c>
      <c r="H1089" s="1409" t="s">
        <v>1926</v>
      </c>
      <c r="I1089" s="857" t="str">
        <f t="shared" si="201"/>
        <v/>
      </c>
      <c r="J1089" s="1409"/>
      <c r="K1089" s="1409" t="str">
        <f t="shared" si="202"/>
        <v/>
      </c>
      <c r="L1089" s="897" t="s">
        <v>1402</v>
      </c>
      <c r="M1089" s="1410">
        <v>1072</v>
      </c>
      <c r="N1089" s="1409"/>
      <c r="O1089" s="1408"/>
      <c r="P1089" s="1408"/>
      <c r="Q1089" s="1408"/>
      <c r="R1089" s="1409" t="s">
        <v>1105</v>
      </c>
      <c r="S1089" s="1408"/>
      <c r="T1089" s="1409" t="str">
        <f t="shared" si="217"/>
        <v/>
      </c>
      <c r="U1089" s="1408"/>
      <c r="V1089" s="1408"/>
      <c r="W1089" s="1408"/>
      <c r="X1089" s="1408"/>
      <c r="Y1089" s="1408"/>
      <c r="Z1089" s="1408"/>
      <c r="AA1089" s="1408"/>
    </row>
    <row r="1090" spans="1:27" x14ac:dyDescent="0.25">
      <c r="A1090" s="926" t="s">
        <v>1403</v>
      </c>
      <c r="B1090" s="897" t="str">
        <f ca="1">IFERROR(_xlfn.CONCAT("C",MATCH(A1090,INDIRECT("'"&amp;E1090&amp;"'!C"&amp;$O$1085&amp;":C"&amp;$O$1087),0)+$O$1085-1),"")</f>
        <v>C415</v>
      </c>
      <c r="C1090" s="897" t="str">
        <f ca="1">IFERROR(_xlfn.CONCAT("D",MATCH(A1090,INDIRECT("'"&amp;E1090&amp;"'!C"&amp;$O$1085&amp;":C"&amp;$O$1087),0)+$O$1085-1),"")</f>
        <v>D415</v>
      </c>
      <c r="D1090" s="897" t="s">
        <v>1367</v>
      </c>
      <c r="E1090" s="897" t="s">
        <v>1535</v>
      </c>
      <c r="F1090" s="1409" t="s">
        <v>1403</v>
      </c>
      <c r="G1090" s="1409" t="str">
        <f>IF(T1090&lt;&gt;"","D","")</f>
        <v/>
      </c>
      <c r="H1090" s="1409" t="s">
        <v>1926</v>
      </c>
      <c r="I1090" s="857" t="str">
        <f t="shared" si="201"/>
        <v/>
      </c>
      <c r="J1090" s="1409"/>
      <c r="K1090" s="1409" t="str">
        <f t="shared" si="202"/>
        <v/>
      </c>
      <c r="L1090" s="897" t="s">
        <v>1403</v>
      </c>
      <c r="M1090" s="1410">
        <v>1073</v>
      </c>
      <c r="N1090" s="1409"/>
      <c r="O1090" s="1408"/>
      <c r="P1090" s="1408"/>
      <c r="Q1090" s="1408"/>
      <c r="R1090" s="1409" t="s">
        <v>1105</v>
      </c>
      <c r="S1090" s="1408"/>
      <c r="T1090" s="1409" t="str">
        <f t="shared" si="217"/>
        <v/>
      </c>
      <c r="U1090" s="1408"/>
      <c r="V1090" s="1408"/>
      <c r="W1090" s="1408"/>
      <c r="X1090" s="1408"/>
      <c r="Y1090" s="1408"/>
      <c r="Z1090" s="1408"/>
      <c r="AA1090" s="1408"/>
    </row>
    <row r="1091" spans="1:27" x14ac:dyDescent="0.25">
      <c r="A1091" s="926" t="s">
        <v>1514</v>
      </c>
      <c r="B1091" s="897" t="str">
        <f ca="1">IFERROR(_xlfn.CONCAT("C",MATCH(A1091,INDIRECT("'"&amp;E1091&amp;"'!C"&amp;$O$1085&amp;":C"&amp;$O$1087),0)+$O$1085-1),"")</f>
        <v>C417</v>
      </c>
      <c r="C1091" s="897" t="str">
        <f ca="1">IFERROR(_xlfn.CONCAT("D",MATCH(A1091,INDIRECT("'"&amp;E1091&amp;"'!C"&amp;$O$1085&amp;":C"&amp;$O$1087),0)+$O$1085-1),"")</f>
        <v>D417</v>
      </c>
      <c r="D1091" s="897" t="s">
        <v>1367</v>
      </c>
      <c r="E1091" s="897" t="s">
        <v>1535</v>
      </c>
      <c r="F1091" s="1409" t="s">
        <v>1514</v>
      </c>
      <c r="G1091" s="1409" t="str">
        <f>IF(T1091&lt;&gt;"","AN","")</f>
        <v/>
      </c>
      <c r="H1091" s="1409" t="s">
        <v>1926</v>
      </c>
      <c r="I1091" s="857" t="str">
        <f t="shared" si="201"/>
        <v/>
      </c>
      <c r="J1091" s="1409" t="str">
        <f t="shared" si="216"/>
        <v/>
      </c>
      <c r="K1091" s="1409" t="str">
        <f t="shared" si="202"/>
        <v/>
      </c>
      <c r="L1091" s="897" t="s">
        <v>1514</v>
      </c>
      <c r="M1091" s="1410">
        <v>1074</v>
      </c>
      <c r="N1091" s="1409"/>
      <c r="O1091" s="18"/>
      <c r="P1091" s="1409" t="str" cm="1">
        <f t="array" aca="1" ref="P1091" ca="1">_xlfn.CONCAT("F",RIGHT(B1091, LEN(B1091) - MAX(IF(ISNUMBER(MID(B1091, ROW(INDIRECT("1:"&amp;LEN(B1091))), 1) *1)=FALSE, ROW(INDIRECT("1:"&amp;LEN(B1091))), 0))))</f>
        <v>F417</v>
      </c>
      <c r="Q1091" s="1409" t="str" cm="1">
        <f t="array" aca="1" ref="Q1091" ca="1">_xlfn.CONCAT("E",RIGHT(C1091, LEN(C1091) - MAX(IF(ISNUMBER(MID(C1091, ROW(INDIRECT("1:"&amp;LEN(C1091))), 1) *1)=FALSE, ROW(INDIRECT("1:"&amp;LEN(C1091))), 0))))</f>
        <v>E417</v>
      </c>
      <c r="R1091" s="1409" t="s">
        <v>1105</v>
      </c>
      <c r="S1091" s="1408"/>
      <c r="T1091" s="1409" t="str">
        <f>IF(Q$1085="Yes",29,"")</f>
        <v/>
      </c>
      <c r="U1091" s="1408"/>
      <c r="V1091" s="1408"/>
      <c r="W1091" s="1408"/>
      <c r="X1091" s="1408"/>
      <c r="Y1091" s="1408"/>
      <c r="Z1091" s="1408"/>
      <c r="AA1091" s="1408"/>
    </row>
    <row r="1092" spans="1:27" x14ac:dyDescent="0.25">
      <c r="A1092" s="926" t="s">
        <v>1511</v>
      </c>
      <c r="B1092" s="897" t="str">
        <f ca="1">_xlfn.CONCAT(IFERROR(SUBSTITUTE(ADDRESS(1,MATCH(A1092,INDIRECT("'"&amp;E1092&amp;"'"&amp;"!A" &amp; $O$1085 + 8 &amp; ":Z" &amp; $O$1085 + 8),0),4),1,""),""),$O$1085+ 8)</f>
        <v>H415</v>
      </c>
      <c r="C1092" s="897" t="str">
        <f ca="1">_xlfn.CONCAT(IFERROR(SUBSTITUTE(ADDRESS(1,MATCH(A1092,INDIRECT("'"&amp;E1092&amp;"'"&amp;"!A" &amp; $O$1085 + 8 &amp; ":Z" &amp; $O$1085 + 8),0),4),1,""),""),$O$1085+ 9)</f>
        <v>H416</v>
      </c>
      <c r="D1092" s="897" t="s">
        <v>1367</v>
      </c>
      <c r="E1092" s="897" t="s">
        <v>1535</v>
      </c>
      <c r="F1092" s="1409" t="s">
        <v>1511</v>
      </c>
      <c r="G1092" s="1409" t="str">
        <f>IF(T1092&lt;&gt;"","AL","")</f>
        <v/>
      </c>
      <c r="H1092" s="1409" t="s">
        <v>1926</v>
      </c>
      <c r="I1092" s="857" t="str">
        <f t="shared" ref="I1092:I1155" si="218">IF(J1092&lt;&gt;"",A1092,"")</f>
        <v/>
      </c>
      <c r="J1092" s="1409" t="str">
        <f t="shared" si="216"/>
        <v/>
      </c>
      <c r="K1092" s="1409" t="str">
        <f t="shared" ref="K1092:K1155" si="219">IF(J1092&lt;&gt;"",E1092,"")</f>
        <v/>
      </c>
      <c r="L1092" s="897" t="s">
        <v>1511</v>
      </c>
      <c r="M1092" s="1410">
        <v>1075</v>
      </c>
      <c r="N1092" s="1409"/>
      <c r="O1092" s="1408"/>
      <c r="P1092" s="1408"/>
      <c r="Q1092" s="1408"/>
      <c r="R1092" s="1409" t="s">
        <v>1105</v>
      </c>
      <c r="S1092" s="1408"/>
      <c r="T1092" s="1409" t="str">
        <f>IF(Q$1085="Yes",29,"")</f>
        <v/>
      </c>
      <c r="U1092" s="1408"/>
      <c r="V1092" s="1408"/>
      <c r="W1092" s="1408"/>
      <c r="X1092" s="1408"/>
      <c r="Y1092" s="1408"/>
      <c r="Z1092" s="1408"/>
      <c r="AA1092" s="1408"/>
    </row>
    <row r="1093" spans="1:27" x14ac:dyDescent="0.25">
      <c r="A1093" s="926" t="s">
        <v>1413</v>
      </c>
      <c r="B1093" s="897" t="str">
        <f ca="1">_xlfn.CONCAT(IFERROR(SUBSTITUTE(ADDRESS(1,MATCH(A1093,INDIRECT("'"&amp;E1093&amp;"'"&amp;"!A" &amp; $O$1085 + 5 &amp; ":Z" &amp; $O$1085 + 5),0),4),1,""),""),$O$1085+ 5)</f>
        <v>H412</v>
      </c>
      <c r="C1093" s="897" t="str">
        <f ca="1">_xlfn.CONCAT(IFERROR(SUBSTITUTE(ADDRESS(1,MATCH(A1093,INDIRECT("'"&amp;E1093&amp;"'"&amp;"!A" &amp; $O$1085 + 5 &amp; ":Z" &amp; $O$1085 + 5),0),4),1,""),""),$O$1085+ 6)</f>
        <v>H413</v>
      </c>
      <c r="D1093" s="897" t="s">
        <v>1367</v>
      </c>
      <c r="E1093" s="897" t="s">
        <v>1535</v>
      </c>
      <c r="F1093" s="1409" t="s">
        <v>1413</v>
      </c>
      <c r="G1093" s="1409" t="str">
        <f>IF(T1093&lt;&gt;"","S","")</f>
        <v/>
      </c>
      <c r="H1093" s="1409" t="s">
        <v>1926</v>
      </c>
      <c r="I1093" s="857" t="str">
        <f t="shared" si="218"/>
        <v/>
      </c>
      <c r="J1093" s="1409" t="str">
        <f t="shared" si="216"/>
        <v/>
      </c>
      <c r="K1093" s="1409" t="str">
        <f t="shared" si="219"/>
        <v/>
      </c>
      <c r="L1093" s="897" t="s">
        <v>1413</v>
      </c>
      <c r="M1093" s="1410">
        <v>1076</v>
      </c>
      <c r="N1093" s="1409"/>
      <c r="O1093" s="1408"/>
      <c r="P1093" s="1408"/>
      <c r="Q1093" s="1408"/>
      <c r="R1093" s="1409" t="s">
        <v>1105</v>
      </c>
      <c r="S1093" s="1408"/>
      <c r="T1093" s="1409" t="str">
        <f>IF(Q$1085="Yes",29,"")</f>
        <v/>
      </c>
      <c r="U1093" s="1408"/>
      <c r="V1093" s="1408"/>
      <c r="W1093" s="1408"/>
      <c r="X1093" s="1408"/>
      <c r="Y1093" s="1408"/>
      <c r="Z1093" s="1408"/>
      <c r="AA1093" s="1408"/>
    </row>
    <row r="1094" spans="1:27" x14ac:dyDescent="0.25">
      <c r="A1094" s="929" t="s">
        <v>1510</v>
      </c>
      <c r="B1094" s="897" t="str">
        <f ca="1">IFERROR(_xlfn.CONCAT("C",MATCH(A1094,INDIRECT("'"&amp;E1094&amp;"'!C"&amp;$O$1095&amp;":C"&amp;$O$1097),0)+$O$1095-1),"")</f>
        <v>C425</v>
      </c>
      <c r="C1094" s="897" t="str">
        <f ca="1">IFERROR(_xlfn.CONCAT("D",MATCH(A1094,INDIRECT("'"&amp;E1094&amp;"'!C"&amp;$O$1095&amp;":C"&amp;$O$1097),0)+$O$1095-1),"")</f>
        <v>D425</v>
      </c>
      <c r="D1094" s="897" t="s">
        <v>1367</v>
      </c>
      <c r="E1094" s="897" t="s">
        <v>1535</v>
      </c>
      <c r="F1094" s="1409" t="s">
        <v>1510</v>
      </c>
      <c r="G1094" s="1409" t="str">
        <f>IF(T1094&lt;&gt;"","A","")</f>
        <v/>
      </c>
      <c r="H1094" s="1409" t="s">
        <v>1926</v>
      </c>
      <c r="I1094" s="857" t="str">
        <f t="shared" si="218"/>
        <v/>
      </c>
      <c r="J1094" s="1409"/>
      <c r="K1094" s="1409" t="str">
        <f t="shared" si="219"/>
        <v/>
      </c>
      <c r="L1094" s="897" t="s">
        <v>1510</v>
      </c>
      <c r="M1094" s="1410">
        <v>1077</v>
      </c>
      <c r="N1094" s="1409"/>
      <c r="O1094" s="1408" t="s">
        <v>726</v>
      </c>
      <c r="P1094" s="18"/>
      <c r="Q1094" s="1408"/>
      <c r="R1094" s="1409" t="s">
        <v>1105</v>
      </c>
      <c r="S1094" s="1408"/>
      <c r="T1094" s="1409" t="str">
        <f>IF(Q$1095="Yes",30,"")</f>
        <v/>
      </c>
      <c r="U1094" s="1408"/>
      <c r="V1094" s="1408"/>
      <c r="W1094" s="1408"/>
      <c r="X1094" s="1408"/>
      <c r="Y1094" s="1408"/>
      <c r="Z1094" s="1408"/>
      <c r="AA1094" s="1408"/>
    </row>
    <row r="1095" spans="1:27" x14ac:dyDescent="0.25">
      <c r="A1095" s="929" t="s">
        <v>1724</v>
      </c>
      <c r="B1095" s="897" t="str">
        <f ca="1">_xlfn.CONCAT(IFERROR(SUBSTITUTE(ADDRESS(1,MATCH(A1095,INDIRECT("'"&amp;E1095&amp;"'"&amp;"!A" &amp; $O$1095 + 11 &amp; ":Z" &amp; $O$1095 + 11),0),4),1,""),""),$O$1095+ 11)</f>
        <v>T432</v>
      </c>
      <c r="C1095" s="897" t="str">
        <f ca="1">_xlfn.CONCAT(IFERROR(SUBSTITUTE(ADDRESS(1,MATCH(A1095,INDIRECT("'"&amp;E1095&amp;"'"&amp;"!A" &amp; $O$1095 + 11 &amp; ":Z" &amp; $O$1095 + 11),0),4),1,""),""),$O$1095+ 12)</f>
        <v>T433</v>
      </c>
      <c r="D1095" s="897" t="s">
        <v>1367</v>
      </c>
      <c r="E1095" s="897" t="s">
        <v>1535</v>
      </c>
      <c r="F1095" s="1409"/>
      <c r="G1095" s="1409"/>
      <c r="H1095" s="1409"/>
      <c r="I1095" s="857" t="str">
        <f t="shared" si="218"/>
        <v/>
      </c>
      <c r="J1095" s="1409" t="str">
        <f>IF(M1095&lt;&gt;"",IF($Q$1095="Yes",Q$1&amp;M1095,""))</f>
        <v/>
      </c>
      <c r="K1095" s="1409" t="str">
        <f t="shared" si="219"/>
        <v/>
      </c>
      <c r="L1095" s="897" t="s">
        <v>1724</v>
      </c>
      <c r="M1095" s="1410">
        <v>1078</v>
      </c>
      <c r="N1095" s="1409"/>
      <c r="O1095" s="1408">
        <f>'Configurable Tab'!H32</f>
        <v>421</v>
      </c>
      <c r="P1095" s="18">
        <f>'Configurable Tab'!J32</f>
        <v>0</v>
      </c>
      <c r="Q1095" s="1408" t="s">
        <v>649</v>
      </c>
      <c r="R1095" s="1409" t="s">
        <v>1105</v>
      </c>
      <c r="S1095" s="1408"/>
      <c r="T1095" s="1409" t="str">
        <f t="shared" ref="T1095:T1100" si="220">IF(Q$1095="Yes",30,"")</f>
        <v/>
      </c>
      <c r="U1095" s="1408"/>
      <c r="V1095" s="1408"/>
      <c r="W1095" s="1408"/>
      <c r="X1095" s="1408"/>
      <c r="Y1095" s="1408"/>
      <c r="Z1095" s="1408"/>
      <c r="AA1095" s="1408"/>
    </row>
    <row r="1096" spans="1:27" x14ac:dyDescent="0.25">
      <c r="A1096" s="929" t="s">
        <v>1400</v>
      </c>
      <c r="B1096" s="897" t="str">
        <f ca="1">IFERROR(_xlfn.CONCAT("C",MATCH(A1096,INDIRECT("'"&amp;E1096&amp;"'!C"&amp;$O$1095&amp;":C"&amp;$O$1097),0)+$O$1095-1),"")</f>
        <v>C423</v>
      </c>
      <c r="C1096" s="897" t="str">
        <f ca="1">IFERROR(_xlfn.CONCAT("D",MATCH(A1096,INDIRECT("'"&amp;E1096&amp;"'!C"&amp;$O$1095&amp;":C"&amp;$O$1097),0)+$O$1095-1),"")</f>
        <v>D423</v>
      </c>
      <c r="D1096" s="897" t="s">
        <v>1367</v>
      </c>
      <c r="E1096" s="897" t="s">
        <v>1535</v>
      </c>
      <c r="F1096" s="1409" t="s">
        <v>1400</v>
      </c>
      <c r="G1096" s="1409" t="str">
        <f>IF(T1096&lt;&gt;"","B","")</f>
        <v/>
      </c>
      <c r="H1096" s="1409" t="s">
        <v>1926</v>
      </c>
      <c r="I1096" s="857" t="str">
        <f t="shared" si="218"/>
        <v/>
      </c>
      <c r="J1096" s="1409"/>
      <c r="K1096" s="1409" t="str">
        <f t="shared" si="219"/>
        <v/>
      </c>
      <c r="L1096" s="897" t="s">
        <v>1400</v>
      </c>
      <c r="M1096" s="1410">
        <v>1079</v>
      </c>
      <c r="N1096" s="1409"/>
      <c r="O1096" s="1408" t="s">
        <v>727</v>
      </c>
      <c r="P1096" s="1408"/>
      <c r="Q1096" s="1408"/>
      <c r="R1096" s="1409" t="s">
        <v>1105</v>
      </c>
      <c r="S1096" s="1408"/>
      <c r="T1096" s="1409" t="str">
        <f t="shared" si="220"/>
        <v/>
      </c>
      <c r="U1096" s="1408"/>
      <c r="V1096" s="1408"/>
      <c r="W1096" s="1408"/>
      <c r="X1096" s="1408"/>
      <c r="Y1096" s="1408"/>
      <c r="Z1096" s="1408"/>
      <c r="AA1096" s="1408"/>
    </row>
    <row r="1097" spans="1:27" x14ac:dyDescent="0.25">
      <c r="A1097" s="929" t="s">
        <v>1398</v>
      </c>
      <c r="B1097" s="897" t="str">
        <f ca="1">_xlfn.CONCAT(IFERROR(SUBSTITUTE(ADDRESS(1,MATCH(A1097,INDIRECT("'"&amp;E1097&amp;"'"&amp;"!A" &amp; $O$1095 + 2 &amp; ":Z" &amp; $O$1095 + 2),0),4),1,""),""),$O$1095+ 2)</f>
        <v>J423</v>
      </c>
      <c r="C1097" s="897" t="str">
        <f ca="1">_xlfn.CONCAT(IFERROR(SUBSTITUTE(ADDRESS(1,MATCH(A1097,INDIRECT("'"&amp;E1097&amp;"'"&amp;"!A" &amp; $O$1095 + 2 &amp; ":Z" &amp; $O$1095 + 2),0),4),1,""),""),$O$1095+ 3)</f>
        <v>J424</v>
      </c>
      <c r="D1097" s="897" t="s">
        <v>1367</v>
      </c>
      <c r="E1097" s="897" t="s">
        <v>1535</v>
      </c>
      <c r="F1097" s="1409" t="s">
        <v>1928</v>
      </c>
      <c r="G1097" s="1409" t="str">
        <f>IF(T1097&lt;&gt;"","I","")</f>
        <v/>
      </c>
      <c r="H1097" s="1409" t="s">
        <v>1926</v>
      </c>
      <c r="I1097" s="857" t="str">
        <f t="shared" si="218"/>
        <v/>
      </c>
      <c r="J1097" s="1409" t="str">
        <f>IF(M1097&lt;&gt;"",IF($Q$1095="Yes",Q$1&amp;M1097,""))</f>
        <v/>
      </c>
      <c r="K1097" s="1409" t="str">
        <f t="shared" si="219"/>
        <v/>
      </c>
      <c r="L1097" s="897" t="s">
        <v>1398</v>
      </c>
      <c r="M1097" s="1410">
        <v>1080</v>
      </c>
      <c r="N1097" s="1409"/>
      <c r="O1097" s="1408">
        <f>'Configurable Tab'!I32</f>
        <v>434</v>
      </c>
      <c r="P1097" s="1408"/>
      <c r="Q1097" s="1408"/>
      <c r="R1097" s="1409" t="s">
        <v>1105</v>
      </c>
      <c r="S1097" s="1408"/>
      <c r="T1097" s="1409" t="str">
        <f t="shared" si="220"/>
        <v/>
      </c>
      <c r="U1097" s="1408"/>
      <c r="V1097" s="1408"/>
      <c r="W1097" s="1408"/>
      <c r="X1097" s="1408"/>
      <c r="Y1097" s="1408"/>
      <c r="Z1097" s="1408"/>
      <c r="AA1097" s="1408"/>
    </row>
    <row r="1098" spans="1:27" x14ac:dyDescent="0.25">
      <c r="A1098" s="929" t="s">
        <v>1399</v>
      </c>
      <c r="B1098" s="897" t="str">
        <f ca="1">_xlfn.CONCAT(IFERROR(SUBSTITUTE(ADDRESS(1,MATCH(A1098,INDIRECT("'"&amp;E1098&amp;"'"&amp;"!A" &amp; $O$1095 + 2 &amp; ":Z" &amp; $O$1095 + 2),0),4),1,""),""),$O$1095+ 2)</f>
        <v>N423</v>
      </c>
      <c r="C1098" s="897" t="str">
        <f ca="1">_xlfn.CONCAT(IFERROR(SUBSTITUTE(ADDRESS(1,MATCH(A1098,INDIRECT("'"&amp;E1098&amp;"'"&amp;"!A" &amp; $O$1095 + 2 &amp; ":Z" &amp; $O$1095 + 2),0),4),1,""),""),$O$1095+ 3)</f>
        <v>N424</v>
      </c>
      <c r="D1098" s="897" t="s">
        <v>1367</v>
      </c>
      <c r="E1098" s="897" t="s">
        <v>1535</v>
      </c>
      <c r="F1098" s="1409" t="s">
        <v>1399</v>
      </c>
      <c r="G1098" s="1409" t="str">
        <f>IF(T1098&lt;&gt;"",IF(Q1097="Credit Memo","J",IF(Q1097="Check","K","")),"")</f>
        <v/>
      </c>
      <c r="H1098" s="1409" t="s">
        <v>1926</v>
      </c>
      <c r="I1098" s="857" t="str">
        <f t="shared" si="218"/>
        <v/>
      </c>
      <c r="J1098" s="1409" t="str">
        <f>IF(M1098&lt;&gt;"",IF($Q$1095="Yes",Q$1&amp;M1098,""))</f>
        <v/>
      </c>
      <c r="K1098" s="1409" t="str">
        <f t="shared" si="219"/>
        <v/>
      </c>
      <c r="L1098" s="897" t="s">
        <v>1399</v>
      </c>
      <c r="M1098" s="1410">
        <v>1081</v>
      </c>
      <c r="N1098" s="1409"/>
      <c r="O1098" s="1408" t="s">
        <v>1676</v>
      </c>
      <c r="P1098" s="1408"/>
      <c r="Q1098" s="1408"/>
      <c r="R1098" s="1409" t="s">
        <v>1105</v>
      </c>
      <c r="S1098" s="1408"/>
      <c r="T1098" s="1409" t="str">
        <f t="shared" si="220"/>
        <v/>
      </c>
      <c r="U1098" s="1408"/>
      <c r="V1098" s="1408"/>
      <c r="W1098" s="1408"/>
      <c r="X1098" s="1408"/>
      <c r="Y1098" s="1408"/>
      <c r="Z1098" s="1408"/>
      <c r="AA1098" s="1408"/>
    </row>
    <row r="1099" spans="1:27" x14ac:dyDescent="0.25">
      <c r="A1099" s="929" t="s">
        <v>1402</v>
      </c>
      <c r="B1099" s="897" t="str">
        <f ca="1">IFERROR(_xlfn.CONCAT("C",MATCH(A1099,INDIRECT("'"&amp;E1099&amp;"'!C"&amp;$O$1095&amp;":C"&amp;$O$1097),0)+$O$1095-1),"")</f>
        <v>C427</v>
      </c>
      <c r="C1099" s="897" t="str">
        <f ca="1">IFERROR(_xlfn.CONCAT("D",MATCH(A1099,INDIRECT("'"&amp;E1099&amp;"'!C"&amp;$O$1095&amp;":C"&amp;$O$1097),0)+$O$1095-1),"")</f>
        <v>D427</v>
      </c>
      <c r="D1099" s="897" t="s">
        <v>1367</v>
      </c>
      <c r="E1099" s="897" t="s">
        <v>1535</v>
      </c>
      <c r="F1099" s="1409" t="s">
        <v>1402</v>
      </c>
      <c r="G1099" s="1409" t="str">
        <f>IF(T1099&lt;&gt;"","C","")</f>
        <v/>
      </c>
      <c r="H1099" s="1409" t="s">
        <v>1926</v>
      </c>
      <c r="I1099" s="857" t="str">
        <f t="shared" si="218"/>
        <v/>
      </c>
      <c r="J1099" s="1409"/>
      <c r="K1099" s="1409" t="str">
        <f t="shared" si="219"/>
        <v/>
      </c>
      <c r="L1099" s="897" t="s">
        <v>1402</v>
      </c>
      <c r="M1099" s="1410">
        <v>1082</v>
      </c>
      <c r="N1099" s="1409"/>
      <c r="O1099" s="1408"/>
      <c r="P1099" s="1408"/>
      <c r="Q1099" s="1408"/>
      <c r="R1099" s="1409" t="s">
        <v>1105</v>
      </c>
      <c r="S1099" s="1408"/>
      <c r="T1099" s="1409" t="str">
        <f t="shared" si="220"/>
        <v/>
      </c>
      <c r="U1099" s="1408"/>
      <c r="V1099" s="1408"/>
      <c r="W1099" s="1408"/>
      <c r="X1099" s="1408"/>
      <c r="Y1099" s="1408"/>
      <c r="Z1099" s="1408"/>
      <c r="AA1099" s="1408"/>
    </row>
    <row r="1100" spans="1:27" x14ac:dyDescent="0.25">
      <c r="A1100" s="929" t="s">
        <v>1403</v>
      </c>
      <c r="B1100" s="897" t="str">
        <f ca="1">IFERROR(_xlfn.CONCAT("C",MATCH(A1100,INDIRECT("'"&amp;E1100&amp;"'!C"&amp;$O$1095&amp;":C"&amp;$O$1097),0)+$O$1095-1),"")</f>
        <v>C429</v>
      </c>
      <c r="C1100" s="897" t="str">
        <f ca="1">IFERROR(_xlfn.CONCAT("D",MATCH(A1100,INDIRECT("'"&amp;E1100&amp;"'!C"&amp;$O$1095&amp;":C"&amp;$O$1097),0)+$O$1095-1),"")</f>
        <v>D429</v>
      </c>
      <c r="D1100" s="897" t="s">
        <v>1367</v>
      </c>
      <c r="E1100" s="897" t="s">
        <v>1535</v>
      </c>
      <c r="F1100" s="1409" t="s">
        <v>1403</v>
      </c>
      <c r="G1100" s="1409" t="str">
        <f>IF(T1100&lt;&gt;"","D","")</f>
        <v/>
      </c>
      <c r="H1100" s="1409" t="s">
        <v>1926</v>
      </c>
      <c r="I1100" s="857" t="str">
        <f t="shared" si="218"/>
        <v/>
      </c>
      <c r="J1100" s="1409"/>
      <c r="K1100" s="1409" t="str">
        <f t="shared" si="219"/>
        <v/>
      </c>
      <c r="L1100" s="897" t="s">
        <v>1403</v>
      </c>
      <c r="M1100" s="1410">
        <v>1083</v>
      </c>
      <c r="N1100" s="1409"/>
      <c r="O1100" s="1408"/>
      <c r="P1100" s="1408"/>
      <c r="Q1100" s="1408"/>
      <c r="R1100" s="1409" t="s">
        <v>1105</v>
      </c>
      <c r="S1100" s="1408"/>
      <c r="T1100" s="1409" t="str">
        <f t="shared" si="220"/>
        <v/>
      </c>
      <c r="U1100" s="1408"/>
      <c r="V1100" s="1408"/>
      <c r="W1100" s="1408"/>
      <c r="X1100" s="1408"/>
      <c r="Y1100" s="1408"/>
      <c r="Z1100" s="1408"/>
      <c r="AA1100" s="1408"/>
    </row>
    <row r="1101" spans="1:27" x14ac:dyDescent="0.25">
      <c r="A1101" s="929" t="s">
        <v>1514</v>
      </c>
      <c r="B1101" s="897" t="str">
        <f ca="1">IFERROR(_xlfn.CONCAT("C",MATCH(A1101,INDIRECT("'"&amp;E1101&amp;"'!C"&amp;$O$1095&amp;":C"&amp;$O$1097),0)+$O$1095-1),"")</f>
        <v>C431</v>
      </c>
      <c r="C1101" s="897" t="str">
        <f ca="1">IFERROR(_xlfn.CONCAT("D",MATCH(A1101,INDIRECT("'"&amp;E1101&amp;"'!C"&amp;$O$1095&amp;":C"&amp;$O$1097),0)+$O$1095-1),"")</f>
        <v>D431</v>
      </c>
      <c r="D1101" s="897" t="s">
        <v>1367</v>
      </c>
      <c r="E1101" s="897" t="s">
        <v>1535</v>
      </c>
      <c r="F1101" s="1409" t="s">
        <v>1514</v>
      </c>
      <c r="G1101" s="1409" t="str">
        <f>IF(T1101&lt;&gt;"","AN","")</f>
        <v/>
      </c>
      <c r="H1101" s="1409" t="s">
        <v>1926</v>
      </c>
      <c r="I1101" s="857" t="str">
        <f t="shared" si="218"/>
        <v/>
      </c>
      <c r="J1101" s="1409" t="str">
        <f>IF(M1101&lt;&gt;"",IF($Q$1095="Yes",Q$1&amp;M1101,""))</f>
        <v/>
      </c>
      <c r="K1101" s="1409" t="str">
        <f t="shared" si="219"/>
        <v/>
      </c>
      <c r="L1101" s="897" t="s">
        <v>1514</v>
      </c>
      <c r="M1101" s="1410">
        <v>1084</v>
      </c>
      <c r="N1101" s="1409"/>
      <c r="O1101" s="18"/>
      <c r="P1101" s="1409" t="str" cm="1">
        <f t="array" aca="1" ref="P1101" ca="1">_xlfn.CONCAT("F",RIGHT(B1101, LEN(B1101) - MAX(IF(ISNUMBER(MID(B1101, ROW(INDIRECT("1:"&amp;LEN(B1101))), 1) *1)=FALSE, ROW(INDIRECT("1:"&amp;LEN(B1101))), 0))))</f>
        <v>F431</v>
      </c>
      <c r="Q1101" s="1409" t="str" cm="1">
        <f t="array" aca="1" ref="Q1101" ca="1">_xlfn.CONCAT("E",RIGHT(C1101, LEN(C1101) - MAX(IF(ISNUMBER(MID(C1101, ROW(INDIRECT("1:"&amp;LEN(C1101))), 1) *1)=FALSE, ROW(INDIRECT("1:"&amp;LEN(C1101))), 0))))</f>
        <v>E431</v>
      </c>
      <c r="R1101" s="1409" t="s">
        <v>1105</v>
      </c>
      <c r="S1101" s="1408"/>
      <c r="T1101" s="1409" t="str">
        <f>IF(Q$1095="Yes",30,"")</f>
        <v/>
      </c>
      <c r="U1101" s="1408"/>
      <c r="V1101" s="1408"/>
      <c r="W1101" s="1408"/>
      <c r="X1101" s="1408"/>
      <c r="Y1101" s="1408"/>
      <c r="Z1101" s="1408"/>
      <c r="AA1101" s="1408"/>
    </row>
    <row r="1102" spans="1:27" x14ac:dyDescent="0.25">
      <c r="A1102" s="929" t="s">
        <v>1511</v>
      </c>
      <c r="B1102" s="897" t="str">
        <f ca="1">_xlfn.CONCAT(IFERROR(SUBSTITUTE(ADDRESS(1,MATCH(A1102,INDIRECT("'"&amp;E1102&amp;"'"&amp;"!A" &amp; $O$1095 + 8 &amp; ":Z" &amp; $O$1095 + 8 ),0),4),1,""),""),$O$1095+ 8)</f>
        <v>H429</v>
      </c>
      <c r="C1102" s="897" t="str">
        <f ca="1">_xlfn.CONCAT(IFERROR(SUBSTITUTE(ADDRESS(1,MATCH(A1102,INDIRECT("'"&amp;E1102&amp;"'"&amp;"!A" &amp; $O$1095 + 8 &amp; ":Z" &amp; $O$1095 + 8 ),0),4),1,""),""),$O$1095+ 9)</f>
        <v>H430</v>
      </c>
      <c r="D1102" s="897" t="s">
        <v>1367</v>
      </c>
      <c r="E1102" s="897" t="s">
        <v>1535</v>
      </c>
      <c r="F1102" s="1409" t="s">
        <v>1511</v>
      </c>
      <c r="G1102" s="1409" t="str">
        <f>IF(T1102&lt;&gt;"","AL","")</f>
        <v/>
      </c>
      <c r="H1102" s="1409" t="s">
        <v>1926</v>
      </c>
      <c r="I1102" s="857" t="str">
        <f t="shared" si="218"/>
        <v/>
      </c>
      <c r="J1102" s="1409" t="str">
        <f>IF(M1102&lt;&gt;"",IF($Q$1095="Yes",Q$1&amp;M1102,""))</f>
        <v/>
      </c>
      <c r="K1102" s="1409" t="str">
        <f t="shared" si="219"/>
        <v/>
      </c>
      <c r="L1102" s="897" t="s">
        <v>1511</v>
      </c>
      <c r="M1102" s="1410">
        <v>1085</v>
      </c>
      <c r="N1102" s="1409"/>
      <c r="O1102" s="1408"/>
      <c r="P1102" s="1408"/>
      <c r="Q1102" s="1408"/>
      <c r="R1102" s="1409" t="s">
        <v>1105</v>
      </c>
      <c r="S1102" s="1408"/>
      <c r="T1102" s="1409" t="str">
        <f>IF(Q$1095="Yes",30,"")</f>
        <v/>
      </c>
      <c r="U1102" s="1408"/>
      <c r="V1102" s="1408"/>
      <c r="W1102" s="1408"/>
      <c r="X1102" s="1408"/>
      <c r="Y1102" s="1408"/>
      <c r="Z1102" s="1408"/>
      <c r="AA1102" s="1408"/>
    </row>
    <row r="1103" spans="1:27" x14ac:dyDescent="0.25">
      <c r="A1103" s="929" t="s">
        <v>1413</v>
      </c>
      <c r="B1103" s="897" t="str">
        <f ca="1">_xlfn.CONCAT(IFERROR(SUBSTITUTE(ADDRESS(1,MATCH(A1103,INDIRECT("'"&amp;E1103&amp;"'"&amp;"!A" &amp; $O$1095 + 5 &amp; ":Z" &amp; $O$1095 + 5 ),0),4),1,""),""),$O$1095+ 5)</f>
        <v>H426</v>
      </c>
      <c r="C1103" s="897" t="str">
        <f ca="1">_xlfn.CONCAT(IFERROR(SUBSTITUTE(ADDRESS(1,MATCH(A1103,INDIRECT("'"&amp;E1103&amp;"'"&amp;"!A" &amp; $O$1095 + 5 &amp; ":Z" &amp; $O$1095 + 5 ),0),4),1,""),""),$O$1095+ 6)</f>
        <v>H427</v>
      </c>
      <c r="D1103" s="897" t="s">
        <v>1367</v>
      </c>
      <c r="E1103" s="897" t="s">
        <v>1535</v>
      </c>
      <c r="F1103" s="1409" t="s">
        <v>1413</v>
      </c>
      <c r="G1103" s="1409" t="str">
        <f>IF(T1103&lt;&gt;"","S","")</f>
        <v/>
      </c>
      <c r="H1103" s="1409" t="s">
        <v>1926</v>
      </c>
      <c r="I1103" s="857" t="str">
        <f t="shared" si="218"/>
        <v/>
      </c>
      <c r="J1103" s="1409" t="str">
        <f>IF(M1103&lt;&gt;"",IF($Q$1095="Yes",Q$1&amp;M1103,""))</f>
        <v/>
      </c>
      <c r="K1103" s="1409" t="str">
        <f t="shared" si="219"/>
        <v/>
      </c>
      <c r="L1103" s="897" t="s">
        <v>1413</v>
      </c>
      <c r="M1103" s="1410">
        <v>1086</v>
      </c>
      <c r="N1103" s="1409"/>
      <c r="O1103" s="1408"/>
      <c r="P1103" s="1408"/>
      <c r="Q1103" s="1408"/>
      <c r="R1103" s="1409" t="s">
        <v>1105</v>
      </c>
      <c r="S1103" s="1408"/>
      <c r="T1103" s="1409" t="str">
        <f>IF(Q$1095="Yes",30,"")</f>
        <v/>
      </c>
      <c r="U1103" s="1408"/>
      <c r="V1103" s="1408"/>
      <c r="W1103" s="1408"/>
      <c r="X1103" s="1408"/>
      <c r="Y1103" s="1408"/>
      <c r="Z1103" s="1408"/>
      <c r="AA1103" s="1408"/>
    </row>
    <row r="1104" spans="1:27" x14ac:dyDescent="0.25">
      <c r="A1104" s="926" t="s">
        <v>1510</v>
      </c>
      <c r="B1104" s="897" t="str">
        <f ca="1">IFERROR(_xlfn.CONCAT("C",MATCH(A1104,INDIRECT("'"&amp;E1104&amp;"'!C"&amp;$O$1105&amp;":C"&amp;$O$1107),0)+$O$1105-1),"")</f>
        <v>C439</v>
      </c>
      <c r="C1104" s="897" t="str">
        <f ca="1">IFERROR(_xlfn.CONCAT("D",MATCH(A1104,INDIRECT("'"&amp;E1104&amp;"'!C"&amp;$O$1105&amp;":C"&amp;$O$1107),0)+$O$1105-1),"")</f>
        <v>D439</v>
      </c>
      <c r="D1104" s="897" t="s">
        <v>1367</v>
      </c>
      <c r="E1104" s="897" t="s">
        <v>1535</v>
      </c>
      <c r="F1104" s="1409" t="s">
        <v>1510</v>
      </c>
      <c r="G1104" s="1409" t="str">
        <f>IF(T1104&lt;&gt;"","A","")</f>
        <v/>
      </c>
      <c r="H1104" s="1409" t="s">
        <v>1926</v>
      </c>
      <c r="I1104" s="857" t="str">
        <f t="shared" si="218"/>
        <v/>
      </c>
      <c r="J1104" s="1409"/>
      <c r="K1104" s="1409" t="str">
        <f t="shared" si="219"/>
        <v/>
      </c>
      <c r="L1104" s="897" t="s">
        <v>1510</v>
      </c>
      <c r="M1104" s="1410">
        <v>1087</v>
      </c>
      <c r="N1104" s="1409"/>
      <c r="O1104" s="1408" t="s">
        <v>726</v>
      </c>
      <c r="P1104" s="18"/>
      <c r="Q1104" s="1408"/>
      <c r="R1104" s="1409" t="s">
        <v>1105</v>
      </c>
      <c r="S1104" s="1408"/>
      <c r="T1104" s="1409" t="str">
        <f>IF(Q$1105="Yes",31,"")</f>
        <v/>
      </c>
      <c r="U1104" s="1408"/>
      <c r="V1104" s="1408"/>
      <c r="W1104" s="1408"/>
      <c r="X1104" s="1408"/>
      <c r="Y1104" s="1408"/>
      <c r="Z1104" s="1408"/>
      <c r="AA1104" s="1408"/>
    </row>
    <row r="1105" spans="1:27" x14ac:dyDescent="0.25">
      <c r="A1105" s="926" t="s">
        <v>1724</v>
      </c>
      <c r="B1105" s="897" t="str">
        <f ca="1">_xlfn.CONCAT(IFERROR(SUBSTITUTE(ADDRESS(1,MATCH(A1105,INDIRECT("'"&amp;E1105&amp;"'"&amp;"!A" &amp; $O$1105 + 11 &amp; ":Z" &amp; $O$1105 + 11),0),4),1,""),""),$O$1105+ 11)</f>
        <v>T446</v>
      </c>
      <c r="C1105" s="897" t="str">
        <f ca="1">_xlfn.CONCAT(IFERROR(SUBSTITUTE(ADDRESS(1,MATCH(A1105,INDIRECT("'"&amp;E1105&amp;"'"&amp;"!A" &amp; $O$1105 + 11 &amp; ":Z" &amp; $O$1105 + 11),0),4),1,""),""),$O$1105+ 12)</f>
        <v>T447</v>
      </c>
      <c r="D1105" s="897" t="s">
        <v>1367</v>
      </c>
      <c r="E1105" s="897" t="s">
        <v>1535</v>
      </c>
      <c r="F1105" s="1409"/>
      <c r="G1105" s="1409"/>
      <c r="H1105" s="1409"/>
      <c r="I1105" s="857" t="str">
        <f t="shared" si="218"/>
        <v/>
      </c>
      <c r="J1105" s="1409" t="str">
        <f t="shared" ref="J1105:J1132" si="221">IF(M1105&lt;&gt;"",IF($Q$1105="Yes",Q$1&amp;M1105,""))</f>
        <v/>
      </c>
      <c r="K1105" s="1409" t="str">
        <f t="shared" si="219"/>
        <v/>
      </c>
      <c r="L1105" s="897" t="s">
        <v>1724</v>
      </c>
      <c r="M1105" s="1410">
        <v>1088</v>
      </c>
      <c r="N1105" s="1409"/>
      <c r="O1105" s="1408">
        <f>'Configurable Tab'!H33</f>
        <v>435</v>
      </c>
      <c r="P1105" s="18">
        <f>'Configurable Tab'!J33</f>
        <v>0</v>
      </c>
      <c r="Q1105" s="1408" t="s">
        <v>649</v>
      </c>
      <c r="R1105" s="1409" t="s">
        <v>1105</v>
      </c>
      <c r="S1105" s="1408"/>
      <c r="T1105" s="1409" t="str">
        <f t="shared" ref="T1105:T1113" si="222">IF(Q$1105="Yes",31,"")</f>
        <v/>
      </c>
      <c r="U1105" s="1408"/>
      <c r="V1105" s="1408"/>
      <c r="W1105" s="1408"/>
      <c r="X1105" s="1408"/>
      <c r="Y1105" s="1408"/>
      <c r="Z1105" s="1408"/>
      <c r="AA1105" s="1408"/>
    </row>
    <row r="1106" spans="1:27" x14ac:dyDescent="0.25">
      <c r="A1106" s="926" t="s">
        <v>1400</v>
      </c>
      <c r="B1106" s="897" t="str">
        <f ca="1">IFERROR(_xlfn.CONCAT("C",MATCH(A1106,INDIRECT("'"&amp;E1106&amp;"'!C"&amp;$O$1105&amp;":C"&amp;$O$1107),0)+$O$1105-1),"")</f>
        <v>C437</v>
      </c>
      <c r="C1106" s="897" t="str">
        <f ca="1">IFERROR(_xlfn.CONCAT("D",MATCH(A1106,INDIRECT("'"&amp;E1106&amp;"'!C"&amp;$O$1105&amp;":C"&amp;$O$1107),0)+$O$1105-1),"")</f>
        <v>D437</v>
      </c>
      <c r="D1106" s="897" t="s">
        <v>1367</v>
      </c>
      <c r="E1106" s="897" t="s">
        <v>1535</v>
      </c>
      <c r="F1106" s="1409" t="s">
        <v>1400</v>
      </c>
      <c r="G1106" s="1409" t="str">
        <f>IF(T1106&lt;&gt;"","B","")</f>
        <v/>
      </c>
      <c r="H1106" s="1409" t="s">
        <v>1926</v>
      </c>
      <c r="I1106" s="857" t="str">
        <f t="shared" si="218"/>
        <v/>
      </c>
      <c r="J1106" s="1409"/>
      <c r="K1106" s="1409" t="str">
        <f t="shared" si="219"/>
        <v/>
      </c>
      <c r="L1106" s="897" t="s">
        <v>1400</v>
      </c>
      <c r="M1106" s="1410">
        <v>1089</v>
      </c>
      <c r="N1106" s="1409"/>
      <c r="O1106" s="1408" t="s">
        <v>727</v>
      </c>
      <c r="P1106" s="1408"/>
      <c r="Q1106" s="1408"/>
      <c r="R1106" s="1409" t="s">
        <v>1105</v>
      </c>
      <c r="S1106" s="1408"/>
      <c r="T1106" s="1409" t="str">
        <f t="shared" si="222"/>
        <v/>
      </c>
      <c r="U1106" s="1408"/>
      <c r="V1106" s="1408"/>
      <c r="W1106" s="1408"/>
      <c r="X1106" s="1408"/>
      <c r="Y1106" s="1408"/>
      <c r="Z1106" s="1408"/>
      <c r="AA1106" s="1408"/>
    </row>
    <row r="1107" spans="1:27" x14ac:dyDescent="0.25">
      <c r="A1107" s="926" t="s">
        <v>1397</v>
      </c>
      <c r="B1107" s="897" t="str">
        <f ca="1">_xlfn.CONCAT(IFERROR(SUBSTITUTE(ADDRESS(1,MATCH(A1107,INDIRECT("'"&amp;E1107&amp;"'"&amp;"!A" &amp; $O$1105 + 2 &amp; ":Z" &amp; $O$1105 + 2),0),4),1,""),""),$O$1105+ 2)</f>
        <v>H437</v>
      </c>
      <c r="C1107" s="897" t="str">
        <f ca="1">_xlfn.CONCAT(IFERROR(SUBSTITUTE(ADDRESS(1,MATCH(A1107,INDIRECT("'"&amp;E1107&amp;"'"&amp;"!A" &amp; $O$1105 + 2 &amp; ":Z" &amp; $O$1105 + 2),0),4),1,""),""),$O$1105+ 3)</f>
        <v>H438</v>
      </c>
      <c r="D1107" s="897" t="s">
        <v>1367</v>
      </c>
      <c r="E1107" s="897" t="s">
        <v>1535</v>
      </c>
      <c r="F1107" s="1409" t="s">
        <v>1927</v>
      </c>
      <c r="G1107" s="1409" t="str">
        <f>IF(T1107&lt;&gt;"","E","")</f>
        <v/>
      </c>
      <c r="H1107" s="1409" t="s">
        <v>1926</v>
      </c>
      <c r="I1107" s="857" t="str">
        <f t="shared" si="218"/>
        <v/>
      </c>
      <c r="J1107" s="1409" t="str">
        <f t="shared" si="221"/>
        <v/>
      </c>
      <c r="K1107" s="1409" t="str">
        <f t="shared" si="219"/>
        <v/>
      </c>
      <c r="L1107" s="897" t="s">
        <v>1397</v>
      </c>
      <c r="M1107" s="1410">
        <v>1090</v>
      </c>
      <c r="N1107" s="1409"/>
      <c r="O1107" s="1408">
        <f>'Configurable Tab'!I33</f>
        <v>448</v>
      </c>
      <c r="P1107" s="1408"/>
      <c r="Q1107" s="1408"/>
      <c r="R1107" s="1409" t="s">
        <v>1105</v>
      </c>
      <c r="S1107" s="1408"/>
      <c r="T1107" s="1409" t="str">
        <f t="shared" si="222"/>
        <v/>
      </c>
      <c r="U1107" s="1408"/>
      <c r="V1107" s="1408"/>
      <c r="W1107" s="1408"/>
      <c r="X1107" s="1408"/>
      <c r="Y1107" s="1408"/>
      <c r="Z1107" s="1408"/>
      <c r="AA1107" s="1408"/>
    </row>
    <row r="1108" spans="1:27" x14ac:dyDescent="0.25">
      <c r="A1108" s="926" t="s">
        <v>1398</v>
      </c>
      <c r="B1108" s="897" t="str">
        <f ca="1">_xlfn.CONCAT(IFERROR(SUBSTITUTE(ADDRESS(1,MATCH(A1108,INDIRECT("'"&amp;E1108&amp;"'"&amp;"!A" &amp; $O$1105 + 2 &amp; ":Z" &amp; $O$1105 + 2),0),4),1,""),""),$O$1105+ 2)</f>
        <v>J437</v>
      </c>
      <c r="C1108" s="897" t="str">
        <f ca="1">_xlfn.CONCAT(IFERROR(SUBSTITUTE(ADDRESS(1,MATCH(A1108,INDIRECT("'"&amp;E1108&amp;"'"&amp;"!A" &amp; $O$1105 + 2 &amp; ":Z" &amp; $O$1105 + 2),0),4),1,""),""),$O$1105+ 3)</f>
        <v>J438</v>
      </c>
      <c r="D1108" s="897" t="s">
        <v>1367</v>
      </c>
      <c r="E1108" s="897" t="s">
        <v>1535</v>
      </c>
      <c r="F1108" s="1409" t="s">
        <v>1928</v>
      </c>
      <c r="G1108" s="1409" t="str">
        <f>IF(T1108&lt;&gt;"","I","")</f>
        <v/>
      </c>
      <c r="H1108" s="1409" t="s">
        <v>1926</v>
      </c>
      <c r="I1108" s="857" t="str">
        <f t="shared" si="218"/>
        <v/>
      </c>
      <c r="J1108" s="1409" t="str">
        <f t="shared" si="221"/>
        <v/>
      </c>
      <c r="K1108" s="1409" t="str">
        <f t="shared" si="219"/>
        <v/>
      </c>
      <c r="L1108" s="897" t="s">
        <v>1398</v>
      </c>
      <c r="M1108" s="1410">
        <v>1091</v>
      </c>
      <c r="N1108" s="1409"/>
      <c r="O1108" s="1408" t="s">
        <v>1677</v>
      </c>
      <c r="P1108" s="1408"/>
      <c r="Q1108" s="1408" t="s">
        <v>482</v>
      </c>
      <c r="R1108" s="1409" t="s">
        <v>1105</v>
      </c>
      <c r="S1108" s="1408"/>
      <c r="T1108" s="1409" t="str">
        <f t="shared" si="222"/>
        <v/>
      </c>
      <c r="U1108" s="1408"/>
      <c r="V1108" s="1408"/>
      <c r="W1108" s="1408"/>
      <c r="X1108" s="1408"/>
      <c r="Y1108" s="1408"/>
      <c r="Z1108" s="1408"/>
      <c r="AA1108" s="1408"/>
    </row>
    <row r="1109" spans="1:27" x14ac:dyDescent="0.25">
      <c r="A1109" s="926" t="s">
        <v>1399</v>
      </c>
      <c r="B1109" s="897" t="str">
        <f ca="1">_xlfn.CONCAT(IFERROR(SUBSTITUTE(ADDRESS(1,MATCH(A1109,INDIRECT("'"&amp;E1109&amp;"'"&amp;"!A" &amp; $O$1105 + 2 &amp; ":Z" &amp; $O$1105 + 2),0),4),1,""),""),$O$1105+ 2)</f>
        <v>N437</v>
      </c>
      <c r="C1109" s="897" t="str">
        <f ca="1">_xlfn.CONCAT(IFERROR(SUBSTITUTE(ADDRESS(1,MATCH(A1109,INDIRECT("'"&amp;E1109&amp;"'"&amp;"!A" &amp; $O$1105 + 2 &amp; ":Z" &amp; $O$1105 + 2),0),4),1,""),""),$O$1105+ 3)</f>
        <v>N438</v>
      </c>
      <c r="D1109" s="897" t="s">
        <v>1367</v>
      </c>
      <c r="E1109" s="897" t="s">
        <v>1535</v>
      </c>
      <c r="F1109" s="1409" t="s">
        <v>1399</v>
      </c>
      <c r="G1109" s="1409" t="str">
        <f>IF(T1109&lt;&gt;"",IF(Q1108="Credit Memo","J",IF(Q1108="Check","K","")),"")</f>
        <v/>
      </c>
      <c r="H1109" s="1409" t="s">
        <v>1926</v>
      </c>
      <c r="I1109" s="857" t="str">
        <f t="shared" si="218"/>
        <v/>
      </c>
      <c r="J1109" s="1409" t="str">
        <f t="shared" si="221"/>
        <v/>
      </c>
      <c r="K1109" s="1409" t="str">
        <f t="shared" si="219"/>
        <v/>
      </c>
      <c r="L1109" s="897" t="s">
        <v>1399</v>
      </c>
      <c r="M1109" s="1410">
        <v>1092</v>
      </c>
      <c r="N1109" s="1409"/>
      <c r="O1109" s="1408"/>
      <c r="P1109" s="1408"/>
      <c r="Q1109" s="1408"/>
      <c r="R1109" s="1409" t="s">
        <v>1105</v>
      </c>
      <c r="S1109" s="1408"/>
      <c r="T1109" s="1409" t="str">
        <f t="shared" si="222"/>
        <v/>
      </c>
      <c r="U1109" s="1408"/>
      <c r="V1109" s="1408"/>
      <c r="W1109" s="1408"/>
      <c r="X1109" s="1408"/>
      <c r="Y1109" s="1408"/>
      <c r="Z1109" s="1408"/>
      <c r="AA1109" s="1408"/>
    </row>
    <row r="1110" spans="1:27" x14ac:dyDescent="0.25">
      <c r="A1110" s="926" t="s">
        <v>1506</v>
      </c>
      <c r="B1110" s="897" t="str">
        <f ca="1">_xlfn.CONCAT(IFERROR(SUBSTITUTE(ADDRESS(1,MATCH(A1110,INDIRECT("'"&amp;E1110&amp;"'"&amp;"!A" &amp; $O$1105 + 2 &amp; ":Z" &amp; $O$1105 + 2),0),4),1,""),""),$O$1105+ 2)</f>
        <v>R437</v>
      </c>
      <c r="C1110" s="897" t="str">
        <f ca="1">_xlfn.CONCAT(IFERROR(SUBSTITUTE(ADDRESS(1,MATCH(A1110,INDIRECT("'"&amp;E1110&amp;"'"&amp;"!A" &amp; $O$1105 + 2 &amp; ":Z" &amp; $O$1105 + 2),0),4),1,""),""),$O$1105+ 3)</f>
        <v>R438</v>
      </c>
      <c r="D1110" s="897" t="s">
        <v>1367</v>
      </c>
      <c r="E1110" s="897" t="s">
        <v>1535</v>
      </c>
      <c r="F1110" s="1409" t="s">
        <v>1931</v>
      </c>
      <c r="G1110" s="1409" t="str">
        <f>IF(T1110&lt;&gt;"","G","")</f>
        <v/>
      </c>
      <c r="H1110" s="1409" t="s">
        <v>1926</v>
      </c>
      <c r="I1110" s="857" t="str">
        <f t="shared" si="218"/>
        <v/>
      </c>
      <c r="J1110" s="1409" t="str">
        <f t="shared" si="221"/>
        <v/>
      </c>
      <c r="K1110" s="1409" t="str">
        <f t="shared" si="219"/>
        <v/>
      </c>
      <c r="L1110" s="897" t="s">
        <v>1506</v>
      </c>
      <c r="M1110" s="1410">
        <v>1093</v>
      </c>
      <c r="N1110" s="1409"/>
      <c r="O1110" s="1408"/>
      <c r="P1110" s="1408"/>
      <c r="Q1110" s="1408"/>
      <c r="R1110" s="1409" t="s">
        <v>1105</v>
      </c>
      <c r="S1110" s="1408"/>
      <c r="T1110" s="1409" t="str">
        <f t="shared" si="222"/>
        <v/>
      </c>
      <c r="U1110" s="1408"/>
      <c r="V1110" s="1408"/>
      <c r="W1110" s="1408"/>
      <c r="X1110" s="1408"/>
      <c r="Y1110" s="1408"/>
      <c r="Z1110" s="1408"/>
      <c r="AA1110" s="1408"/>
    </row>
    <row r="1111" spans="1:27" x14ac:dyDescent="0.25">
      <c r="A1111" s="926" t="s">
        <v>1507</v>
      </c>
      <c r="B1111" s="897" t="str">
        <f ca="1">_xlfn.CONCAT(IFERROR(SUBSTITUTE(ADDRESS(1,MATCH(A1111,INDIRECT("'"&amp;E1111&amp;"'"&amp;"!A" &amp; $O$1105 + 2 &amp; ":Z" &amp; $O$1105 + 2),0),4),1,""),""),$O$1105+ 2)</f>
        <v>T437</v>
      </c>
      <c r="C1111" s="897" t="str">
        <f ca="1">_xlfn.CONCAT(IFERROR(SUBSTITUTE(ADDRESS(1,MATCH(A1111,INDIRECT("'"&amp;E1111&amp;"'"&amp;"!A" &amp; $O$1105 + 2 &amp; ":Z" &amp; $O$1105 + 2),0),4),1,""),""),$O$1105+ 3)</f>
        <v>T438</v>
      </c>
      <c r="D1111" s="897" t="s">
        <v>1367</v>
      </c>
      <c r="E1111" s="897" t="s">
        <v>1535</v>
      </c>
      <c r="F1111" s="919" t="s">
        <v>1507</v>
      </c>
      <c r="G1111" s="1409" t="str">
        <f>IF(T1111&lt;&gt;"","AW","")</f>
        <v/>
      </c>
      <c r="H1111" s="1409" t="s">
        <v>1926</v>
      </c>
      <c r="I1111" s="857" t="str">
        <f t="shared" si="218"/>
        <v/>
      </c>
      <c r="J1111" s="1409" t="str">
        <f t="shared" si="221"/>
        <v/>
      </c>
      <c r="K1111" s="1409" t="str">
        <f t="shared" si="219"/>
        <v/>
      </c>
      <c r="L1111" s="897" t="s">
        <v>1507</v>
      </c>
      <c r="M1111" s="1410">
        <v>1094</v>
      </c>
      <c r="N1111" s="1409"/>
      <c r="O1111" s="1408"/>
      <c r="P1111" s="1408"/>
      <c r="Q1111" s="1408"/>
      <c r="R1111" s="1409" t="s">
        <v>1105</v>
      </c>
      <c r="S1111" s="1408"/>
      <c r="T1111" s="1409" t="str">
        <f t="shared" si="222"/>
        <v/>
      </c>
      <c r="U1111" s="1408"/>
      <c r="V1111" s="1408"/>
      <c r="W1111" s="1408"/>
      <c r="X1111" s="1408"/>
      <c r="Y1111" s="1408"/>
      <c r="Z1111" s="1408"/>
      <c r="AA1111" s="1408"/>
    </row>
    <row r="1112" spans="1:27" x14ac:dyDescent="0.25">
      <c r="A1112" s="926" t="s">
        <v>1402</v>
      </c>
      <c r="B1112" s="897" t="str">
        <f ca="1">IFERROR(_xlfn.CONCAT("C",MATCH(A1112,INDIRECT("'"&amp;E1112&amp;"'!C"&amp;$O$1105&amp;":C"&amp;$O$1107),0)+$O$1105-1),"")</f>
        <v>C441</v>
      </c>
      <c r="C1112" s="897" t="str">
        <f ca="1">IFERROR(_xlfn.CONCAT("D",MATCH(A1112,INDIRECT("'"&amp;E1112&amp;"'!C"&amp;$O$1105&amp;":C"&amp;$O$1107),0)+$O$1105-1),"")</f>
        <v>D441</v>
      </c>
      <c r="D1112" s="897" t="s">
        <v>1367</v>
      </c>
      <c r="E1112" s="897" t="s">
        <v>1535</v>
      </c>
      <c r="F1112" s="1409" t="s">
        <v>1402</v>
      </c>
      <c r="G1112" s="1409" t="str">
        <f>IF(T1112&lt;&gt;"","C","")</f>
        <v/>
      </c>
      <c r="H1112" s="1409" t="s">
        <v>1926</v>
      </c>
      <c r="I1112" s="857" t="str">
        <f t="shared" si="218"/>
        <v/>
      </c>
      <c r="J1112" s="1409"/>
      <c r="K1112" s="1409" t="str">
        <f t="shared" si="219"/>
        <v/>
      </c>
      <c r="L1112" s="897" t="s">
        <v>1402</v>
      </c>
      <c r="M1112" s="1410">
        <v>1095</v>
      </c>
      <c r="N1112" s="1409"/>
      <c r="O1112" s="1408"/>
      <c r="P1112" s="1408"/>
      <c r="Q1112" s="1408"/>
      <c r="R1112" s="1409" t="s">
        <v>1105</v>
      </c>
      <c r="S1112" s="1408"/>
      <c r="T1112" s="1409" t="str">
        <f t="shared" si="222"/>
        <v/>
      </c>
      <c r="U1112" s="1408"/>
      <c r="V1112" s="1408"/>
      <c r="W1112" s="1408"/>
      <c r="X1112" s="1408"/>
      <c r="Y1112" s="1408"/>
      <c r="Z1112" s="1408"/>
      <c r="AA1112" s="1408"/>
    </row>
    <row r="1113" spans="1:27" x14ac:dyDescent="0.25">
      <c r="A1113" s="926" t="s">
        <v>1403</v>
      </c>
      <c r="B1113" s="897" t="str">
        <f ca="1">IFERROR(_xlfn.CONCAT("C",MATCH(A1113,INDIRECT("'"&amp;E1113&amp;"'!C"&amp;$O$1105&amp;":C"&amp;$O$1107),0)+$O$1105-1),"")</f>
        <v>C443</v>
      </c>
      <c r="C1113" s="897" t="str">
        <f ca="1">IFERROR(_xlfn.CONCAT("D",MATCH(A1113,INDIRECT("'"&amp;E1113&amp;"'!C"&amp;$O$1105&amp;":C"&amp;$O$1107),0)+$O$1105-1),"")</f>
        <v>D443</v>
      </c>
      <c r="D1113" s="897" t="s">
        <v>1367</v>
      </c>
      <c r="E1113" s="897" t="s">
        <v>1535</v>
      </c>
      <c r="F1113" s="1409" t="s">
        <v>1403</v>
      </c>
      <c r="G1113" s="1409" t="str">
        <f>IF(T1113&lt;&gt;"","D","")</f>
        <v/>
      </c>
      <c r="H1113" s="1409" t="s">
        <v>1926</v>
      </c>
      <c r="I1113" s="857" t="str">
        <f t="shared" si="218"/>
        <v/>
      </c>
      <c r="J1113" s="1409"/>
      <c r="K1113" s="1409" t="str">
        <f t="shared" si="219"/>
        <v/>
      </c>
      <c r="L1113" s="897" t="s">
        <v>1403</v>
      </c>
      <c r="M1113" s="1410">
        <v>1096</v>
      </c>
      <c r="N1113" s="1409"/>
      <c r="O1113" s="1408"/>
      <c r="P1113" s="1408"/>
      <c r="Q1113" s="1408"/>
      <c r="R1113" s="1409" t="s">
        <v>1105</v>
      </c>
      <c r="S1113" s="1408"/>
      <c r="T1113" s="1409" t="str">
        <f t="shared" si="222"/>
        <v/>
      </c>
      <c r="U1113" s="1408"/>
      <c r="V1113" s="1408"/>
      <c r="W1113" s="1408"/>
      <c r="X1113" s="1408"/>
      <c r="Y1113" s="1408"/>
      <c r="Z1113" s="1408"/>
      <c r="AA1113" s="1408"/>
    </row>
    <row r="1114" spans="1:27" x14ac:dyDescent="0.25">
      <c r="A1114" s="926" t="s">
        <v>1514</v>
      </c>
      <c r="B1114" s="897" t="str">
        <f ca="1">IFERROR(_xlfn.CONCAT("C",MATCH(A1114,INDIRECT("'"&amp;E1114&amp;"'!C"&amp;$O$1105&amp;":C"&amp;$O$1107),0)+$O$1105-1),"")</f>
        <v>C445</v>
      </c>
      <c r="C1114" s="897" t="str">
        <f ca="1">IFERROR(_xlfn.CONCAT("D",MATCH(A1114,INDIRECT("'"&amp;E1114&amp;"'!C"&amp;$O$1105&amp;":C"&amp;$O$1107),0)+$O$1105-1),"")</f>
        <v>D445</v>
      </c>
      <c r="D1114" s="897" t="s">
        <v>1367</v>
      </c>
      <c r="E1114" s="897" t="s">
        <v>1535</v>
      </c>
      <c r="F1114" s="1409" t="s">
        <v>1514</v>
      </c>
      <c r="G1114" s="1409" t="str">
        <f>IF(T1114&lt;&gt;"","AN","")</f>
        <v/>
      </c>
      <c r="H1114" s="1409" t="s">
        <v>1926</v>
      </c>
      <c r="I1114" s="857" t="str">
        <f t="shared" si="218"/>
        <v/>
      </c>
      <c r="J1114" s="1409" t="str">
        <f t="shared" si="221"/>
        <v/>
      </c>
      <c r="K1114" s="1409" t="str">
        <f t="shared" si="219"/>
        <v/>
      </c>
      <c r="L1114" s="897" t="s">
        <v>1514</v>
      </c>
      <c r="M1114" s="1410">
        <v>1097</v>
      </c>
      <c r="N1114" s="1409"/>
      <c r="O1114" s="18"/>
      <c r="P1114" s="1409" t="str" cm="1">
        <f t="array" aca="1" ref="P1114" ca="1">_xlfn.CONCAT("F",RIGHT(B1114, LEN(B1114) - MAX(IF(ISNUMBER(MID(B1114, ROW(INDIRECT("1:"&amp;LEN(B1114))), 1) *1)=FALSE, ROW(INDIRECT("1:"&amp;LEN(B1114))), 0))))</f>
        <v>F445</v>
      </c>
      <c r="Q1114" s="1409" t="str" cm="1">
        <f t="array" aca="1" ref="Q1114" ca="1">_xlfn.CONCAT("E",RIGHT(C1114, LEN(C1114) - MAX(IF(ISNUMBER(MID(C1114, ROW(INDIRECT("1:"&amp;LEN(C1114))), 1) *1)=FALSE, ROW(INDIRECT("1:"&amp;LEN(C1114))), 0))))</f>
        <v>E445</v>
      </c>
      <c r="R1114" s="1409" t="s">
        <v>1105</v>
      </c>
      <c r="S1114" s="1408"/>
      <c r="T1114" s="1409" t="str">
        <f>IF(Q$1105="Yes",31,"")</f>
        <v/>
      </c>
      <c r="U1114" s="1408"/>
      <c r="V1114" s="1408"/>
      <c r="W1114" s="1408"/>
      <c r="X1114" s="1408"/>
      <c r="Y1114" s="1408"/>
      <c r="Z1114" s="1408"/>
      <c r="AA1114" s="1408"/>
    </row>
    <row r="1115" spans="1:27" x14ac:dyDescent="0.25">
      <c r="A1115" s="926" t="s">
        <v>1511</v>
      </c>
      <c r="B1115" s="897" t="str">
        <f ca="1">_xlfn.CONCAT(IFERROR(SUBSTITUTE(ADDRESS(1,MATCH(A1115,INDIRECT("'"&amp;E1115&amp;"'"&amp;"!A" &amp; $O$1105 + 8 &amp; ":Z" &amp; $O$1105 + 8),0),4),1,""),""),$O$1105+ 8)</f>
        <v>H443</v>
      </c>
      <c r="C1115" s="897" t="str">
        <f ca="1">_xlfn.CONCAT(IFERROR(SUBSTITUTE(ADDRESS(1,MATCH(A1115,INDIRECT("'"&amp;E1115&amp;"'"&amp;"!A" &amp; $O$1105 + 8 &amp; ":Z" &amp; $O$1105 + 8),0),4),1,""),""),$O$1105+ 9)</f>
        <v>H444</v>
      </c>
      <c r="D1115" s="897" t="s">
        <v>1367</v>
      </c>
      <c r="E1115" s="897" t="s">
        <v>1535</v>
      </c>
      <c r="F1115" s="1409" t="s">
        <v>1511</v>
      </c>
      <c r="G1115" s="1409" t="str">
        <f>IF(T1115&lt;&gt;"","AL","")</f>
        <v/>
      </c>
      <c r="H1115" s="1409" t="s">
        <v>1926</v>
      </c>
      <c r="I1115" s="857" t="str">
        <f t="shared" si="218"/>
        <v/>
      </c>
      <c r="J1115" s="1409" t="str">
        <f t="shared" si="221"/>
        <v/>
      </c>
      <c r="K1115" s="1409" t="str">
        <f t="shared" si="219"/>
        <v/>
      </c>
      <c r="L1115" s="897" t="s">
        <v>1511</v>
      </c>
      <c r="M1115" s="1410">
        <v>1098</v>
      </c>
      <c r="N1115" s="1409"/>
      <c r="O1115" s="1408"/>
      <c r="P1115" s="1408"/>
      <c r="Q1115" s="1408"/>
      <c r="R1115" s="1409" t="s">
        <v>1105</v>
      </c>
      <c r="S1115" s="1408"/>
      <c r="T1115" s="1409" t="str">
        <f>IF(Q$1105="Yes",31,"")</f>
        <v/>
      </c>
      <c r="U1115" s="1408"/>
      <c r="V1115" s="1408"/>
      <c r="W1115" s="1408"/>
      <c r="X1115" s="1408"/>
      <c r="Y1115" s="1408"/>
      <c r="Z1115" s="1408"/>
      <c r="AA1115" s="1408"/>
    </row>
    <row r="1116" spans="1:27" x14ac:dyDescent="0.25">
      <c r="A1116" s="926" t="s">
        <v>1406</v>
      </c>
      <c r="B1116" s="897" t="str">
        <f ca="1">_xlfn.CONCAT(IFERROR(SUBSTITUTE(ADDRESS(1,MATCH(A1116,INDIRECT("'"&amp;E1116&amp;"'"&amp;"!A" &amp; $O$1105 + 11 &amp; ":Z" &amp; $O$1105 + 11),0),4),1,""),""),$O$1105+ 11)</f>
        <v>H446</v>
      </c>
      <c r="C1116" s="897" t="str">
        <f ca="1">_xlfn.CONCAT(IFERROR(SUBSTITUTE(ADDRESS(1,MATCH(A1116,INDIRECT("'"&amp;E1116&amp;"'"&amp;"!A" &amp; $O$1105 + 11 &amp; ":Z" &amp; $O$1105 + 11),0),4),1,""),""),$O$1105+ 12)</f>
        <v>H447</v>
      </c>
      <c r="D1116" s="897" t="s">
        <v>1367</v>
      </c>
      <c r="E1116" s="897" t="s">
        <v>1535</v>
      </c>
      <c r="F1116" s="1409" t="s">
        <v>1896</v>
      </c>
      <c r="G1116" s="1409" t="str">
        <f>IF(T1116&lt;&gt;"","O","")</f>
        <v/>
      </c>
      <c r="H1116" s="1409" t="s">
        <v>1926</v>
      </c>
      <c r="I1116" s="857" t="str">
        <f t="shared" si="218"/>
        <v/>
      </c>
      <c r="J1116" s="1409"/>
      <c r="K1116" s="1409" t="str">
        <f t="shared" si="219"/>
        <v/>
      </c>
      <c r="L1116" s="897" t="s">
        <v>1406</v>
      </c>
      <c r="M1116" s="1410">
        <v>1099</v>
      </c>
      <c r="N1116" s="1409"/>
      <c r="O1116" s="1408"/>
      <c r="P1116" s="1408"/>
      <c r="Q1116" s="1408"/>
      <c r="R1116" s="1409" t="s">
        <v>1105</v>
      </c>
      <c r="S1116" s="1408"/>
      <c r="T1116" s="1409" t="str">
        <f t="shared" ref="T1116" si="223">IF(Q$1105="Yes",31,"")</f>
        <v/>
      </c>
      <c r="U1116" s="1408"/>
      <c r="V1116" s="1408"/>
      <c r="W1116" s="1408"/>
      <c r="X1116" s="1408"/>
      <c r="Y1116" s="1408"/>
      <c r="Z1116" s="1408"/>
      <c r="AA1116" s="1408"/>
    </row>
    <row r="1117" spans="1:27" x14ac:dyDescent="0.25">
      <c r="A1117" s="926" t="s">
        <v>1413</v>
      </c>
      <c r="B1117" s="897" t="str">
        <f ca="1">_xlfn.CONCAT(IFERROR(SUBSTITUTE(ADDRESS(1,MATCH(A1117,INDIRECT("'"&amp;E1117&amp;"'"&amp;"!A" &amp; $O$1105 + 5 &amp; ":Z" &amp; $O$1105 + 5),0),4),1,""),""),$O$1105+ 5)</f>
        <v>H440</v>
      </c>
      <c r="C1117" s="897" t="str">
        <f ca="1">_xlfn.CONCAT(IFERROR(SUBSTITUTE(ADDRESS(1,MATCH(A1117,INDIRECT("'"&amp;E1117&amp;"'"&amp;"!A" &amp; $O$1105 + 5 &amp; ":Z" &amp; $O$1105 + 5),0),4),1,""),""),$O$1105+ 6)</f>
        <v>H441</v>
      </c>
      <c r="D1117" s="897" t="s">
        <v>1367</v>
      </c>
      <c r="E1117" s="897" t="s">
        <v>1535</v>
      </c>
      <c r="F1117" s="1409" t="s">
        <v>1413</v>
      </c>
      <c r="G1117" s="1409" t="str">
        <f>IF(T1117&lt;&gt;"","S","")</f>
        <v/>
      </c>
      <c r="H1117" s="1409" t="s">
        <v>1926</v>
      </c>
      <c r="I1117" s="857" t="str">
        <f t="shared" si="218"/>
        <v/>
      </c>
      <c r="J1117" s="1409" t="str">
        <f t="shared" si="221"/>
        <v/>
      </c>
      <c r="K1117" s="1409" t="str">
        <f t="shared" si="219"/>
        <v/>
      </c>
      <c r="L1117" s="897" t="s">
        <v>1413</v>
      </c>
      <c r="M1117" s="1410">
        <v>1100</v>
      </c>
      <c r="N1117" s="1409"/>
      <c r="O1117" s="1408"/>
      <c r="P1117" s="1408"/>
      <c r="Q1117" s="1408"/>
      <c r="R1117" s="1409" t="s">
        <v>1105</v>
      </c>
      <c r="S1117" s="1408"/>
      <c r="T1117" s="1409" t="str">
        <f>IF(Q$1105="Yes",31,"")</f>
        <v/>
      </c>
      <c r="U1117" s="1408"/>
      <c r="V1117" s="1408"/>
      <c r="W1117" s="1408"/>
      <c r="X1117" s="1408"/>
      <c r="Y1117" s="1408"/>
      <c r="Z1117" s="1408"/>
      <c r="AA1117" s="1408"/>
    </row>
    <row r="1118" spans="1:27" x14ac:dyDescent="0.25">
      <c r="A1118" s="926" t="s">
        <v>1500</v>
      </c>
      <c r="B1118" s="897" t="str">
        <f ca="1">_xlfn.CONCAT(IFERROR(SUBSTITUTE(ADDRESS(1,MATCH(A1118,INDIRECT("'"&amp;E1118&amp;"'"&amp;"!A" &amp; $O$1105 + 5 &amp; ":Z" &amp; $O$1105 + 5),0),4),1,""),""),$O$1105+ 6)</f>
        <v>J441</v>
      </c>
      <c r="C1118" s="897" t="str">
        <f t="shared" ref="C1118:C1132" ca="1" si="224">IFERROR(SUBSTITUTE(ADDRESS(1,MATCH(A1118,INDIRECT("'"&amp;E1118&amp;"'"&amp;"!A" &amp; $O$1105 + 5 &amp; ":Z" &amp; $O$1105 + 5),0),4),1,""),"")</f>
        <v>J</v>
      </c>
      <c r="D1118" s="897" t="s">
        <v>1374</v>
      </c>
      <c r="E1118" s="897" t="s">
        <v>1535</v>
      </c>
      <c r="F1118" s="1424"/>
      <c r="G1118" s="897"/>
      <c r="H1118" s="897"/>
      <c r="I1118" s="857" t="str">
        <f t="shared" si="218"/>
        <v/>
      </c>
      <c r="J1118" s="1409" t="str">
        <f t="shared" si="221"/>
        <v/>
      </c>
      <c r="K1118" s="1409" t="str">
        <f t="shared" si="219"/>
        <v/>
      </c>
      <c r="L1118" s="897" t="s">
        <v>1500</v>
      </c>
      <c r="M1118" s="1410">
        <v>1101</v>
      </c>
      <c r="N1118" s="1409"/>
      <c r="O1118" s="1408"/>
      <c r="P1118" s="1408"/>
      <c r="Q1118" s="1408"/>
      <c r="R1118" s="1409" t="s">
        <v>1105</v>
      </c>
      <c r="S1118" s="1408"/>
      <c r="T1118" s="1408"/>
      <c r="U1118" s="1408"/>
      <c r="V1118" s="1408"/>
      <c r="W1118" s="1408"/>
      <c r="X1118" s="1408"/>
      <c r="Y1118" s="1408"/>
      <c r="Z1118" s="1408"/>
      <c r="AA1118" s="1408"/>
    </row>
    <row r="1119" spans="1:27" x14ac:dyDescent="0.25">
      <c r="A1119" s="926" t="s">
        <v>728</v>
      </c>
      <c r="B1119" s="897" t="str">
        <f ca="1">_xlfn.CONCAT(IFERROR(SUBSTITUTE(ADDRESS(1,MATCH(A1119,INDIRECT("'"&amp;E1119&amp;"'"&amp;"!A" &amp; $O$1105 + 5 &amp; ":Z" &amp; $O$1105 + 5),0),4),1,""),""),$O$1105+ 6)</f>
        <v>L441</v>
      </c>
      <c r="C1119" s="897" t="str">
        <f t="shared" ca="1" si="224"/>
        <v>L</v>
      </c>
      <c r="D1119" s="897" t="s">
        <v>1374</v>
      </c>
      <c r="E1119" s="897" t="s">
        <v>1535</v>
      </c>
      <c r="F1119" s="1424"/>
      <c r="G1119" s="897"/>
      <c r="H1119" s="897"/>
      <c r="I1119" s="857" t="str">
        <f t="shared" si="218"/>
        <v/>
      </c>
      <c r="J1119" s="1409" t="str">
        <f t="shared" si="221"/>
        <v/>
      </c>
      <c r="K1119" s="1409" t="str">
        <f t="shared" si="219"/>
        <v/>
      </c>
      <c r="L1119" s="897" t="s">
        <v>728</v>
      </c>
      <c r="M1119" s="1410">
        <v>1102</v>
      </c>
      <c r="N1119" s="1409"/>
      <c r="O1119" s="1408"/>
      <c r="P1119" s="1408"/>
      <c r="Q1119" s="1408"/>
      <c r="R1119" s="1409" t="s">
        <v>1105</v>
      </c>
      <c r="S1119" s="1408"/>
      <c r="T1119" s="1408"/>
      <c r="U1119" s="1408"/>
      <c r="V1119" s="1408"/>
      <c r="W1119" s="1408"/>
      <c r="X1119" s="1408"/>
      <c r="Y1119" s="1408"/>
      <c r="Z1119" s="1408"/>
      <c r="AA1119" s="1408"/>
    </row>
    <row r="1120" spans="1:27" x14ac:dyDescent="0.25">
      <c r="A1120" s="926" t="s">
        <v>1501</v>
      </c>
      <c r="B1120" s="897" t="str">
        <f ca="1">_xlfn.CONCAT(IFERROR(SUBSTITUTE(ADDRESS(1,MATCH(A1120,INDIRECT("'"&amp;E1120&amp;"'"&amp;"!A" &amp; $O$1105 + 5 &amp; ":Z" &amp; $O$1105 + 5),0),4),1,""),""),$O$1105+ 6)</f>
        <v>N441</v>
      </c>
      <c r="C1120" s="897" t="str">
        <f t="shared" ca="1" si="224"/>
        <v>N</v>
      </c>
      <c r="D1120" s="897" t="s">
        <v>1374</v>
      </c>
      <c r="E1120" s="897" t="s">
        <v>1535</v>
      </c>
      <c r="F1120" s="1424"/>
      <c r="G1120" s="897"/>
      <c r="H1120" s="897"/>
      <c r="I1120" s="857" t="str">
        <f t="shared" si="218"/>
        <v/>
      </c>
      <c r="J1120" s="1409" t="str">
        <f t="shared" si="221"/>
        <v/>
      </c>
      <c r="K1120" s="1409" t="str">
        <f t="shared" si="219"/>
        <v/>
      </c>
      <c r="L1120" s="897" t="s">
        <v>1501</v>
      </c>
      <c r="M1120" s="1410">
        <v>1103</v>
      </c>
      <c r="N1120" s="1409"/>
      <c r="O1120" s="1408"/>
      <c r="P1120" s="1408"/>
      <c r="Q1120" s="1408"/>
      <c r="R1120" s="1409" t="s">
        <v>1105</v>
      </c>
      <c r="S1120" s="1408"/>
      <c r="T1120" s="1408"/>
      <c r="U1120" s="1408"/>
      <c r="V1120" s="1408"/>
      <c r="W1120" s="1408"/>
      <c r="X1120" s="1408"/>
      <c r="Y1120" s="1408"/>
      <c r="Z1120" s="1408"/>
      <c r="AA1120" s="1408"/>
    </row>
    <row r="1121" spans="1:27" x14ac:dyDescent="0.25">
      <c r="A1121" s="926" t="s">
        <v>1500</v>
      </c>
      <c r="B1121" s="897" t="str">
        <f ca="1">_xlfn.CONCAT(IFERROR(SUBSTITUTE(ADDRESS(1,MATCH(A1121,INDIRECT("'"&amp;E1121&amp;"'"&amp;"!A" &amp; $O$1105 + 5 &amp; ":Z" &amp; $O$1105 + 5),0),4),1,""),""),$O$1105+ 7)</f>
        <v>J442</v>
      </c>
      <c r="C1121" s="897" t="str">
        <f t="shared" ca="1" si="224"/>
        <v>J</v>
      </c>
      <c r="D1121" s="897" t="s">
        <v>1374</v>
      </c>
      <c r="E1121" s="897" t="s">
        <v>1535</v>
      </c>
      <c r="F1121" s="897"/>
      <c r="G1121" s="897"/>
      <c r="H1121" s="897"/>
      <c r="I1121" s="857" t="str">
        <f t="shared" si="218"/>
        <v/>
      </c>
      <c r="J1121" s="1409" t="str">
        <f t="shared" si="221"/>
        <v/>
      </c>
      <c r="K1121" s="1409" t="str">
        <f t="shared" si="219"/>
        <v/>
      </c>
      <c r="L1121" s="897" t="s">
        <v>1500</v>
      </c>
      <c r="M1121" s="1410">
        <v>1104</v>
      </c>
      <c r="N1121" s="1409"/>
      <c r="O1121" s="1408"/>
      <c r="P1121" s="1408"/>
      <c r="Q1121" s="1408"/>
      <c r="R1121" s="1409" t="s">
        <v>1105</v>
      </c>
      <c r="S1121" s="1408"/>
      <c r="T1121" s="1408"/>
      <c r="U1121" s="1408"/>
      <c r="V1121" s="1408"/>
      <c r="W1121" s="1408"/>
      <c r="X1121" s="1408"/>
      <c r="Y1121" s="1408"/>
      <c r="Z1121" s="1408"/>
      <c r="AA1121" s="1408"/>
    </row>
    <row r="1122" spans="1:27" x14ac:dyDescent="0.25">
      <c r="A1122" s="926" t="s">
        <v>728</v>
      </c>
      <c r="B1122" s="897" t="str">
        <f ca="1">_xlfn.CONCAT(IFERROR(SUBSTITUTE(ADDRESS(1,MATCH(A1122,INDIRECT("'"&amp;E1122&amp;"'"&amp;"!A" &amp; $O$1105 + 5 &amp; ":Z" &amp; $O$1105 + 5),0),4),1,""),""),$O$1105+ 7)</f>
        <v>L442</v>
      </c>
      <c r="C1122" s="897" t="str">
        <f t="shared" ca="1" si="224"/>
        <v>L</v>
      </c>
      <c r="D1122" s="897" t="s">
        <v>1374</v>
      </c>
      <c r="E1122" s="897" t="s">
        <v>1535</v>
      </c>
      <c r="F1122" s="897"/>
      <c r="G1122" s="897"/>
      <c r="H1122" s="897"/>
      <c r="I1122" s="857" t="str">
        <f t="shared" si="218"/>
        <v/>
      </c>
      <c r="J1122" s="1409" t="str">
        <f t="shared" si="221"/>
        <v/>
      </c>
      <c r="K1122" s="1409" t="str">
        <f t="shared" si="219"/>
        <v/>
      </c>
      <c r="L1122" s="897" t="s">
        <v>728</v>
      </c>
      <c r="M1122" s="1410">
        <v>1105</v>
      </c>
      <c r="N1122" s="1409"/>
      <c r="O1122" s="1408"/>
      <c r="P1122" s="1408"/>
      <c r="Q1122" s="1408"/>
      <c r="R1122" s="1409" t="s">
        <v>1105</v>
      </c>
      <c r="S1122" s="1408"/>
      <c r="T1122" s="1408"/>
      <c r="U1122" s="1408"/>
      <c r="V1122" s="1408"/>
      <c r="W1122" s="1408"/>
      <c r="X1122" s="1408"/>
      <c r="Y1122" s="1408"/>
      <c r="Z1122" s="1408"/>
      <c r="AA1122" s="1408"/>
    </row>
    <row r="1123" spans="1:27" x14ac:dyDescent="0.25">
      <c r="A1123" s="926" t="s">
        <v>1501</v>
      </c>
      <c r="B1123" s="897" t="str">
        <f ca="1">_xlfn.CONCAT(IFERROR(SUBSTITUTE(ADDRESS(1,MATCH(A1123,INDIRECT("'"&amp;E1123&amp;"'"&amp;"!A" &amp; $O$1105 + 5 &amp; ":Z" &amp; $O$1105 + 5),0),4),1,""),""),$O$1105+ 7)</f>
        <v>N442</v>
      </c>
      <c r="C1123" s="897" t="str">
        <f t="shared" ca="1" si="224"/>
        <v>N</v>
      </c>
      <c r="D1123" s="897" t="s">
        <v>1374</v>
      </c>
      <c r="E1123" s="897" t="s">
        <v>1535</v>
      </c>
      <c r="F1123" s="897"/>
      <c r="G1123" s="897"/>
      <c r="H1123" s="897"/>
      <c r="I1123" s="857" t="str">
        <f t="shared" si="218"/>
        <v/>
      </c>
      <c r="J1123" s="1409" t="str">
        <f t="shared" si="221"/>
        <v/>
      </c>
      <c r="K1123" s="1409" t="str">
        <f t="shared" si="219"/>
        <v/>
      </c>
      <c r="L1123" s="897" t="s">
        <v>1501</v>
      </c>
      <c r="M1123" s="1410">
        <v>1106</v>
      </c>
      <c r="N1123" s="1409"/>
      <c r="O1123" s="1408"/>
      <c r="P1123" s="1408"/>
      <c r="Q1123" s="1408"/>
      <c r="R1123" s="1409" t="s">
        <v>1105</v>
      </c>
      <c r="S1123" s="1408"/>
      <c r="T1123" s="1408"/>
      <c r="U1123" s="1408"/>
      <c r="V1123" s="1408"/>
      <c r="W1123" s="1408"/>
      <c r="X1123" s="1408"/>
      <c r="Y1123" s="1408"/>
      <c r="Z1123" s="1408"/>
      <c r="AA1123" s="1408"/>
    </row>
    <row r="1124" spans="1:27" x14ac:dyDescent="0.25">
      <c r="A1124" s="926" t="s">
        <v>1500</v>
      </c>
      <c r="B1124" s="897" t="str">
        <f ca="1">_xlfn.CONCAT(IFERROR(SUBSTITUTE(ADDRESS(1,MATCH(A1124,INDIRECT("'"&amp;E1124&amp;"'"&amp;"!A" &amp; $O$1105 + 5 &amp; ":Z" &amp; $O$1105 + 5),0),4),1,""),""),$O$1105+ 8)</f>
        <v>J443</v>
      </c>
      <c r="C1124" s="897" t="str">
        <f t="shared" ca="1" si="224"/>
        <v>J</v>
      </c>
      <c r="D1124" s="897" t="s">
        <v>1374</v>
      </c>
      <c r="E1124" s="897" t="s">
        <v>1535</v>
      </c>
      <c r="F1124" s="897"/>
      <c r="G1124" s="897"/>
      <c r="H1124" s="897"/>
      <c r="I1124" s="857" t="str">
        <f t="shared" si="218"/>
        <v/>
      </c>
      <c r="J1124" s="1409" t="str">
        <f t="shared" si="221"/>
        <v/>
      </c>
      <c r="K1124" s="1409" t="str">
        <f t="shared" si="219"/>
        <v/>
      </c>
      <c r="L1124" s="897" t="s">
        <v>1500</v>
      </c>
      <c r="M1124" s="1410">
        <v>1107</v>
      </c>
      <c r="N1124" s="1409"/>
      <c r="O1124" s="1408"/>
      <c r="P1124" s="1408"/>
      <c r="Q1124" s="1408"/>
      <c r="R1124" s="1409" t="s">
        <v>1105</v>
      </c>
      <c r="S1124" s="1408"/>
      <c r="T1124" s="1408"/>
      <c r="U1124" s="1408"/>
      <c r="V1124" s="1408"/>
      <c r="W1124" s="1408"/>
      <c r="X1124" s="1408"/>
      <c r="Y1124" s="1408"/>
      <c r="Z1124" s="1408"/>
      <c r="AA1124" s="1408"/>
    </row>
    <row r="1125" spans="1:27" x14ac:dyDescent="0.25">
      <c r="A1125" s="926" t="s">
        <v>728</v>
      </c>
      <c r="B1125" s="897" t="str">
        <f ca="1">_xlfn.CONCAT(IFERROR(SUBSTITUTE(ADDRESS(1,MATCH(A1125,INDIRECT("'"&amp;E1125&amp;"'"&amp;"!A" &amp; $O$1105 + 5 &amp; ":Z" &amp; $O$1105 + 5),0),4),1,""),""),$O$1105+ 8)</f>
        <v>L443</v>
      </c>
      <c r="C1125" s="897" t="str">
        <f t="shared" ca="1" si="224"/>
        <v>L</v>
      </c>
      <c r="D1125" s="897" t="s">
        <v>1374</v>
      </c>
      <c r="E1125" s="897" t="s">
        <v>1535</v>
      </c>
      <c r="F1125" s="897"/>
      <c r="G1125" s="897"/>
      <c r="H1125" s="897"/>
      <c r="I1125" s="857" t="str">
        <f t="shared" si="218"/>
        <v/>
      </c>
      <c r="J1125" s="1409" t="str">
        <f t="shared" si="221"/>
        <v/>
      </c>
      <c r="K1125" s="1409" t="str">
        <f t="shared" si="219"/>
        <v/>
      </c>
      <c r="L1125" s="897" t="s">
        <v>728</v>
      </c>
      <c r="M1125" s="1410">
        <v>1108</v>
      </c>
      <c r="N1125" s="1409"/>
      <c r="O1125" s="1408"/>
      <c r="P1125" s="1408"/>
      <c r="Q1125" s="1408"/>
      <c r="R1125" s="1409" t="s">
        <v>1105</v>
      </c>
      <c r="S1125" s="1408"/>
      <c r="T1125" s="1408"/>
      <c r="U1125" s="1408"/>
      <c r="V1125" s="1408"/>
      <c r="W1125" s="1408"/>
      <c r="X1125" s="1408"/>
      <c r="Y1125" s="1408"/>
      <c r="Z1125" s="1408"/>
      <c r="AA1125" s="1408"/>
    </row>
    <row r="1126" spans="1:27" x14ac:dyDescent="0.25">
      <c r="A1126" s="926" t="s">
        <v>1501</v>
      </c>
      <c r="B1126" s="897" t="str">
        <f ca="1">_xlfn.CONCAT(IFERROR(SUBSTITUTE(ADDRESS(1,MATCH(A1126,INDIRECT("'"&amp;E1126&amp;"'"&amp;"!A" &amp; $O$1105 + 5 &amp; ":Z" &amp; $O$1105 + 5),0),4),1,""),""),$O$1105+ 8)</f>
        <v>N443</v>
      </c>
      <c r="C1126" s="897" t="str">
        <f t="shared" ca="1" si="224"/>
        <v>N</v>
      </c>
      <c r="D1126" s="897" t="s">
        <v>1374</v>
      </c>
      <c r="E1126" s="897" t="s">
        <v>1535</v>
      </c>
      <c r="F1126" s="897"/>
      <c r="G1126" s="897"/>
      <c r="H1126" s="897"/>
      <c r="I1126" s="857" t="str">
        <f t="shared" si="218"/>
        <v/>
      </c>
      <c r="J1126" s="1409" t="str">
        <f t="shared" si="221"/>
        <v/>
      </c>
      <c r="K1126" s="1409" t="str">
        <f t="shared" si="219"/>
        <v/>
      </c>
      <c r="L1126" s="897" t="s">
        <v>1501</v>
      </c>
      <c r="M1126" s="1410">
        <v>1109</v>
      </c>
      <c r="N1126" s="1409"/>
      <c r="O1126" s="1408"/>
      <c r="P1126" s="1408"/>
      <c r="Q1126" s="1408"/>
      <c r="R1126" s="1409" t="s">
        <v>1105</v>
      </c>
      <c r="S1126" s="1408"/>
      <c r="T1126" s="1408"/>
      <c r="U1126" s="1408"/>
      <c r="V1126" s="1408"/>
      <c r="W1126" s="1408"/>
      <c r="X1126" s="1408"/>
      <c r="Y1126" s="1408"/>
      <c r="Z1126" s="1408"/>
      <c r="AA1126" s="1408"/>
    </row>
    <row r="1127" spans="1:27" x14ac:dyDescent="0.25">
      <c r="A1127" s="926" t="s">
        <v>1500</v>
      </c>
      <c r="B1127" s="897" t="str">
        <f ca="1">_xlfn.CONCAT(IFERROR(SUBSTITUTE(ADDRESS(1,MATCH(A1127,INDIRECT("'"&amp;E1127&amp;"'"&amp;"!A" &amp; $O$1105 + 5 &amp; ":Z" &amp; $O$1105 + 5),0),4),1,""),""),$O$1105+ 9)</f>
        <v>J444</v>
      </c>
      <c r="C1127" s="897" t="str">
        <f t="shared" ca="1" si="224"/>
        <v>J</v>
      </c>
      <c r="D1127" s="897" t="s">
        <v>1374</v>
      </c>
      <c r="E1127" s="897" t="s">
        <v>1535</v>
      </c>
      <c r="F1127" s="897"/>
      <c r="G1127" s="897"/>
      <c r="H1127" s="897"/>
      <c r="I1127" s="857" t="str">
        <f t="shared" si="218"/>
        <v/>
      </c>
      <c r="J1127" s="1409" t="str">
        <f t="shared" si="221"/>
        <v/>
      </c>
      <c r="K1127" s="1409" t="str">
        <f t="shared" si="219"/>
        <v/>
      </c>
      <c r="L1127" s="897" t="s">
        <v>1500</v>
      </c>
      <c r="M1127" s="1410">
        <v>1110</v>
      </c>
      <c r="N1127" s="1409"/>
      <c r="O1127" s="1408"/>
      <c r="P1127" s="1408"/>
      <c r="Q1127" s="1408"/>
      <c r="R1127" s="1409" t="s">
        <v>1105</v>
      </c>
      <c r="S1127" s="1408"/>
      <c r="T1127" s="1408"/>
      <c r="U1127" s="1408"/>
      <c r="V1127" s="1408"/>
      <c r="W1127" s="1408"/>
      <c r="X1127" s="1408"/>
      <c r="Y1127" s="1408"/>
      <c r="Z1127" s="1408"/>
      <c r="AA1127" s="1408"/>
    </row>
    <row r="1128" spans="1:27" x14ac:dyDescent="0.25">
      <c r="A1128" s="926" t="s">
        <v>728</v>
      </c>
      <c r="B1128" s="897" t="str">
        <f ca="1">_xlfn.CONCAT(IFERROR(SUBSTITUTE(ADDRESS(1,MATCH(A1128,INDIRECT("'"&amp;E1128&amp;"'"&amp;"!A" &amp; $O$1105 + 5 &amp; ":Z" &amp; $O$1105 + 5),0),4),1,""),""),$O$1105+ 9)</f>
        <v>L444</v>
      </c>
      <c r="C1128" s="897" t="str">
        <f t="shared" ca="1" si="224"/>
        <v>L</v>
      </c>
      <c r="D1128" s="897" t="s">
        <v>1374</v>
      </c>
      <c r="E1128" s="897" t="s">
        <v>1535</v>
      </c>
      <c r="F1128" s="897"/>
      <c r="G1128" s="897"/>
      <c r="H1128" s="897"/>
      <c r="I1128" s="857" t="str">
        <f t="shared" si="218"/>
        <v/>
      </c>
      <c r="J1128" s="1409" t="str">
        <f t="shared" si="221"/>
        <v/>
      </c>
      <c r="K1128" s="1409" t="str">
        <f t="shared" si="219"/>
        <v/>
      </c>
      <c r="L1128" s="897" t="s">
        <v>728</v>
      </c>
      <c r="M1128" s="1410">
        <v>1111</v>
      </c>
      <c r="N1128" s="1409"/>
      <c r="O1128" s="1408"/>
      <c r="P1128" s="1408"/>
      <c r="Q1128" s="1408"/>
      <c r="R1128" s="1409" t="s">
        <v>1105</v>
      </c>
      <c r="S1128" s="1408"/>
      <c r="T1128" s="1408"/>
      <c r="U1128" s="1408"/>
      <c r="V1128" s="1408"/>
      <c r="W1128" s="1408"/>
      <c r="X1128" s="1408"/>
      <c r="Y1128" s="1408"/>
      <c r="Z1128" s="1408"/>
      <c r="AA1128" s="1408"/>
    </row>
    <row r="1129" spans="1:27" x14ac:dyDescent="0.25">
      <c r="A1129" s="926" t="s">
        <v>1501</v>
      </c>
      <c r="B1129" s="897" t="str">
        <f ca="1">_xlfn.CONCAT(IFERROR(SUBSTITUTE(ADDRESS(1,MATCH(A1129,INDIRECT("'"&amp;E1129&amp;"'"&amp;"!A" &amp; $O$1105 + 5 &amp; ":Z" &amp; $O$1105 + 5),0),4),1,""),""),$O$1105+ 9)</f>
        <v>N444</v>
      </c>
      <c r="C1129" s="897" t="str">
        <f t="shared" ca="1" si="224"/>
        <v>N</v>
      </c>
      <c r="D1129" s="897" t="s">
        <v>1374</v>
      </c>
      <c r="E1129" s="897" t="s">
        <v>1535</v>
      </c>
      <c r="F1129" s="897"/>
      <c r="G1129" s="897"/>
      <c r="H1129" s="897"/>
      <c r="I1129" s="857" t="str">
        <f t="shared" si="218"/>
        <v/>
      </c>
      <c r="J1129" s="1409" t="str">
        <f t="shared" si="221"/>
        <v/>
      </c>
      <c r="K1129" s="1409" t="str">
        <f t="shared" si="219"/>
        <v/>
      </c>
      <c r="L1129" s="897" t="s">
        <v>1501</v>
      </c>
      <c r="M1129" s="1410">
        <v>1112</v>
      </c>
      <c r="N1129" s="1409"/>
      <c r="O1129" s="1408"/>
      <c r="P1129" s="1408"/>
      <c r="Q1129" s="1408"/>
      <c r="R1129" s="1409" t="s">
        <v>1105</v>
      </c>
      <c r="S1129" s="1408"/>
      <c r="T1129" s="1408"/>
      <c r="U1129" s="1408"/>
      <c r="V1129" s="1408"/>
      <c r="W1129" s="1408"/>
      <c r="X1129" s="1408"/>
      <c r="Y1129" s="1408"/>
      <c r="Z1129" s="1408"/>
      <c r="AA1129" s="1408"/>
    </row>
    <row r="1130" spans="1:27" x14ac:dyDescent="0.25">
      <c r="A1130" s="926" t="s">
        <v>1500</v>
      </c>
      <c r="B1130" s="897" t="str">
        <f ca="1">_xlfn.CONCAT(IFERROR(SUBSTITUTE(ADDRESS(1,MATCH(A1130,INDIRECT("'"&amp;E1130&amp;"'"&amp;"!A" &amp; $O$1105 + 5 &amp; ":Z" &amp; $O$1105 + 5),0),4),1,""),""),$O$1105+ 10)</f>
        <v>J445</v>
      </c>
      <c r="C1130" s="897" t="str">
        <f t="shared" ca="1" si="224"/>
        <v>J</v>
      </c>
      <c r="D1130" s="897" t="s">
        <v>1374</v>
      </c>
      <c r="E1130" s="897" t="s">
        <v>1535</v>
      </c>
      <c r="F1130" s="897"/>
      <c r="G1130" s="897"/>
      <c r="H1130" s="897"/>
      <c r="I1130" s="857" t="str">
        <f t="shared" si="218"/>
        <v/>
      </c>
      <c r="J1130" s="1409" t="str">
        <f t="shared" si="221"/>
        <v/>
      </c>
      <c r="K1130" s="1409" t="str">
        <f t="shared" si="219"/>
        <v/>
      </c>
      <c r="L1130" s="897" t="s">
        <v>1500</v>
      </c>
      <c r="M1130" s="1410">
        <v>1113</v>
      </c>
      <c r="N1130" s="1409"/>
      <c r="O1130" s="1408"/>
      <c r="P1130" s="1408"/>
      <c r="Q1130" s="1408"/>
      <c r="R1130" s="1409" t="s">
        <v>1105</v>
      </c>
      <c r="S1130" s="1408"/>
      <c r="T1130" s="1408"/>
      <c r="U1130" s="1408"/>
      <c r="V1130" s="1408"/>
      <c r="W1130" s="1408"/>
      <c r="X1130" s="1408"/>
      <c r="Y1130" s="1408"/>
      <c r="Z1130" s="1408"/>
      <c r="AA1130" s="1408"/>
    </row>
    <row r="1131" spans="1:27" x14ac:dyDescent="0.25">
      <c r="A1131" s="926" t="s">
        <v>728</v>
      </c>
      <c r="B1131" s="897" t="str">
        <f ca="1">_xlfn.CONCAT(IFERROR(SUBSTITUTE(ADDRESS(1,MATCH(A1131,INDIRECT("'"&amp;E1131&amp;"'"&amp;"!A" &amp; $O$1105 + 5 &amp; ":Z" &amp; $O$1105 + 5),0),4),1,""),""),$O$1105+ 10)</f>
        <v>L445</v>
      </c>
      <c r="C1131" s="897" t="str">
        <f t="shared" ca="1" si="224"/>
        <v>L</v>
      </c>
      <c r="D1131" s="897" t="s">
        <v>1374</v>
      </c>
      <c r="E1131" s="897" t="s">
        <v>1535</v>
      </c>
      <c r="F1131" s="897"/>
      <c r="G1131" s="897"/>
      <c r="H1131" s="897"/>
      <c r="I1131" s="857" t="str">
        <f t="shared" si="218"/>
        <v/>
      </c>
      <c r="J1131" s="1409" t="str">
        <f t="shared" si="221"/>
        <v/>
      </c>
      <c r="K1131" s="1409" t="str">
        <f t="shared" si="219"/>
        <v/>
      </c>
      <c r="L1131" s="897" t="s">
        <v>728</v>
      </c>
      <c r="M1131" s="1410">
        <v>1114</v>
      </c>
      <c r="N1131" s="1409"/>
      <c r="O1131" s="1408"/>
      <c r="P1131" s="1408"/>
      <c r="Q1131" s="1408"/>
      <c r="R1131" s="1409" t="s">
        <v>1105</v>
      </c>
      <c r="S1131" s="1408"/>
      <c r="T1131" s="1408"/>
      <c r="U1131" s="1408"/>
      <c r="V1131" s="1408"/>
      <c r="W1131" s="1408"/>
      <c r="X1131" s="1408"/>
      <c r="Y1131" s="1408"/>
      <c r="Z1131" s="1408"/>
      <c r="AA1131" s="1408"/>
    </row>
    <row r="1132" spans="1:27" x14ac:dyDescent="0.25">
      <c r="A1132" s="926" t="s">
        <v>1501</v>
      </c>
      <c r="B1132" s="897" t="str">
        <f ca="1">_xlfn.CONCAT(IFERROR(SUBSTITUTE(ADDRESS(1,MATCH(A1132,INDIRECT("'"&amp;E1132&amp;"'"&amp;"!A" &amp; $O$1105 + 5 &amp; ":Z" &amp; $O$1105 + 5),0),4),1,""),""),$O$1105+ 10)</f>
        <v>N445</v>
      </c>
      <c r="C1132" s="897" t="str">
        <f t="shared" ca="1" si="224"/>
        <v>N</v>
      </c>
      <c r="D1132" s="897" t="s">
        <v>1374</v>
      </c>
      <c r="E1132" s="897" t="s">
        <v>1535</v>
      </c>
      <c r="F1132" s="897"/>
      <c r="G1132" s="897"/>
      <c r="H1132" s="897"/>
      <c r="I1132" s="857" t="str">
        <f t="shared" si="218"/>
        <v/>
      </c>
      <c r="J1132" s="1409" t="str">
        <f t="shared" si="221"/>
        <v/>
      </c>
      <c r="K1132" s="1409" t="str">
        <f t="shared" si="219"/>
        <v/>
      </c>
      <c r="L1132" s="897" t="s">
        <v>1501</v>
      </c>
      <c r="M1132" s="1410">
        <v>1115</v>
      </c>
      <c r="N1132" s="1409"/>
      <c r="O1132" s="1408"/>
      <c r="P1132" s="1408"/>
      <c r="Q1132" s="1408"/>
      <c r="R1132" s="1409" t="s">
        <v>1105</v>
      </c>
      <c r="S1132" s="1408"/>
      <c r="T1132" s="1408"/>
      <c r="U1132" s="1408"/>
      <c r="V1132" s="1408"/>
      <c r="W1132" s="1408"/>
      <c r="X1132" s="1408"/>
      <c r="Y1132" s="1408"/>
      <c r="Z1132" s="1408"/>
      <c r="AA1132" s="1408"/>
    </row>
    <row r="1133" spans="1:27" x14ac:dyDescent="0.25">
      <c r="A1133" s="929" t="s">
        <v>1510</v>
      </c>
      <c r="B1133" s="897" t="str">
        <f ca="1">IFERROR(_xlfn.CONCAT("C",MATCH(A1133,INDIRECT("'"&amp;E1133&amp;"'!C"&amp;$O$1134&amp;":C"&amp;$O$1136),0)+$O$1134-1),"")</f>
        <v>C453</v>
      </c>
      <c r="C1133" s="897" t="str">
        <f ca="1">IFERROR(_xlfn.CONCAT("D",MATCH(A1133,INDIRECT("'"&amp;E1133&amp;"'!C"&amp;$O$1134&amp;":C"&amp;$O$1136),0)+$O$1134-1),"")</f>
        <v>D453</v>
      </c>
      <c r="D1133" s="897" t="s">
        <v>1367</v>
      </c>
      <c r="E1133" s="897" t="s">
        <v>1535</v>
      </c>
      <c r="F1133" s="1409" t="s">
        <v>1510</v>
      </c>
      <c r="G1133" s="1409" t="str">
        <f>IF(T1133&lt;&gt;"","A","")</f>
        <v/>
      </c>
      <c r="H1133" s="1409" t="s">
        <v>1926</v>
      </c>
      <c r="I1133" s="857" t="str">
        <f t="shared" si="218"/>
        <v/>
      </c>
      <c r="J1133" s="1409"/>
      <c r="K1133" s="1409" t="str">
        <f t="shared" si="219"/>
        <v/>
      </c>
      <c r="L1133" s="897" t="s">
        <v>1510</v>
      </c>
      <c r="M1133" s="1410">
        <v>1116</v>
      </c>
      <c r="N1133" s="1409"/>
      <c r="O1133" s="1408" t="s">
        <v>726</v>
      </c>
      <c r="P1133" s="18"/>
      <c r="Q1133" s="1408"/>
      <c r="R1133" s="1409" t="s">
        <v>1105</v>
      </c>
      <c r="S1133" s="1408"/>
      <c r="T1133" s="1409" t="str">
        <f>IF(Q$1134="Yes",32,"")</f>
        <v/>
      </c>
      <c r="U1133" s="1408"/>
      <c r="V1133" s="1408"/>
      <c r="W1133" s="1408"/>
      <c r="X1133" s="1408"/>
      <c r="Y1133" s="1408"/>
      <c r="Z1133" s="1408"/>
      <c r="AA1133" s="1408"/>
    </row>
    <row r="1134" spans="1:27" x14ac:dyDescent="0.25">
      <c r="A1134" s="929" t="s">
        <v>1724</v>
      </c>
      <c r="B1134" s="897" t="str">
        <f ca="1">_xlfn.CONCAT(IFERROR(SUBSTITUTE(ADDRESS(1,MATCH(A1134,INDIRECT("'"&amp;E1134&amp;"'"&amp;"!A" &amp; $O$1134 + 11 &amp; ":Z" &amp; $O$1134 + 11),0),4),1,""),""),$O$1134+ 11)</f>
        <v>T460</v>
      </c>
      <c r="C1134" s="897" t="str">
        <f ca="1">_xlfn.CONCAT(IFERROR(SUBSTITUTE(ADDRESS(1,MATCH(A1134,INDIRECT("'"&amp;E1134&amp;"'"&amp;"!A" &amp; $O$1134 + 11 &amp; ":Z" &amp; $O$1134 + 11),0),4),1,""),""),$O$1134+ 12)</f>
        <v>T461</v>
      </c>
      <c r="D1134" s="897" t="s">
        <v>1367</v>
      </c>
      <c r="E1134" s="897" t="s">
        <v>1535</v>
      </c>
      <c r="F1134" s="1409"/>
      <c r="G1134" s="1409"/>
      <c r="H1134" s="1409"/>
      <c r="I1134" s="857" t="str">
        <f t="shared" si="218"/>
        <v/>
      </c>
      <c r="J1134" s="1409" t="str">
        <f t="shared" ref="J1134:J1161" si="225">IF(M1134&lt;&gt;"",IF($Q$1134="Yes",Q$1&amp;M1134,""))</f>
        <v/>
      </c>
      <c r="K1134" s="1409" t="str">
        <f t="shared" si="219"/>
        <v/>
      </c>
      <c r="L1134" s="897" t="s">
        <v>1724</v>
      </c>
      <c r="M1134" s="1410">
        <v>1117</v>
      </c>
      <c r="N1134" s="1409"/>
      <c r="O1134" s="1408">
        <f>'Configurable Tab'!H34</f>
        <v>449</v>
      </c>
      <c r="P1134" s="18">
        <f>'Configurable Tab'!J34</f>
        <v>0</v>
      </c>
      <c r="Q1134" s="1408" t="s">
        <v>649</v>
      </c>
      <c r="R1134" s="1409" t="s">
        <v>1105</v>
      </c>
      <c r="S1134" s="1408"/>
      <c r="T1134" s="1409" t="str">
        <f t="shared" ref="T1134:T1139" si="226">IF(Q$1134="Yes",32,"")</f>
        <v/>
      </c>
      <c r="U1134" s="1408"/>
      <c r="V1134" s="1408"/>
      <c r="W1134" s="1408"/>
      <c r="X1134" s="1408"/>
      <c r="Y1134" s="1408"/>
      <c r="Z1134" s="1408"/>
      <c r="AA1134" s="1408"/>
    </row>
    <row r="1135" spans="1:27" x14ac:dyDescent="0.25">
      <c r="A1135" s="929" t="s">
        <v>1400</v>
      </c>
      <c r="B1135" s="897" t="str">
        <f ca="1">IFERROR(_xlfn.CONCAT("C",MATCH(A1135,INDIRECT("'"&amp;E1135&amp;"'!C"&amp;$O$1134&amp;":C"&amp;$O$1136),0)+$O$1134-1),"")</f>
        <v>C451</v>
      </c>
      <c r="C1135" s="897" t="str">
        <f ca="1">IFERROR(_xlfn.CONCAT("D",MATCH(A1135,INDIRECT("'"&amp;E1135&amp;"'!C"&amp;$O$1134&amp;":C"&amp;$O$1136),0)+$O$1134-1),"")</f>
        <v>D451</v>
      </c>
      <c r="D1135" s="897" t="s">
        <v>1367</v>
      </c>
      <c r="E1135" s="897" t="s">
        <v>1535</v>
      </c>
      <c r="F1135" s="1409" t="s">
        <v>1400</v>
      </c>
      <c r="G1135" s="1409" t="str">
        <f>IF(T1135&lt;&gt;"","B","")</f>
        <v/>
      </c>
      <c r="H1135" s="1409" t="s">
        <v>1926</v>
      </c>
      <c r="I1135" s="857" t="str">
        <f t="shared" si="218"/>
        <v/>
      </c>
      <c r="J1135" s="1409"/>
      <c r="K1135" s="1409" t="str">
        <f t="shared" si="219"/>
        <v/>
      </c>
      <c r="L1135" s="897" t="s">
        <v>1400</v>
      </c>
      <c r="M1135" s="1410">
        <v>1118</v>
      </c>
      <c r="N1135" s="1409"/>
      <c r="O1135" s="1408" t="s">
        <v>727</v>
      </c>
      <c r="P1135" s="1408"/>
      <c r="Q1135" s="1408"/>
      <c r="R1135" s="1409" t="s">
        <v>1105</v>
      </c>
      <c r="S1135" s="1408"/>
      <c r="T1135" s="1409" t="str">
        <f t="shared" si="226"/>
        <v/>
      </c>
      <c r="U1135" s="1408"/>
      <c r="V1135" s="1408"/>
      <c r="W1135" s="1408"/>
      <c r="X1135" s="1408"/>
      <c r="Y1135" s="1408"/>
      <c r="Z1135" s="1408"/>
      <c r="AA1135" s="1408"/>
    </row>
    <row r="1136" spans="1:27" x14ac:dyDescent="0.25">
      <c r="A1136" s="929" t="s">
        <v>1397</v>
      </c>
      <c r="B1136" s="897" t="str">
        <f ca="1">_xlfn.CONCAT(IFERROR(SUBSTITUTE(ADDRESS(1,MATCH(A1136,INDIRECT("'"&amp;E1136&amp;"'"&amp;"!A" &amp; $O$1134 + 2 &amp; ":Z" &amp; $O$1134 + 2),0),4),1,""),""),$O$1134+ 2)</f>
        <v>H451</v>
      </c>
      <c r="C1136" s="897" t="str">
        <f ca="1">_xlfn.CONCAT(IFERROR(SUBSTITUTE(ADDRESS(1,MATCH(A1136,INDIRECT("'"&amp;E1136&amp;"'"&amp;"!A" &amp; $O$1134 + 2 &amp; ":Z" &amp; $O$1134 + 2),0),4),1,""),""),$O$1134+ 3)</f>
        <v>H452</v>
      </c>
      <c r="D1136" s="897" t="s">
        <v>1367</v>
      </c>
      <c r="E1136" s="897" t="s">
        <v>1535</v>
      </c>
      <c r="F1136" s="1409" t="s">
        <v>1927</v>
      </c>
      <c r="G1136" s="1409" t="str">
        <f>IF(T1136&lt;&gt;"","E","")</f>
        <v/>
      </c>
      <c r="H1136" s="1409" t="s">
        <v>1926</v>
      </c>
      <c r="I1136" s="857" t="str">
        <f t="shared" si="218"/>
        <v/>
      </c>
      <c r="J1136" s="1409" t="str">
        <f t="shared" si="225"/>
        <v/>
      </c>
      <c r="K1136" s="1409" t="str">
        <f t="shared" si="219"/>
        <v/>
      </c>
      <c r="L1136" s="897" t="s">
        <v>1397</v>
      </c>
      <c r="M1136" s="1410">
        <v>1119</v>
      </c>
      <c r="N1136" s="1409"/>
      <c r="O1136" s="1408">
        <f>'Configurable Tab'!I34</f>
        <v>462</v>
      </c>
      <c r="P1136" s="1408"/>
      <c r="Q1136" s="1408"/>
      <c r="R1136" s="1409" t="s">
        <v>1105</v>
      </c>
      <c r="S1136" s="1408"/>
      <c r="T1136" s="1409" t="str">
        <f t="shared" si="226"/>
        <v/>
      </c>
      <c r="U1136" s="1408"/>
      <c r="V1136" s="1408"/>
      <c r="W1136" s="1408"/>
      <c r="X1136" s="1408"/>
      <c r="Y1136" s="1408"/>
      <c r="Z1136" s="1408"/>
      <c r="AA1136" s="1408"/>
    </row>
    <row r="1137" spans="1:27" x14ac:dyDescent="0.25">
      <c r="A1137" s="929" t="s">
        <v>1398</v>
      </c>
      <c r="B1137" s="897" t="str">
        <f ca="1">_xlfn.CONCAT(IFERROR(SUBSTITUTE(ADDRESS(1,MATCH(A1137,INDIRECT("'"&amp;E1137&amp;"'"&amp;"!A" &amp; $O$1134 + 2 &amp; ":Z" &amp; $O$1134 + 2),0),4),1,""),""),$O$1134+ 2)</f>
        <v>J451</v>
      </c>
      <c r="C1137" s="897" t="str">
        <f ca="1">_xlfn.CONCAT(IFERROR(SUBSTITUTE(ADDRESS(1,MATCH(A1137,INDIRECT("'"&amp;E1137&amp;"'"&amp;"!A" &amp; $O$1134 + 2 &amp; ":Z" &amp; $O$1134 + 2),0),4),1,""),""),$O$1134+ 3)</f>
        <v>J452</v>
      </c>
      <c r="D1137" s="897" t="s">
        <v>1367</v>
      </c>
      <c r="E1137" s="897" t="s">
        <v>1535</v>
      </c>
      <c r="F1137" s="1409" t="s">
        <v>1928</v>
      </c>
      <c r="G1137" s="1409" t="str">
        <f>IF(T1137&lt;&gt;"","I","")</f>
        <v/>
      </c>
      <c r="H1137" s="1409" t="s">
        <v>1926</v>
      </c>
      <c r="I1137" s="857" t="str">
        <f t="shared" si="218"/>
        <v/>
      </c>
      <c r="J1137" s="1409" t="str">
        <f t="shared" si="225"/>
        <v/>
      </c>
      <c r="K1137" s="1409" t="str">
        <f t="shared" si="219"/>
        <v/>
      </c>
      <c r="L1137" s="897" t="s">
        <v>1398</v>
      </c>
      <c r="M1137" s="1410">
        <v>1120</v>
      </c>
      <c r="N1137" s="1409"/>
      <c r="O1137" s="1408" t="s">
        <v>1678</v>
      </c>
      <c r="P1137" s="1408"/>
      <c r="Q1137" s="1408"/>
      <c r="R1137" s="1409" t="s">
        <v>1105</v>
      </c>
      <c r="S1137" s="1408"/>
      <c r="T1137" s="1409" t="str">
        <f t="shared" si="226"/>
        <v/>
      </c>
      <c r="U1137" s="1408"/>
      <c r="V1137" s="1408"/>
      <c r="W1137" s="1408"/>
      <c r="X1137" s="1408"/>
      <c r="Y1137" s="1408"/>
      <c r="Z1137" s="1408"/>
      <c r="AA1137" s="1408"/>
    </row>
    <row r="1138" spans="1:27" x14ac:dyDescent="0.25">
      <c r="A1138" s="929" t="s">
        <v>1399</v>
      </c>
      <c r="B1138" s="897" t="str">
        <f ca="1">_xlfn.CONCAT(IFERROR(SUBSTITUTE(ADDRESS(1,MATCH(A1138,INDIRECT("'"&amp;E1138&amp;"'"&amp;"!A" &amp; $O$1134 + 2 &amp; ":Z" &amp; $O$1134 + 2),0),4),1,""),""),$O$1134+ 2)</f>
        <v>N451</v>
      </c>
      <c r="C1138" s="897" t="str">
        <f ca="1">_xlfn.CONCAT(IFERROR(SUBSTITUTE(ADDRESS(1,MATCH(A1138,INDIRECT("'"&amp;E1138&amp;"'"&amp;"!A" &amp; $O$1134 + 2 &amp; ":Z" &amp; $O$1134 + 2),0),4),1,""),""),$O$1134+ 3)</f>
        <v>N452</v>
      </c>
      <c r="D1138" s="897" t="s">
        <v>1367</v>
      </c>
      <c r="E1138" s="897" t="s">
        <v>1535</v>
      </c>
      <c r="F1138" s="1409" t="s">
        <v>1399</v>
      </c>
      <c r="G1138" s="1409" t="str">
        <f>IF(T1138&lt;&gt;"",IF(Q1136="Credit Memo","J",IF(Q1136="Check","K","")),"")</f>
        <v/>
      </c>
      <c r="H1138" s="1409" t="s">
        <v>1926</v>
      </c>
      <c r="I1138" s="857" t="str">
        <f t="shared" si="218"/>
        <v/>
      </c>
      <c r="J1138" s="1409" t="str">
        <f t="shared" si="225"/>
        <v/>
      </c>
      <c r="K1138" s="1409" t="str">
        <f t="shared" si="219"/>
        <v/>
      </c>
      <c r="L1138" s="897" t="s">
        <v>1399</v>
      </c>
      <c r="M1138" s="1410">
        <v>1121</v>
      </c>
      <c r="N1138" s="1409"/>
      <c r="O1138" s="1408"/>
      <c r="P1138" s="1408"/>
      <c r="Q1138" s="1408"/>
      <c r="R1138" s="1409" t="s">
        <v>1105</v>
      </c>
      <c r="S1138" s="1408"/>
      <c r="T1138" s="1409" t="str">
        <f t="shared" si="226"/>
        <v/>
      </c>
      <c r="U1138" s="1408"/>
      <c r="V1138" s="1408"/>
      <c r="W1138" s="1408"/>
      <c r="X1138" s="1408"/>
      <c r="Y1138" s="1408"/>
      <c r="Z1138" s="1408"/>
      <c r="AA1138" s="1408"/>
    </row>
    <row r="1139" spans="1:27" x14ac:dyDescent="0.25">
      <c r="A1139" s="929" t="s">
        <v>1506</v>
      </c>
      <c r="B1139" s="897" t="str">
        <f ca="1">_xlfn.CONCAT(IFERROR(SUBSTITUTE(ADDRESS(1,MATCH(A1139,INDIRECT("'"&amp;E1139&amp;"'"&amp;"!A" &amp; $O$1134 + 2 &amp; ":Z" &amp; $O$1134 + 2),0),4),1,""),""),$O$1134+ 2)</f>
        <v>R451</v>
      </c>
      <c r="C1139" s="897" t="str">
        <f ca="1">_xlfn.CONCAT(IFERROR(SUBSTITUTE(ADDRESS(1,MATCH(A1139,INDIRECT("'"&amp;E1139&amp;"'"&amp;"!A" &amp; $O$1134 + 2 &amp; ":Z" &amp; $O$1134 + 2),0),4),1,""),""),$O$1134+ 3)</f>
        <v>R452</v>
      </c>
      <c r="D1139" s="897" t="s">
        <v>1367</v>
      </c>
      <c r="E1139" s="897" t="s">
        <v>1535</v>
      </c>
      <c r="F1139" s="1409" t="s">
        <v>1931</v>
      </c>
      <c r="G1139" s="1409" t="str">
        <f>IF(T1139&lt;&gt;"","G","")</f>
        <v/>
      </c>
      <c r="H1139" s="1409" t="s">
        <v>1926</v>
      </c>
      <c r="I1139" s="857" t="str">
        <f t="shared" si="218"/>
        <v/>
      </c>
      <c r="J1139" s="1409" t="str">
        <f t="shared" si="225"/>
        <v/>
      </c>
      <c r="K1139" s="1409" t="str">
        <f t="shared" si="219"/>
        <v/>
      </c>
      <c r="L1139" s="897" t="s">
        <v>1506</v>
      </c>
      <c r="M1139" s="1410">
        <v>1122</v>
      </c>
      <c r="N1139" s="1409"/>
      <c r="O1139" s="1408"/>
      <c r="P1139" s="1408"/>
      <c r="Q1139" s="1408"/>
      <c r="R1139" s="1409" t="s">
        <v>1105</v>
      </c>
      <c r="S1139" s="1408"/>
      <c r="T1139" s="1409" t="str">
        <f t="shared" si="226"/>
        <v/>
      </c>
      <c r="U1139" s="1408"/>
      <c r="V1139" s="1408"/>
      <c r="W1139" s="1408"/>
      <c r="X1139" s="1408"/>
      <c r="Y1139" s="1408"/>
      <c r="Z1139" s="1408"/>
      <c r="AA1139" s="1408"/>
    </row>
    <row r="1140" spans="1:27" x14ac:dyDescent="0.25">
      <c r="A1140" s="929" t="s">
        <v>1507</v>
      </c>
      <c r="B1140" s="897" t="str">
        <f ca="1">_xlfn.CONCAT(IFERROR(SUBSTITUTE(ADDRESS(1,MATCH(A1140,INDIRECT("'"&amp;E1140&amp;"'"&amp;"!A" &amp; $O$1134 + 2 &amp; ":Z" &amp; $O$1134 + 2),0),4),1,""),""),$O$1134+ 2)</f>
        <v>T451</v>
      </c>
      <c r="C1140" s="897" t="str">
        <f ca="1">_xlfn.CONCAT(IFERROR(SUBSTITUTE(ADDRESS(1,MATCH(A1140,INDIRECT("'"&amp;E1140&amp;"'"&amp;"!A" &amp; $O$1134 + 2 &amp; ":Z" &amp; $O$1134 + 2),0),4),1,""),""),$O$1134+ 3)</f>
        <v>T452</v>
      </c>
      <c r="D1140" s="897" t="s">
        <v>1367</v>
      </c>
      <c r="E1140" s="897" t="s">
        <v>1535</v>
      </c>
      <c r="F1140" s="919" t="s">
        <v>1507</v>
      </c>
      <c r="G1140" s="1409" t="str">
        <f>IF(T1140&lt;&gt;"","AW","")</f>
        <v/>
      </c>
      <c r="H1140" s="1409" t="s">
        <v>1926</v>
      </c>
      <c r="I1140" s="857" t="str">
        <f t="shared" si="218"/>
        <v/>
      </c>
      <c r="J1140" s="1409" t="str">
        <f t="shared" si="225"/>
        <v/>
      </c>
      <c r="K1140" s="1409" t="str">
        <f t="shared" si="219"/>
        <v/>
      </c>
      <c r="L1140" s="897" t="s">
        <v>1507</v>
      </c>
      <c r="M1140" s="1410">
        <v>1123</v>
      </c>
      <c r="N1140" s="1409"/>
      <c r="O1140" s="1408"/>
      <c r="P1140" s="1408"/>
      <c r="Q1140" s="1408"/>
      <c r="R1140" s="1409" t="s">
        <v>1105</v>
      </c>
      <c r="S1140" s="1408"/>
      <c r="T1140" s="1408"/>
      <c r="U1140" s="1408"/>
      <c r="V1140" s="1408"/>
      <c r="W1140" s="1408"/>
      <c r="X1140" s="1408"/>
      <c r="Y1140" s="1408"/>
      <c r="Z1140" s="1408"/>
      <c r="AA1140" s="1408"/>
    </row>
    <row r="1141" spans="1:27" x14ac:dyDescent="0.25">
      <c r="A1141" s="929" t="s">
        <v>1402</v>
      </c>
      <c r="B1141" s="897" t="str">
        <f ca="1">IFERROR(_xlfn.CONCAT("C",MATCH(A1141,INDIRECT("'"&amp;E1141&amp;"'!C"&amp;$O$1134&amp;":C"&amp;$O$1136),0)+$O$1134-1),"")</f>
        <v>C455</v>
      </c>
      <c r="C1141" s="897" t="str">
        <f ca="1">IFERROR(_xlfn.CONCAT("D",MATCH(A1141,INDIRECT("'"&amp;E1141&amp;"'!C"&amp;$O$1134&amp;":C"&amp;$O$1136),0)+$O$1134-1),"")</f>
        <v>D455</v>
      </c>
      <c r="D1141" s="897" t="s">
        <v>1367</v>
      </c>
      <c r="E1141" s="897" t="s">
        <v>1535</v>
      </c>
      <c r="F1141" s="1409" t="s">
        <v>1402</v>
      </c>
      <c r="G1141" s="1409" t="str">
        <f>IF(T1141&lt;&gt;"","C","")</f>
        <v/>
      </c>
      <c r="H1141" s="1409" t="s">
        <v>1926</v>
      </c>
      <c r="I1141" s="857" t="str">
        <f t="shared" si="218"/>
        <v/>
      </c>
      <c r="J1141" s="1409"/>
      <c r="K1141" s="1409" t="str">
        <f t="shared" si="219"/>
        <v/>
      </c>
      <c r="L1141" s="897" t="s">
        <v>1402</v>
      </c>
      <c r="M1141" s="1410">
        <v>1124</v>
      </c>
      <c r="N1141" s="1409"/>
      <c r="O1141" s="1408"/>
      <c r="P1141" s="1408"/>
      <c r="Q1141" s="1408"/>
      <c r="R1141" s="1409" t="s">
        <v>1105</v>
      </c>
      <c r="S1141" s="1408"/>
      <c r="T1141" s="1409" t="str">
        <f t="shared" ref="T1141:T1142" si="227">IF(Q$1134="Yes",32,"")</f>
        <v/>
      </c>
      <c r="U1141" s="1408"/>
      <c r="V1141" s="1408"/>
      <c r="W1141" s="1408"/>
      <c r="X1141" s="1408"/>
      <c r="Y1141" s="1408"/>
      <c r="Z1141" s="1408"/>
      <c r="AA1141" s="1408"/>
    </row>
    <row r="1142" spans="1:27" x14ac:dyDescent="0.25">
      <c r="A1142" s="929" t="s">
        <v>1403</v>
      </c>
      <c r="B1142" s="897" t="str">
        <f ca="1">IFERROR(_xlfn.CONCAT("C",MATCH(A1142,INDIRECT("'"&amp;E1142&amp;"'!C"&amp;$O$1134&amp;":C"&amp;$O$1136),0)+$O$1134-1),"")</f>
        <v>C457</v>
      </c>
      <c r="C1142" s="897" t="str">
        <f ca="1">IFERROR(_xlfn.CONCAT("D",MATCH(A1142,INDIRECT("'"&amp;E1142&amp;"'!C"&amp;$O$1134&amp;":C"&amp;$O$1136),0)+$O$1134-1),"")</f>
        <v>D457</v>
      </c>
      <c r="D1142" s="897" t="s">
        <v>1367</v>
      </c>
      <c r="E1142" s="897" t="s">
        <v>1535</v>
      </c>
      <c r="F1142" s="1409" t="s">
        <v>1403</v>
      </c>
      <c r="G1142" s="1409" t="str">
        <f>IF(T1142&lt;&gt;"","D","")</f>
        <v/>
      </c>
      <c r="H1142" s="1409" t="s">
        <v>1926</v>
      </c>
      <c r="I1142" s="857" t="str">
        <f t="shared" si="218"/>
        <v/>
      </c>
      <c r="J1142" s="1409"/>
      <c r="K1142" s="1409" t="str">
        <f t="shared" si="219"/>
        <v/>
      </c>
      <c r="L1142" s="897" t="s">
        <v>1403</v>
      </c>
      <c r="M1142" s="1410">
        <v>1125</v>
      </c>
      <c r="N1142" s="1409"/>
      <c r="O1142" s="1408"/>
      <c r="P1142" s="1408"/>
      <c r="Q1142" s="1408"/>
      <c r="R1142" s="1409" t="s">
        <v>1105</v>
      </c>
      <c r="S1142" s="1408"/>
      <c r="T1142" s="1409" t="str">
        <f t="shared" si="227"/>
        <v/>
      </c>
      <c r="U1142" s="1408"/>
      <c r="V1142" s="1408"/>
      <c r="W1142" s="1408"/>
      <c r="X1142" s="1408"/>
      <c r="Y1142" s="1408"/>
      <c r="Z1142" s="1408"/>
      <c r="AA1142" s="1408"/>
    </row>
    <row r="1143" spans="1:27" x14ac:dyDescent="0.25">
      <c r="A1143" s="929" t="s">
        <v>1514</v>
      </c>
      <c r="B1143" s="897" t="str">
        <f ca="1">IFERROR(_xlfn.CONCAT("C",MATCH(A1143,INDIRECT("'"&amp;E1143&amp;"'!C"&amp;$O$1134&amp;":C"&amp;$O$1136),0)+$O$1134-1),"")</f>
        <v>C459</v>
      </c>
      <c r="C1143" s="897" t="str">
        <f ca="1">IFERROR(_xlfn.CONCAT("D",MATCH(A1143,INDIRECT("'"&amp;E1143&amp;"'!C"&amp;$O$1134&amp;":C"&amp;$O$1136),0)+$O$1134-1),"")</f>
        <v>D459</v>
      </c>
      <c r="D1143" s="897" t="s">
        <v>1367</v>
      </c>
      <c r="E1143" s="897" t="s">
        <v>1535</v>
      </c>
      <c r="F1143" s="1409" t="s">
        <v>1514</v>
      </c>
      <c r="G1143" s="1409" t="str">
        <f>IF(T1143&lt;&gt;"","AN","")</f>
        <v/>
      </c>
      <c r="H1143" s="1409" t="s">
        <v>1926</v>
      </c>
      <c r="I1143" s="857" t="str">
        <f t="shared" si="218"/>
        <v/>
      </c>
      <c r="J1143" s="1409" t="str">
        <f t="shared" si="225"/>
        <v/>
      </c>
      <c r="K1143" s="1409" t="str">
        <f t="shared" si="219"/>
        <v/>
      </c>
      <c r="L1143" s="897" t="s">
        <v>1514</v>
      </c>
      <c r="M1143" s="1410">
        <v>1126</v>
      </c>
      <c r="N1143" s="1409"/>
      <c r="O1143" s="18"/>
      <c r="P1143" s="1409" t="str" cm="1">
        <f t="array" aca="1" ref="P1143" ca="1">_xlfn.CONCAT("F",RIGHT(B1143, LEN(B1143) - MAX(IF(ISNUMBER(MID(B1143, ROW(INDIRECT("1:"&amp;LEN(B1143))), 1) *1)=FALSE, ROW(INDIRECT("1:"&amp;LEN(B1143))), 0))))</f>
        <v>F459</v>
      </c>
      <c r="Q1143" s="1409" t="str" cm="1">
        <f t="array" aca="1" ref="Q1143" ca="1">_xlfn.CONCAT("E",RIGHT(C1143, LEN(C1143) - MAX(IF(ISNUMBER(MID(C1143, ROW(INDIRECT("1:"&amp;LEN(C1143))), 1) *1)=FALSE, ROW(INDIRECT("1:"&amp;LEN(C1143))), 0))))</f>
        <v>E459</v>
      </c>
      <c r="R1143" s="1409" t="s">
        <v>1105</v>
      </c>
      <c r="S1143" s="1408"/>
      <c r="T1143" s="1409" t="str">
        <f>IF(Q$1134="Yes",32,"")</f>
        <v/>
      </c>
      <c r="U1143" s="1408"/>
      <c r="V1143" s="1408"/>
      <c r="W1143" s="1408"/>
      <c r="X1143" s="1408"/>
      <c r="Y1143" s="1408"/>
      <c r="Z1143" s="1408"/>
      <c r="AA1143" s="1408"/>
    </row>
    <row r="1144" spans="1:27" x14ac:dyDescent="0.25">
      <c r="A1144" s="929" t="s">
        <v>1511</v>
      </c>
      <c r="B1144" s="897" t="str">
        <f ca="1">_xlfn.CONCAT(IFERROR(SUBSTITUTE(ADDRESS(1,MATCH(A1144,INDIRECT("'"&amp;E1144&amp;"'"&amp;"!A" &amp; $O$1134 + 8 &amp; ":Z" &amp; $O$1134 + 8),0),4),1,""),""),$O$1134+ 8)</f>
        <v>H457</v>
      </c>
      <c r="C1144" s="897" t="str">
        <f ca="1">_xlfn.CONCAT(IFERROR(SUBSTITUTE(ADDRESS(1,MATCH(A1144,INDIRECT("'"&amp;E1144&amp;"'"&amp;"!A" &amp; $O$1134 + 8 &amp; ":Z" &amp; $O$1134 + 8),0),4),1,""),""),$O$1134+ 9)</f>
        <v>H458</v>
      </c>
      <c r="D1144" s="897" t="s">
        <v>1367</v>
      </c>
      <c r="E1144" s="897" t="s">
        <v>1535</v>
      </c>
      <c r="F1144" s="1409" t="s">
        <v>1511</v>
      </c>
      <c r="G1144" s="1409" t="str">
        <f>IF(T1144&lt;&gt;"","AL","")</f>
        <v/>
      </c>
      <c r="H1144" s="1409" t="s">
        <v>1926</v>
      </c>
      <c r="I1144" s="857" t="str">
        <f t="shared" si="218"/>
        <v/>
      </c>
      <c r="J1144" s="1409" t="str">
        <f t="shared" si="225"/>
        <v/>
      </c>
      <c r="K1144" s="1409" t="str">
        <f t="shared" si="219"/>
        <v/>
      </c>
      <c r="L1144" s="897" t="s">
        <v>1511</v>
      </c>
      <c r="M1144" s="1410">
        <v>1127</v>
      </c>
      <c r="N1144" s="1409"/>
      <c r="O1144" s="1408"/>
      <c r="P1144" s="1408"/>
      <c r="Q1144" s="1408"/>
      <c r="R1144" s="1409" t="s">
        <v>1105</v>
      </c>
      <c r="S1144" s="1427"/>
      <c r="T1144" s="1409" t="str">
        <f>IF(Q$1134="Yes",32,"")</f>
        <v/>
      </c>
      <c r="U1144" s="1408"/>
      <c r="V1144" s="1408"/>
      <c r="W1144" s="1408"/>
      <c r="X1144" s="1408"/>
      <c r="Y1144" s="1408"/>
      <c r="Z1144" s="1408"/>
      <c r="AA1144" s="1408"/>
    </row>
    <row r="1145" spans="1:27" x14ac:dyDescent="0.25">
      <c r="A1145" s="929" t="s">
        <v>1406</v>
      </c>
      <c r="B1145" s="897" t="str">
        <f ca="1">_xlfn.CONCAT(IFERROR(SUBSTITUTE(ADDRESS(1,MATCH(A1145,INDIRECT("'"&amp;E1145&amp;"'"&amp;"!A" &amp; $O$1134 + 11 &amp; ":Z" &amp; $O$1134 + 11),0),4),1,""),""),$O$1134+ 11)</f>
        <v>H460</v>
      </c>
      <c r="C1145" s="897" t="str">
        <f ca="1">_xlfn.CONCAT(IFERROR(SUBSTITUTE(ADDRESS(1,MATCH(A1145,INDIRECT("'"&amp;E1145&amp;"'"&amp;"!A" &amp; $O$1134 + 11 &amp; ":Z" &amp; $O$1134 + 11),0),4),1,""),""),$O$1134+ 12)</f>
        <v>H461</v>
      </c>
      <c r="D1145" s="897" t="s">
        <v>1367</v>
      </c>
      <c r="E1145" s="897" t="s">
        <v>1535</v>
      </c>
      <c r="F1145" s="1409" t="s">
        <v>1896</v>
      </c>
      <c r="G1145" s="1409" t="str">
        <f>IF(T1145&lt;&gt;"","O","")</f>
        <v/>
      </c>
      <c r="H1145" s="1409" t="s">
        <v>1926</v>
      </c>
      <c r="I1145" s="857" t="str">
        <f t="shared" si="218"/>
        <v/>
      </c>
      <c r="J1145" s="1409"/>
      <c r="K1145" s="1409" t="str">
        <f t="shared" si="219"/>
        <v/>
      </c>
      <c r="L1145" s="897" t="s">
        <v>1406</v>
      </c>
      <c r="M1145" s="1410">
        <v>1128</v>
      </c>
      <c r="N1145" s="1409"/>
      <c r="O1145" s="1408"/>
      <c r="P1145" s="1408"/>
      <c r="Q1145" s="1408"/>
      <c r="R1145" s="1409" t="s">
        <v>1105</v>
      </c>
      <c r="S1145" s="1427"/>
      <c r="T1145" s="1409" t="str">
        <f t="shared" ref="T1145" si="228">IF(Q$1134="Yes",32,"")</f>
        <v/>
      </c>
      <c r="U1145" s="1408"/>
      <c r="V1145" s="1408"/>
      <c r="W1145" s="1408"/>
      <c r="X1145" s="1408"/>
      <c r="Y1145" s="1408"/>
      <c r="Z1145" s="1408"/>
      <c r="AA1145" s="1408"/>
    </row>
    <row r="1146" spans="1:27" x14ac:dyDescent="0.25">
      <c r="A1146" s="929" t="s">
        <v>1413</v>
      </c>
      <c r="B1146" s="897" t="str">
        <f ca="1">_xlfn.CONCAT(IFERROR(SUBSTITUTE(ADDRESS(1,MATCH(A1146,INDIRECT("'"&amp;E1146&amp;"'"&amp;"!A" &amp; $O$1134 + 5 &amp; ":Z" &amp; $O$1134 + 5),0),4),1,""),""),$O$1134+ 5)</f>
        <v>H454</v>
      </c>
      <c r="C1146" s="897" t="str">
        <f ca="1">_xlfn.CONCAT(IFERROR(SUBSTITUTE(ADDRESS(1,MATCH(A1146,INDIRECT("'"&amp;E1146&amp;"'"&amp;"!A" &amp; $O$1134 + 5 &amp; ":Z" &amp; $O$1134 + 5),0),4),1,""),""),$O$1134+ 6)</f>
        <v>H455</v>
      </c>
      <c r="D1146" s="897" t="s">
        <v>1367</v>
      </c>
      <c r="E1146" s="897" t="s">
        <v>1535</v>
      </c>
      <c r="F1146" s="1409" t="s">
        <v>1413</v>
      </c>
      <c r="G1146" s="1409" t="str">
        <f>IF(T1146&lt;&gt;"","S","")</f>
        <v/>
      </c>
      <c r="H1146" s="1409" t="s">
        <v>1926</v>
      </c>
      <c r="I1146" s="857" t="str">
        <f t="shared" si="218"/>
        <v/>
      </c>
      <c r="J1146" s="1409" t="str">
        <f t="shared" si="225"/>
        <v/>
      </c>
      <c r="K1146" s="1409" t="str">
        <f t="shared" si="219"/>
        <v/>
      </c>
      <c r="L1146" s="897" t="s">
        <v>1413</v>
      </c>
      <c r="M1146" s="1410">
        <v>1129</v>
      </c>
      <c r="N1146" s="1409"/>
      <c r="O1146" s="1408"/>
      <c r="P1146" s="1408"/>
      <c r="Q1146" s="1408"/>
      <c r="R1146" s="1409" t="s">
        <v>1105</v>
      </c>
      <c r="S1146" s="1427"/>
      <c r="T1146" s="1409" t="str">
        <f>IF(Q$1134="Yes",32,"")</f>
        <v/>
      </c>
      <c r="U1146" s="1408"/>
      <c r="V1146" s="1408"/>
      <c r="W1146" s="1408"/>
      <c r="X1146" s="1408"/>
      <c r="Y1146" s="1408"/>
      <c r="Z1146" s="1408"/>
      <c r="AA1146" s="1408"/>
    </row>
    <row r="1147" spans="1:27" x14ac:dyDescent="0.25">
      <c r="A1147" s="929" t="s">
        <v>1500</v>
      </c>
      <c r="B1147" s="897" t="str">
        <f ca="1">_xlfn.CONCAT(IFERROR(SUBSTITUTE(ADDRESS(1,MATCH(A1147,INDIRECT("'"&amp;E1147&amp;"'"&amp;"!A" &amp; $O$1134 + 5 &amp; ":Z" &amp; $O$1134 + 5),0),4),1,""),""),$O$1134+ 6)</f>
        <v>J455</v>
      </c>
      <c r="C1147" s="897" t="str">
        <f t="shared" ref="C1147:C1161" ca="1" si="229">IFERROR(SUBSTITUTE(ADDRESS(1,MATCH(A1147,INDIRECT("'"&amp;E1147&amp;"'"&amp;"!A" &amp; $O$1134 + 5 &amp; ":Z" &amp; $O$1134 + 5),0),4),1,""),"")</f>
        <v>J</v>
      </c>
      <c r="D1147" s="897" t="s">
        <v>1374</v>
      </c>
      <c r="E1147" s="897" t="s">
        <v>1535</v>
      </c>
      <c r="F1147" s="1424"/>
      <c r="G1147" s="897"/>
      <c r="H1147" s="897"/>
      <c r="I1147" s="857" t="str">
        <f t="shared" si="218"/>
        <v/>
      </c>
      <c r="J1147" s="1409" t="str">
        <f t="shared" si="225"/>
        <v/>
      </c>
      <c r="K1147" s="1409" t="str">
        <f t="shared" si="219"/>
        <v/>
      </c>
      <c r="L1147" s="897" t="s">
        <v>1500</v>
      </c>
      <c r="M1147" s="1410">
        <v>1130</v>
      </c>
      <c r="N1147" s="1409"/>
      <c r="O1147" s="1408"/>
      <c r="P1147" s="1408"/>
      <c r="Q1147" s="1408"/>
      <c r="R1147" s="1409" t="s">
        <v>1105</v>
      </c>
      <c r="S1147" s="1408"/>
      <c r="T1147" s="1408"/>
      <c r="U1147" s="1408"/>
      <c r="V1147" s="1408"/>
      <c r="W1147" s="1408"/>
      <c r="X1147" s="1408"/>
      <c r="Y1147" s="1408"/>
      <c r="Z1147" s="1408"/>
      <c r="AA1147" s="1408"/>
    </row>
    <row r="1148" spans="1:27" x14ac:dyDescent="0.25">
      <c r="A1148" s="929" t="s">
        <v>728</v>
      </c>
      <c r="B1148" s="897" t="str">
        <f ca="1">_xlfn.CONCAT(IFERROR(SUBSTITUTE(ADDRESS(1,MATCH(A1148,INDIRECT("'"&amp;E1148&amp;"'"&amp;"!A" &amp; $O$1134 + 5 &amp; ":Z" &amp; $O$1134 + 5),0),4),1,""),""),$O$1134+ 6)</f>
        <v>L455</v>
      </c>
      <c r="C1148" s="897" t="str">
        <f t="shared" ca="1" si="229"/>
        <v>L</v>
      </c>
      <c r="D1148" s="897" t="s">
        <v>1374</v>
      </c>
      <c r="E1148" s="897" t="s">
        <v>1535</v>
      </c>
      <c r="F1148" s="1424"/>
      <c r="G1148" s="897"/>
      <c r="H1148" s="897"/>
      <c r="I1148" s="857" t="str">
        <f t="shared" si="218"/>
        <v/>
      </c>
      <c r="J1148" s="1409" t="str">
        <f t="shared" si="225"/>
        <v/>
      </c>
      <c r="K1148" s="1409" t="str">
        <f t="shared" si="219"/>
        <v/>
      </c>
      <c r="L1148" s="897" t="s">
        <v>728</v>
      </c>
      <c r="M1148" s="1410">
        <v>1131</v>
      </c>
      <c r="N1148" s="1409"/>
      <c r="O1148" s="1408"/>
      <c r="P1148" s="1408"/>
      <c r="Q1148" s="1408"/>
      <c r="R1148" s="1409" t="s">
        <v>1105</v>
      </c>
      <c r="S1148" s="1408"/>
      <c r="T1148" s="1408"/>
      <c r="U1148" s="1408"/>
      <c r="V1148" s="1408"/>
      <c r="W1148" s="1408"/>
      <c r="X1148" s="1408"/>
      <c r="Y1148" s="1408"/>
      <c r="Z1148" s="1408"/>
      <c r="AA1148" s="1408"/>
    </row>
    <row r="1149" spans="1:27" x14ac:dyDescent="0.25">
      <c r="A1149" s="929" t="s">
        <v>1501</v>
      </c>
      <c r="B1149" s="897" t="str">
        <f ca="1">_xlfn.CONCAT(IFERROR(SUBSTITUTE(ADDRESS(1,MATCH(A1149,INDIRECT("'"&amp;E1149&amp;"'"&amp;"!A" &amp; $O$1134 + 5 &amp; ":Z" &amp; $O$1134 + 5),0),4),1,""),""),$O$1134+ 6)</f>
        <v>N455</v>
      </c>
      <c r="C1149" s="897" t="str">
        <f t="shared" ca="1" si="229"/>
        <v>N</v>
      </c>
      <c r="D1149" s="897" t="s">
        <v>1374</v>
      </c>
      <c r="E1149" s="897" t="s">
        <v>1535</v>
      </c>
      <c r="F1149" s="1424"/>
      <c r="G1149" s="897"/>
      <c r="H1149" s="897"/>
      <c r="I1149" s="857" t="str">
        <f t="shared" si="218"/>
        <v/>
      </c>
      <c r="J1149" s="1409" t="str">
        <f t="shared" si="225"/>
        <v/>
      </c>
      <c r="K1149" s="1409" t="str">
        <f t="shared" si="219"/>
        <v/>
      </c>
      <c r="L1149" s="897" t="s">
        <v>1501</v>
      </c>
      <c r="M1149" s="1410">
        <v>1132</v>
      </c>
      <c r="N1149" s="1409"/>
      <c r="O1149" s="1408"/>
      <c r="P1149" s="1408"/>
      <c r="Q1149" s="1408"/>
      <c r="R1149" s="1409" t="s">
        <v>1105</v>
      </c>
      <c r="S1149" s="1408"/>
      <c r="T1149" s="1408"/>
      <c r="U1149" s="1408"/>
      <c r="V1149" s="1408"/>
      <c r="W1149" s="1408"/>
      <c r="X1149" s="1408"/>
      <c r="Y1149" s="1408"/>
      <c r="Z1149" s="1408"/>
      <c r="AA1149" s="1408"/>
    </row>
    <row r="1150" spans="1:27" x14ac:dyDescent="0.25">
      <c r="A1150" s="929" t="s">
        <v>1500</v>
      </c>
      <c r="B1150" s="897" t="str">
        <f ca="1">_xlfn.CONCAT(IFERROR(SUBSTITUTE(ADDRESS(1,MATCH(A1150,INDIRECT("'"&amp;E1150&amp;"'"&amp;"!A" &amp; $O$1134 + 5 &amp; ":Z" &amp; $O$1134 + 5),0),4),1,""),""),$O$1134+ 7)</f>
        <v>J456</v>
      </c>
      <c r="C1150" s="897" t="str">
        <f t="shared" ca="1" si="229"/>
        <v>J</v>
      </c>
      <c r="D1150" s="897" t="s">
        <v>1374</v>
      </c>
      <c r="E1150" s="897" t="s">
        <v>1535</v>
      </c>
      <c r="F1150" s="897"/>
      <c r="G1150" s="897"/>
      <c r="H1150" s="897"/>
      <c r="I1150" s="857" t="str">
        <f t="shared" si="218"/>
        <v/>
      </c>
      <c r="J1150" s="1409" t="str">
        <f t="shared" si="225"/>
        <v/>
      </c>
      <c r="K1150" s="1409" t="str">
        <f t="shared" si="219"/>
        <v/>
      </c>
      <c r="L1150" s="897" t="s">
        <v>1500</v>
      </c>
      <c r="M1150" s="1410">
        <v>1133</v>
      </c>
      <c r="N1150" s="1409"/>
      <c r="O1150" s="1408"/>
      <c r="P1150" s="1408"/>
      <c r="Q1150" s="1408"/>
      <c r="R1150" s="1409" t="s">
        <v>1105</v>
      </c>
      <c r="S1150" s="1408"/>
      <c r="T1150" s="1408"/>
      <c r="U1150" s="1408"/>
      <c r="V1150" s="1408"/>
      <c r="W1150" s="1408"/>
      <c r="X1150" s="1408"/>
      <c r="Y1150" s="1408"/>
      <c r="Z1150" s="1408"/>
      <c r="AA1150" s="1408"/>
    </row>
    <row r="1151" spans="1:27" x14ac:dyDescent="0.25">
      <c r="A1151" s="929" t="s">
        <v>728</v>
      </c>
      <c r="B1151" s="897" t="str">
        <f ca="1">_xlfn.CONCAT(IFERROR(SUBSTITUTE(ADDRESS(1,MATCH(A1151,INDIRECT("'"&amp;E1151&amp;"'"&amp;"!A" &amp; $O$1134 + 5 &amp; ":Z" &amp; $O$1134 + 5),0),4),1,""),""),$O$1134+ 7)</f>
        <v>L456</v>
      </c>
      <c r="C1151" s="897" t="str">
        <f t="shared" ca="1" si="229"/>
        <v>L</v>
      </c>
      <c r="D1151" s="897" t="s">
        <v>1374</v>
      </c>
      <c r="E1151" s="897" t="s">
        <v>1535</v>
      </c>
      <c r="F1151" s="897"/>
      <c r="G1151" s="897"/>
      <c r="H1151" s="897"/>
      <c r="I1151" s="857" t="str">
        <f t="shared" si="218"/>
        <v/>
      </c>
      <c r="J1151" s="1409" t="str">
        <f t="shared" si="225"/>
        <v/>
      </c>
      <c r="K1151" s="1409" t="str">
        <f t="shared" si="219"/>
        <v/>
      </c>
      <c r="L1151" s="897" t="s">
        <v>728</v>
      </c>
      <c r="M1151" s="1410">
        <v>1134</v>
      </c>
      <c r="N1151" s="1409"/>
      <c r="O1151" s="1408"/>
      <c r="P1151" s="1408"/>
      <c r="Q1151" s="1408"/>
      <c r="R1151" s="1409" t="s">
        <v>1105</v>
      </c>
      <c r="S1151" s="1408"/>
      <c r="T1151" s="1408"/>
      <c r="U1151" s="1408"/>
      <c r="V1151" s="1408"/>
      <c r="W1151" s="1408"/>
      <c r="X1151" s="1408"/>
      <c r="Y1151" s="1408"/>
      <c r="Z1151" s="1408"/>
      <c r="AA1151" s="1408"/>
    </row>
    <row r="1152" spans="1:27" x14ac:dyDescent="0.25">
      <c r="A1152" s="929" t="s">
        <v>1501</v>
      </c>
      <c r="B1152" s="897" t="str">
        <f ca="1">_xlfn.CONCAT(IFERROR(SUBSTITUTE(ADDRESS(1,MATCH(A1152,INDIRECT("'"&amp;E1152&amp;"'"&amp;"!A" &amp; $O$1134 + 5 &amp; ":Z" &amp; $O$1134 + 5),0),4),1,""),""),$O$1134+ 7)</f>
        <v>N456</v>
      </c>
      <c r="C1152" s="897" t="str">
        <f t="shared" ca="1" si="229"/>
        <v>N</v>
      </c>
      <c r="D1152" s="897" t="s">
        <v>1374</v>
      </c>
      <c r="E1152" s="897" t="s">
        <v>1535</v>
      </c>
      <c r="F1152" s="897"/>
      <c r="G1152" s="897"/>
      <c r="H1152" s="897"/>
      <c r="I1152" s="857" t="str">
        <f t="shared" si="218"/>
        <v/>
      </c>
      <c r="J1152" s="1409" t="str">
        <f t="shared" si="225"/>
        <v/>
      </c>
      <c r="K1152" s="1409" t="str">
        <f t="shared" si="219"/>
        <v/>
      </c>
      <c r="L1152" s="897" t="s">
        <v>1501</v>
      </c>
      <c r="M1152" s="1410">
        <v>1135</v>
      </c>
      <c r="N1152" s="1409"/>
      <c r="O1152" s="1408"/>
      <c r="P1152" s="1408"/>
      <c r="Q1152" s="1408"/>
      <c r="R1152" s="1409" t="s">
        <v>1105</v>
      </c>
      <c r="S1152" s="1408"/>
      <c r="T1152" s="1408"/>
      <c r="U1152" s="1408"/>
      <c r="V1152" s="1408"/>
      <c r="W1152" s="1408"/>
      <c r="X1152" s="1408"/>
      <c r="Y1152" s="1408"/>
      <c r="Z1152" s="1408"/>
      <c r="AA1152" s="1408"/>
    </row>
    <row r="1153" spans="1:27" x14ac:dyDescent="0.25">
      <c r="A1153" s="929" t="s">
        <v>1500</v>
      </c>
      <c r="B1153" s="897" t="str">
        <f ca="1">_xlfn.CONCAT(IFERROR(SUBSTITUTE(ADDRESS(1,MATCH(A1153,INDIRECT("'"&amp;E1153&amp;"'"&amp;"!A" &amp; $O$1134 + 5 &amp; ":Z" &amp; $O$1134 + 5),0),4),1,""),""),$O$1134+ 8)</f>
        <v>J457</v>
      </c>
      <c r="C1153" s="897" t="str">
        <f t="shared" ca="1" si="229"/>
        <v>J</v>
      </c>
      <c r="D1153" s="897" t="s">
        <v>1374</v>
      </c>
      <c r="E1153" s="897" t="s">
        <v>1535</v>
      </c>
      <c r="F1153" s="897"/>
      <c r="G1153" s="897"/>
      <c r="H1153" s="897"/>
      <c r="I1153" s="857" t="str">
        <f t="shared" si="218"/>
        <v/>
      </c>
      <c r="J1153" s="1409" t="str">
        <f t="shared" si="225"/>
        <v/>
      </c>
      <c r="K1153" s="1409" t="str">
        <f t="shared" si="219"/>
        <v/>
      </c>
      <c r="L1153" s="897" t="s">
        <v>1500</v>
      </c>
      <c r="M1153" s="1410">
        <v>1136</v>
      </c>
      <c r="N1153" s="1409"/>
      <c r="O1153" s="1408"/>
      <c r="P1153" s="1408"/>
      <c r="Q1153" s="1408"/>
      <c r="R1153" s="1409" t="s">
        <v>1105</v>
      </c>
      <c r="S1153" s="1408"/>
      <c r="T1153" s="1408"/>
      <c r="U1153" s="1408"/>
      <c r="V1153" s="1408"/>
      <c r="W1153" s="1408"/>
      <c r="X1153" s="1408"/>
      <c r="Y1153" s="1408"/>
      <c r="Z1153" s="1408"/>
      <c r="AA1153" s="1408"/>
    </row>
    <row r="1154" spans="1:27" x14ac:dyDescent="0.25">
      <c r="A1154" s="929" t="s">
        <v>728</v>
      </c>
      <c r="B1154" s="897" t="str">
        <f ca="1">_xlfn.CONCAT(IFERROR(SUBSTITUTE(ADDRESS(1,MATCH(A1154,INDIRECT("'"&amp;E1154&amp;"'"&amp;"!A" &amp; $O$1134 + 5 &amp; ":Z" &amp; $O$1134 + 5),0),4),1,""),""),$O$1134+ 8)</f>
        <v>L457</v>
      </c>
      <c r="C1154" s="897" t="str">
        <f t="shared" ca="1" si="229"/>
        <v>L</v>
      </c>
      <c r="D1154" s="897" t="s">
        <v>1374</v>
      </c>
      <c r="E1154" s="897" t="s">
        <v>1535</v>
      </c>
      <c r="F1154" s="897"/>
      <c r="G1154" s="897"/>
      <c r="H1154" s="897"/>
      <c r="I1154" s="857" t="str">
        <f t="shared" si="218"/>
        <v/>
      </c>
      <c r="J1154" s="1409" t="str">
        <f t="shared" si="225"/>
        <v/>
      </c>
      <c r="K1154" s="1409" t="str">
        <f t="shared" si="219"/>
        <v/>
      </c>
      <c r="L1154" s="897" t="s">
        <v>728</v>
      </c>
      <c r="M1154" s="1410">
        <v>1137</v>
      </c>
      <c r="N1154" s="1409"/>
      <c r="O1154" s="1408"/>
      <c r="P1154" s="1408"/>
      <c r="Q1154" s="1408"/>
      <c r="R1154" s="1409" t="s">
        <v>1105</v>
      </c>
      <c r="S1154" s="1408"/>
      <c r="T1154" s="1408"/>
      <c r="U1154" s="1408"/>
      <c r="V1154" s="1408"/>
      <c r="W1154" s="1408"/>
      <c r="X1154" s="1408"/>
      <c r="Y1154" s="1408"/>
      <c r="Z1154" s="1408"/>
      <c r="AA1154" s="1408"/>
    </row>
    <row r="1155" spans="1:27" x14ac:dyDescent="0.25">
      <c r="A1155" s="929" t="s">
        <v>1501</v>
      </c>
      <c r="B1155" s="897" t="str">
        <f ca="1">_xlfn.CONCAT(IFERROR(SUBSTITUTE(ADDRESS(1,MATCH(A1155,INDIRECT("'"&amp;E1155&amp;"'"&amp;"!A" &amp; $O$1134 + 5 &amp; ":Z" &amp; $O$1134 + 5),0),4),1,""),""),$O$1134+ 8)</f>
        <v>N457</v>
      </c>
      <c r="C1155" s="897" t="str">
        <f t="shared" ca="1" si="229"/>
        <v>N</v>
      </c>
      <c r="D1155" s="897" t="s">
        <v>1374</v>
      </c>
      <c r="E1155" s="897" t="s">
        <v>1535</v>
      </c>
      <c r="F1155" s="897"/>
      <c r="G1155" s="897"/>
      <c r="H1155" s="897"/>
      <c r="I1155" s="857" t="str">
        <f t="shared" si="218"/>
        <v/>
      </c>
      <c r="J1155" s="1409" t="str">
        <f t="shared" si="225"/>
        <v/>
      </c>
      <c r="K1155" s="1409" t="str">
        <f t="shared" si="219"/>
        <v/>
      </c>
      <c r="L1155" s="897" t="s">
        <v>1501</v>
      </c>
      <c r="M1155" s="1410">
        <v>1138</v>
      </c>
      <c r="N1155" s="1409"/>
      <c r="O1155" s="1408"/>
      <c r="P1155" s="1408"/>
      <c r="Q1155" s="1408"/>
      <c r="R1155" s="1409" t="s">
        <v>1105</v>
      </c>
      <c r="S1155" s="1408"/>
      <c r="T1155" s="1408"/>
      <c r="U1155" s="1408"/>
      <c r="V1155" s="1408"/>
      <c r="W1155" s="1408"/>
      <c r="X1155" s="1408"/>
      <c r="Y1155" s="1408"/>
      <c r="Z1155" s="1408"/>
      <c r="AA1155" s="1408"/>
    </row>
    <row r="1156" spans="1:27" x14ac:dyDescent="0.25">
      <c r="A1156" s="929" t="s">
        <v>1500</v>
      </c>
      <c r="B1156" s="897" t="str">
        <f ca="1">_xlfn.CONCAT(IFERROR(SUBSTITUTE(ADDRESS(1,MATCH(A1156,INDIRECT("'"&amp;E1156&amp;"'"&amp;"!A" &amp; $O$1134 + 5 &amp; ":Z" &amp; $O$1134 + 5),0),4),1,""),""),$O$1134+ 9)</f>
        <v>J458</v>
      </c>
      <c r="C1156" s="897" t="str">
        <f t="shared" ca="1" si="229"/>
        <v>J</v>
      </c>
      <c r="D1156" s="897" t="s">
        <v>1374</v>
      </c>
      <c r="E1156" s="897" t="s">
        <v>1535</v>
      </c>
      <c r="F1156" s="897"/>
      <c r="G1156" s="897"/>
      <c r="H1156" s="897"/>
      <c r="I1156" s="857" t="str">
        <f t="shared" ref="I1156:I1219" si="230">IF(J1156&lt;&gt;"",A1156,"")</f>
        <v/>
      </c>
      <c r="J1156" s="1409" t="str">
        <f t="shared" si="225"/>
        <v/>
      </c>
      <c r="K1156" s="1409" t="str">
        <f t="shared" ref="K1156:K1219" si="231">IF(J1156&lt;&gt;"",E1156,"")</f>
        <v/>
      </c>
      <c r="L1156" s="897" t="s">
        <v>1500</v>
      </c>
      <c r="M1156" s="1410">
        <v>1139</v>
      </c>
      <c r="N1156" s="1409"/>
      <c r="O1156" s="1408"/>
      <c r="P1156" s="1408"/>
      <c r="Q1156" s="1408"/>
      <c r="R1156" s="1409" t="s">
        <v>1105</v>
      </c>
      <c r="S1156" s="1408"/>
      <c r="T1156" s="1408"/>
      <c r="U1156" s="1408"/>
      <c r="V1156" s="1408"/>
      <c r="W1156" s="1408"/>
      <c r="X1156" s="1408"/>
      <c r="Y1156" s="1408"/>
      <c r="Z1156" s="1408"/>
      <c r="AA1156" s="1408"/>
    </row>
    <row r="1157" spans="1:27" x14ac:dyDescent="0.25">
      <c r="A1157" s="929" t="s">
        <v>728</v>
      </c>
      <c r="B1157" s="897" t="str">
        <f ca="1">_xlfn.CONCAT(IFERROR(SUBSTITUTE(ADDRESS(1,MATCH(A1157,INDIRECT("'"&amp;E1157&amp;"'"&amp;"!A" &amp; $O$1134 + 5 &amp; ":Z" &amp; $O$1134 + 5),0),4),1,""),""),$O$1134+ 9)</f>
        <v>L458</v>
      </c>
      <c r="C1157" s="897" t="str">
        <f t="shared" ca="1" si="229"/>
        <v>L</v>
      </c>
      <c r="D1157" s="897" t="s">
        <v>1374</v>
      </c>
      <c r="E1157" s="897" t="s">
        <v>1535</v>
      </c>
      <c r="F1157" s="897"/>
      <c r="G1157" s="897"/>
      <c r="H1157" s="897"/>
      <c r="I1157" s="857" t="str">
        <f t="shared" si="230"/>
        <v/>
      </c>
      <c r="J1157" s="1409" t="str">
        <f t="shared" si="225"/>
        <v/>
      </c>
      <c r="K1157" s="1409" t="str">
        <f t="shared" si="231"/>
        <v/>
      </c>
      <c r="L1157" s="897" t="s">
        <v>728</v>
      </c>
      <c r="M1157" s="1410">
        <v>1140</v>
      </c>
      <c r="N1157" s="1409"/>
      <c r="O1157" s="1408"/>
      <c r="P1157" s="1408"/>
      <c r="Q1157" s="1408"/>
      <c r="R1157" s="1409" t="s">
        <v>1105</v>
      </c>
      <c r="S1157" s="1408"/>
      <c r="T1157" s="1408"/>
      <c r="U1157" s="1408"/>
      <c r="V1157" s="1408"/>
      <c r="W1157" s="1408"/>
      <c r="X1157" s="1408"/>
      <c r="Y1157" s="1408"/>
      <c r="Z1157" s="1408"/>
      <c r="AA1157" s="1408"/>
    </row>
    <row r="1158" spans="1:27" x14ac:dyDescent="0.25">
      <c r="A1158" s="929" t="s">
        <v>1501</v>
      </c>
      <c r="B1158" s="897" t="str">
        <f ca="1">_xlfn.CONCAT(IFERROR(SUBSTITUTE(ADDRESS(1,MATCH(A1158,INDIRECT("'"&amp;E1158&amp;"'"&amp;"!A" &amp; $O$1134 + 5 &amp; ":Z" &amp; $O$1134 + 5),0),4),1,""),""),$O$1134+ 9)</f>
        <v>N458</v>
      </c>
      <c r="C1158" s="897" t="str">
        <f t="shared" ca="1" si="229"/>
        <v>N</v>
      </c>
      <c r="D1158" s="897" t="s">
        <v>1374</v>
      </c>
      <c r="E1158" s="897" t="s">
        <v>1535</v>
      </c>
      <c r="F1158" s="897"/>
      <c r="G1158" s="897"/>
      <c r="H1158" s="897"/>
      <c r="I1158" s="857" t="str">
        <f t="shared" si="230"/>
        <v/>
      </c>
      <c r="J1158" s="1409" t="str">
        <f t="shared" si="225"/>
        <v/>
      </c>
      <c r="K1158" s="1409" t="str">
        <f t="shared" si="231"/>
        <v/>
      </c>
      <c r="L1158" s="897" t="s">
        <v>1501</v>
      </c>
      <c r="M1158" s="1410">
        <v>1141</v>
      </c>
      <c r="N1158" s="1409"/>
      <c r="O1158" s="1408"/>
      <c r="P1158" s="1408"/>
      <c r="Q1158" s="1408"/>
      <c r="R1158" s="1409" t="s">
        <v>1105</v>
      </c>
      <c r="S1158" s="1408"/>
      <c r="T1158" s="1408"/>
      <c r="U1158" s="1408"/>
      <c r="V1158" s="1408"/>
      <c r="W1158" s="1408"/>
      <c r="X1158" s="1408"/>
      <c r="Y1158" s="1408"/>
      <c r="Z1158" s="1408"/>
      <c r="AA1158" s="1408"/>
    </row>
    <row r="1159" spans="1:27" x14ac:dyDescent="0.25">
      <c r="A1159" s="929" t="s">
        <v>1500</v>
      </c>
      <c r="B1159" s="897" t="str">
        <f ca="1">_xlfn.CONCAT(IFERROR(SUBSTITUTE(ADDRESS(1,MATCH(A1159,INDIRECT("'"&amp;E1159&amp;"'"&amp;"!A" &amp; $O$1134 + 5 &amp; ":Z" &amp; $O$1134 + 5),0),4),1,""),""),$O$1134+ 10)</f>
        <v>J459</v>
      </c>
      <c r="C1159" s="897" t="str">
        <f t="shared" ca="1" si="229"/>
        <v>J</v>
      </c>
      <c r="D1159" s="897" t="s">
        <v>1374</v>
      </c>
      <c r="E1159" s="897" t="s">
        <v>1535</v>
      </c>
      <c r="F1159" s="897"/>
      <c r="G1159" s="897"/>
      <c r="H1159" s="897"/>
      <c r="I1159" s="857" t="str">
        <f t="shared" si="230"/>
        <v/>
      </c>
      <c r="J1159" s="1409" t="str">
        <f t="shared" si="225"/>
        <v/>
      </c>
      <c r="K1159" s="1409" t="str">
        <f t="shared" si="231"/>
        <v/>
      </c>
      <c r="L1159" s="897" t="s">
        <v>1500</v>
      </c>
      <c r="M1159" s="1410">
        <v>1142</v>
      </c>
      <c r="N1159" s="1409"/>
      <c r="O1159" s="1408"/>
      <c r="P1159" s="1408"/>
      <c r="Q1159" s="1408"/>
      <c r="R1159" s="1409" t="s">
        <v>1105</v>
      </c>
      <c r="S1159" s="1408"/>
      <c r="T1159" s="1408"/>
      <c r="U1159" s="1408"/>
      <c r="V1159" s="1408"/>
      <c r="W1159" s="1408"/>
      <c r="X1159" s="1408"/>
      <c r="Y1159" s="1408"/>
      <c r="Z1159" s="1408"/>
      <c r="AA1159" s="1408"/>
    </row>
    <row r="1160" spans="1:27" x14ac:dyDescent="0.25">
      <c r="A1160" s="929" t="s">
        <v>728</v>
      </c>
      <c r="B1160" s="897" t="str">
        <f ca="1">_xlfn.CONCAT(IFERROR(SUBSTITUTE(ADDRESS(1,MATCH(A1160,INDIRECT("'"&amp;E1160&amp;"'"&amp;"!A" &amp; $O$1134 + 5 &amp; ":Z" &amp; $O$1134 + 5),0),4),1,""),""),$O$1134+ 10)</f>
        <v>L459</v>
      </c>
      <c r="C1160" s="897" t="str">
        <f t="shared" ca="1" si="229"/>
        <v>L</v>
      </c>
      <c r="D1160" s="897" t="s">
        <v>1374</v>
      </c>
      <c r="E1160" s="897" t="s">
        <v>1535</v>
      </c>
      <c r="F1160" s="897"/>
      <c r="G1160" s="897"/>
      <c r="H1160" s="897"/>
      <c r="I1160" s="857" t="str">
        <f t="shared" si="230"/>
        <v/>
      </c>
      <c r="J1160" s="1409" t="str">
        <f t="shared" si="225"/>
        <v/>
      </c>
      <c r="K1160" s="1409" t="str">
        <f t="shared" si="231"/>
        <v/>
      </c>
      <c r="L1160" s="897" t="s">
        <v>728</v>
      </c>
      <c r="M1160" s="1410">
        <v>1143</v>
      </c>
      <c r="N1160" s="1409"/>
      <c r="O1160" s="1408"/>
      <c r="P1160" s="1408"/>
      <c r="Q1160" s="1408"/>
      <c r="R1160" s="1409" t="s">
        <v>1105</v>
      </c>
      <c r="S1160" s="1408"/>
      <c r="T1160" s="1408"/>
      <c r="U1160" s="1408"/>
      <c r="V1160" s="1408"/>
      <c r="W1160" s="1408"/>
      <c r="X1160" s="1408"/>
      <c r="Y1160" s="1408"/>
      <c r="Z1160" s="1408"/>
      <c r="AA1160" s="1408"/>
    </row>
    <row r="1161" spans="1:27" x14ac:dyDescent="0.25">
      <c r="A1161" s="929" t="s">
        <v>1501</v>
      </c>
      <c r="B1161" s="897" t="str">
        <f ca="1">_xlfn.CONCAT(IFERROR(SUBSTITUTE(ADDRESS(1,MATCH(A1161,INDIRECT("'"&amp;E1161&amp;"'"&amp;"!A" &amp; $O$1134 + 5 &amp; ":Z" &amp; $O$1134 + 5),0),4),1,""),""),$O$1134+ 10)</f>
        <v>N459</v>
      </c>
      <c r="C1161" s="897" t="str">
        <f t="shared" ca="1" si="229"/>
        <v>N</v>
      </c>
      <c r="D1161" s="897" t="s">
        <v>1374</v>
      </c>
      <c r="E1161" s="897" t="s">
        <v>1535</v>
      </c>
      <c r="F1161" s="897"/>
      <c r="G1161" s="897"/>
      <c r="H1161" s="897"/>
      <c r="I1161" s="857" t="str">
        <f t="shared" si="230"/>
        <v/>
      </c>
      <c r="J1161" s="1409" t="str">
        <f t="shared" si="225"/>
        <v/>
      </c>
      <c r="K1161" s="1409" t="str">
        <f t="shared" si="231"/>
        <v/>
      </c>
      <c r="L1161" s="897" t="s">
        <v>1501</v>
      </c>
      <c r="M1161" s="1410">
        <v>1144</v>
      </c>
      <c r="N1161" s="1409"/>
      <c r="O1161" s="1408"/>
      <c r="P1161" s="1408"/>
      <c r="Q1161" s="1408"/>
      <c r="R1161" s="1409" t="s">
        <v>1105</v>
      </c>
      <c r="S1161" s="1408"/>
      <c r="T1161" s="1408"/>
      <c r="U1161" s="1408"/>
      <c r="V1161" s="1408"/>
      <c r="W1161" s="1408"/>
      <c r="X1161" s="1408"/>
      <c r="Y1161" s="1408"/>
      <c r="Z1161" s="1408"/>
      <c r="AA1161" s="1408"/>
    </row>
    <row r="1162" spans="1:27" x14ac:dyDescent="0.25">
      <c r="A1162" s="926" t="s">
        <v>1510</v>
      </c>
      <c r="B1162" s="897" t="str">
        <f ca="1">IFERROR(_xlfn.CONCAT("C",MATCH(A1162,INDIRECT("'"&amp;E1162&amp;"'!C"&amp;$O$1163&amp;":C"&amp;$O$1165),0)+$O$1163-1),"")</f>
        <v>C467</v>
      </c>
      <c r="C1162" s="897" t="str">
        <f ca="1">IFERROR(_xlfn.CONCAT("D",MATCH(A1162,INDIRECT("'"&amp;E1162&amp;"'!C"&amp;$O$1163&amp;":C"&amp;$O$1165),0)+$O$1163-1),"")</f>
        <v>D467</v>
      </c>
      <c r="D1162" s="897" t="s">
        <v>1367</v>
      </c>
      <c r="E1162" s="897" t="s">
        <v>1535</v>
      </c>
      <c r="F1162" s="1409" t="s">
        <v>1510</v>
      </c>
      <c r="G1162" s="1409" t="str">
        <f>IF(T1162&lt;&gt;"","A","")</f>
        <v/>
      </c>
      <c r="H1162" s="1409" t="s">
        <v>1926</v>
      </c>
      <c r="I1162" s="857" t="str">
        <f t="shared" si="230"/>
        <v/>
      </c>
      <c r="J1162" s="1409"/>
      <c r="K1162" s="1409" t="str">
        <f t="shared" si="231"/>
        <v/>
      </c>
      <c r="L1162" s="897" t="s">
        <v>1510</v>
      </c>
      <c r="M1162" s="1410">
        <v>1145</v>
      </c>
      <c r="N1162" s="1409"/>
      <c r="O1162" s="1408" t="s">
        <v>726</v>
      </c>
      <c r="P1162" s="18"/>
      <c r="Q1162" s="1408"/>
      <c r="R1162" s="1409" t="s">
        <v>1105</v>
      </c>
      <c r="S1162" s="1408"/>
      <c r="T1162" s="1409" t="str">
        <f>IF(Q$1163="Yes",33,"")</f>
        <v/>
      </c>
      <c r="U1162" s="1408"/>
      <c r="V1162" s="1408"/>
      <c r="W1162" s="1408"/>
      <c r="X1162" s="1408"/>
      <c r="Y1162" s="1408"/>
      <c r="Z1162" s="1408"/>
      <c r="AA1162" s="1408"/>
    </row>
    <row r="1163" spans="1:27" x14ac:dyDescent="0.25">
      <c r="A1163" s="926" t="s">
        <v>1724</v>
      </c>
      <c r="B1163" s="897" t="str">
        <f ca="1">_xlfn.CONCAT(IFERROR(SUBSTITUTE(ADDRESS(1,MATCH(A1163,INDIRECT("'"&amp;E1163&amp;"'"&amp;"!A" &amp; $O$1163 + 11 &amp; ":Z" &amp; $O$1163 + 11),0),4),1,""),""),$O$1163+ 11)</f>
        <v>T474</v>
      </c>
      <c r="C1163" s="897" t="str">
        <f ca="1">_xlfn.CONCAT(IFERROR(SUBSTITUTE(ADDRESS(1,MATCH(A1163,INDIRECT("'"&amp;E1163&amp;"'"&amp;"!A" &amp; $O$1163 + 11 &amp; ":Z" &amp; $O$1163 + 11),0),4),1,""),""),$O$1163+ 12)</f>
        <v>T475</v>
      </c>
      <c r="D1163" s="897" t="s">
        <v>1367</v>
      </c>
      <c r="E1163" s="897" t="s">
        <v>1535</v>
      </c>
      <c r="F1163" s="1409"/>
      <c r="G1163" s="1409"/>
      <c r="H1163" s="1409"/>
      <c r="I1163" s="857" t="str">
        <f t="shared" si="230"/>
        <v/>
      </c>
      <c r="J1163" s="1409" t="str">
        <f t="shared" ref="J1163:J1186" si="232">IF(M1163&lt;&gt;"",IF($Q$1163="Yes",Q$1&amp;M1163,""))</f>
        <v/>
      </c>
      <c r="K1163" s="1409" t="str">
        <f t="shared" si="231"/>
        <v/>
      </c>
      <c r="L1163" s="897" t="s">
        <v>1724</v>
      </c>
      <c r="M1163" s="1410">
        <v>1146</v>
      </c>
      <c r="N1163" s="1409"/>
      <c r="O1163" s="1408">
        <f>'Configurable Tab'!H35</f>
        <v>463</v>
      </c>
      <c r="P1163" s="18">
        <f>'Configurable Tab'!J35</f>
        <v>0</v>
      </c>
      <c r="Q1163" s="1408" t="s">
        <v>649</v>
      </c>
      <c r="R1163" s="1409" t="s">
        <v>1105</v>
      </c>
      <c r="S1163" s="1427"/>
      <c r="T1163" s="1409" t="str">
        <f t="shared" ref="T1163:T1168" si="233">IF(Q$1163="Yes",33,"")</f>
        <v/>
      </c>
      <c r="U1163" s="1408"/>
      <c r="V1163" s="1408"/>
      <c r="W1163" s="1408"/>
      <c r="X1163" s="1408"/>
      <c r="Y1163" s="1408"/>
      <c r="Z1163" s="1408"/>
      <c r="AA1163" s="1408"/>
    </row>
    <row r="1164" spans="1:27" x14ac:dyDescent="0.25">
      <c r="A1164" s="926" t="s">
        <v>1400</v>
      </c>
      <c r="B1164" s="897" t="str">
        <f ca="1">IFERROR(_xlfn.CONCAT("C",MATCH(A1164,INDIRECT("'"&amp;E1164&amp;"'!C"&amp;$O$1163&amp;":C"&amp;$O$1165),0)+$O$1163-1),"")</f>
        <v>C465</v>
      </c>
      <c r="C1164" s="897" t="str">
        <f ca="1">IFERROR(_xlfn.CONCAT("D",MATCH(A1164,INDIRECT("'"&amp;E1164&amp;"'!C"&amp;$O$1163&amp;":C"&amp;$O$1165),0)+$O$1163-1),"")</f>
        <v>D465</v>
      </c>
      <c r="D1164" s="897" t="s">
        <v>1367</v>
      </c>
      <c r="E1164" s="897" t="s">
        <v>1535</v>
      </c>
      <c r="F1164" s="1409" t="s">
        <v>1400</v>
      </c>
      <c r="G1164" s="1409" t="str">
        <f>IF(T1164&lt;&gt;"","B","")</f>
        <v/>
      </c>
      <c r="H1164" s="1409" t="s">
        <v>1926</v>
      </c>
      <c r="I1164" s="857" t="str">
        <f t="shared" si="230"/>
        <v/>
      </c>
      <c r="J1164" s="1409"/>
      <c r="K1164" s="1409" t="str">
        <f t="shared" si="231"/>
        <v/>
      </c>
      <c r="L1164" s="897" t="s">
        <v>1400</v>
      </c>
      <c r="M1164" s="1410">
        <v>1147</v>
      </c>
      <c r="N1164" s="1409"/>
      <c r="O1164" s="1408" t="s">
        <v>727</v>
      </c>
      <c r="P1164" s="1408"/>
      <c r="Q1164" s="1408"/>
      <c r="R1164" s="1409" t="s">
        <v>1105</v>
      </c>
      <c r="S1164" s="1408"/>
      <c r="T1164" s="1409" t="str">
        <f t="shared" si="233"/>
        <v/>
      </c>
      <c r="U1164" s="1408"/>
      <c r="V1164" s="1408"/>
      <c r="W1164" s="1408"/>
      <c r="X1164" s="1408"/>
      <c r="Y1164" s="1408"/>
      <c r="Z1164" s="1408"/>
      <c r="AA1164" s="1408"/>
    </row>
    <row r="1165" spans="1:27" x14ac:dyDescent="0.25">
      <c r="A1165" s="926" t="s">
        <v>1398</v>
      </c>
      <c r="B1165" s="897" t="str">
        <f ca="1">_xlfn.CONCAT(IFERROR(SUBSTITUTE(ADDRESS(1,MATCH(A1165,INDIRECT("'"&amp;E1165&amp;"'"&amp;"!A" &amp; $O$1163 + 2 &amp; ":Z" &amp; $O$1163 + 2),0),4),1,""),""),$O$1163+ 2)</f>
        <v>J465</v>
      </c>
      <c r="C1165" s="897" t="str">
        <f ca="1">_xlfn.CONCAT(IFERROR(SUBSTITUTE(ADDRESS(1,MATCH(A1165,INDIRECT("'"&amp;E1165&amp;"'"&amp;"!A" &amp; $O$1163 + 2 &amp; ":Z" &amp; $O$1163 + 2),0),4),1,""),""),$O$1163+ 3)</f>
        <v>J466</v>
      </c>
      <c r="D1165" s="897" t="s">
        <v>1367</v>
      </c>
      <c r="E1165" s="897" t="s">
        <v>1535</v>
      </c>
      <c r="F1165" s="1409" t="s">
        <v>1928</v>
      </c>
      <c r="G1165" s="1409" t="str">
        <f>IF(T1165&lt;&gt;"","I","")</f>
        <v/>
      </c>
      <c r="H1165" s="1409" t="s">
        <v>1926</v>
      </c>
      <c r="I1165" s="857" t="str">
        <f t="shared" si="230"/>
        <v/>
      </c>
      <c r="J1165" s="1409" t="str">
        <f t="shared" si="232"/>
        <v/>
      </c>
      <c r="K1165" s="1409" t="str">
        <f t="shared" si="231"/>
        <v/>
      </c>
      <c r="L1165" s="897" t="s">
        <v>1398</v>
      </c>
      <c r="M1165" s="1410">
        <v>1148</v>
      </c>
      <c r="N1165" s="1409"/>
      <c r="O1165" s="1408">
        <f>'Configurable Tab'!I35</f>
        <v>476</v>
      </c>
      <c r="P1165" s="1408"/>
      <c r="Q1165" s="1408"/>
      <c r="R1165" s="1409" t="s">
        <v>1105</v>
      </c>
      <c r="S1165" s="1408"/>
      <c r="T1165" s="1409" t="str">
        <f t="shared" si="233"/>
        <v/>
      </c>
      <c r="U1165" s="1408"/>
      <c r="V1165" s="1408"/>
      <c r="W1165" s="1408"/>
      <c r="X1165" s="1408"/>
      <c r="Y1165" s="1408"/>
      <c r="Z1165" s="1408"/>
      <c r="AA1165" s="1408"/>
    </row>
    <row r="1166" spans="1:27" x14ac:dyDescent="0.25">
      <c r="A1166" s="926" t="s">
        <v>1399</v>
      </c>
      <c r="B1166" s="897" t="str">
        <f ca="1">_xlfn.CONCAT(IFERROR(SUBSTITUTE(ADDRESS(1,MATCH(A1166,INDIRECT("'"&amp;E1166&amp;"'"&amp;"!A" &amp; $O$1163 + 2 &amp; ":Z" &amp; $O$1163 + 2),0),4),1,""),""),$O$1163+ 2)</f>
        <v>N465</v>
      </c>
      <c r="C1166" s="897" t="str">
        <f ca="1">_xlfn.CONCAT(IFERROR(SUBSTITUTE(ADDRESS(1,MATCH(A1166,INDIRECT("'"&amp;E1166&amp;"'"&amp;"!A" &amp; $O$1163 + 2 &amp; ":Z" &amp; $O$1163 + 2),0),4),1,""),""),$O$1163+ 3)</f>
        <v>N466</v>
      </c>
      <c r="D1166" s="897" t="s">
        <v>1367</v>
      </c>
      <c r="E1166" s="897" t="s">
        <v>1535</v>
      </c>
      <c r="F1166" s="1409" t="s">
        <v>1399</v>
      </c>
      <c r="G1166" s="1409" t="str">
        <f>IF(T1166&lt;&gt;"",IF(Q1164="Credit Memo","J",IF(Q1164="Check","K","")),"")</f>
        <v/>
      </c>
      <c r="H1166" s="1409" t="s">
        <v>1926</v>
      </c>
      <c r="I1166" s="857" t="str">
        <f t="shared" si="230"/>
        <v/>
      </c>
      <c r="J1166" s="1409" t="str">
        <f t="shared" si="232"/>
        <v/>
      </c>
      <c r="K1166" s="1409" t="str">
        <f t="shared" si="231"/>
        <v/>
      </c>
      <c r="L1166" s="897" t="s">
        <v>1399</v>
      </c>
      <c r="M1166" s="1410">
        <v>1149</v>
      </c>
      <c r="N1166" s="1409"/>
      <c r="O1166" s="1408" t="s">
        <v>1679</v>
      </c>
      <c r="P1166" s="1408"/>
      <c r="Q1166" s="1408"/>
      <c r="R1166" s="1409" t="s">
        <v>1105</v>
      </c>
      <c r="S1166" s="1408"/>
      <c r="T1166" s="1409" t="str">
        <f t="shared" si="233"/>
        <v/>
      </c>
      <c r="U1166" s="1408"/>
      <c r="V1166" s="1408"/>
      <c r="W1166" s="1408"/>
      <c r="X1166" s="1408"/>
      <c r="Y1166" s="1408"/>
      <c r="Z1166" s="1408"/>
      <c r="AA1166" s="1408"/>
    </row>
    <row r="1167" spans="1:27" x14ac:dyDescent="0.25">
      <c r="A1167" s="926" t="s">
        <v>1402</v>
      </c>
      <c r="B1167" s="897" t="str">
        <f ca="1">IFERROR(_xlfn.CONCAT("C",MATCH(A1167,INDIRECT("'"&amp;E1167&amp;"'!C"&amp;$O$1163&amp;":C"&amp;$O$1165),0)+$O$1163-1),"")</f>
        <v>C469</v>
      </c>
      <c r="C1167" s="897" t="str">
        <f ca="1">IFERROR(_xlfn.CONCAT("D",MATCH(A1167,INDIRECT("'"&amp;E1167&amp;"'!C"&amp;$O$1163&amp;":C"&amp;$O$1165),0)+$O$1163-1),"")</f>
        <v>D469</v>
      </c>
      <c r="D1167" s="897" t="s">
        <v>1367</v>
      </c>
      <c r="E1167" s="897" t="s">
        <v>1535</v>
      </c>
      <c r="F1167" s="1409" t="s">
        <v>1402</v>
      </c>
      <c r="G1167" s="1409" t="str">
        <f>IF(T1167&lt;&gt;"","C","")</f>
        <v/>
      </c>
      <c r="H1167" s="1409" t="s">
        <v>1926</v>
      </c>
      <c r="I1167" s="857" t="str">
        <f t="shared" si="230"/>
        <v/>
      </c>
      <c r="J1167" s="1409"/>
      <c r="K1167" s="1409" t="str">
        <f t="shared" si="231"/>
        <v/>
      </c>
      <c r="L1167" s="897" t="s">
        <v>1402</v>
      </c>
      <c r="M1167" s="1410">
        <v>1150</v>
      </c>
      <c r="N1167" s="1409"/>
      <c r="O1167" s="1408"/>
      <c r="P1167" s="1408"/>
      <c r="Q1167" s="1408"/>
      <c r="R1167" s="1409" t="s">
        <v>1105</v>
      </c>
      <c r="S1167" s="1408"/>
      <c r="T1167" s="1409" t="str">
        <f t="shared" si="233"/>
        <v/>
      </c>
      <c r="U1167" s="1408"/>
      <c r="V1167" s="1408"/>
      <c r="W1167" s="1408"/>
      <c r="X1167" s="1408"/>
      <c r="Y1167" s="1408"/>
      <c r="Z1167" s="1408"/>
      <c r="AA1167" s="1408"/>
    </row>
    <row r="1168" spans="1:27" x14ac:dyDescent="0.25">
      <c r="A1168" s="926" t="s">
        <v>1403</v>
      </c>
      <c r="B1168" s="897" t="str">
        <f ca="1">IFERROR(_xlfn.CONCAT("C",MATCH(A1168,INDIRECT("'"&amp;E1168&amp;"'!C"&amp;$O$1163&amp;":C"&amp;$O$1165),0)+$O$1163-1),"")</f>
        <v>C471</v>
      </c>
      <c r="C1168" s="897" t="str">
        <f ca="1">IFERROR(_xlfn.CONCAT("D",MATCH(A1168,INDIRECT("'"&amp;E1168&amp;"'!C"&amp;$O$1163&amp;":C"&amp;$O$1165),0)+$O$1163-1),"")</f>
        <v>D471</v>
      </c>
      <c r="D1168" s="897" t="s">
        <v>1367</v>
      </c>
      <c r="E1168" s="897" t="s">
        <v>1535</v>
      </c>
      <c r="F1168" s="1409" t="s">
        <v>1403</v>
      </c>
      <c r="G1168" s="1409" t="str">
        <f>IF(T1168&lt;&gt;"","D","")</f>
        <v/>
      </c>
      <c r="H1168" s="1409" t="s">
        <v>1926</v>
      </c>
      <c r="I1168" s="857" t="str">
        <f t="shared" si="230"/>
        <v/>
      </c>
      <c r="J1168" s="1409"/>
      <c r="K1168" s="1409" t="str">
        <f t="shared" si="231"/>
        <v/>
      </c>
      <c r="L1168" s="897" t="s">
        <v>1403</v>
      </c>
      <c r="M1168" s="1410">
        <v>1151</v>
      </c>
      <c r="N1168" s="1409"/>
      <c r="O1168" s="1408"/>
      <c r="P1168" s="1408"/>
      <c r="Q1168" s="1408"/>
      <c r="R1168" s="1409" t="s">
        <v>1105</v>
      </c>
      <c r="S1168" s="1408"/>
      <c r="T1168" s="1409" t="str">
        <f t="shared" si="233"/>
        <v/>
      </c>
      <c r="U1168" s="1408"/>
      <c r="V1168" s="1408"/>
      <c r="W1168" s="1408"/>
      <c r="X1168" s="1408"/>
      <c r="Y1168" s="1408"/>
      <c r="Z1168" s="1408"/>
      <c r="AA1168" s="1408"/>
    </row>
    <row r="1169" spans="1:27" x14ac:dyDescent="0.25">
      <c r="A1169" s="926" t="s">
        <v>1514</v>
      </c>
      <c r="B1169" s="897" t="str">
        <f ca="1">IFERROR(_xlfn.CONCAT("C",MATCH(A1169,INDIRECT("'"&amp;E1169&amp;"'!C"&amp;$O$1163&amp;":C"&amp;$O$1165),0)+$O$1163-1),"")</f>
        <v>C473</v>
      </c>
      <c r="C1169" s="897" t="str">
        <f ca="1">IFERROR(_xlfn.CONCAT("D",MATCH(A1169,INDIRECT("'"&amp;E1169&amp;"'!C"&amp;$O$1163&amp;":C"&amp;$O$1165),0)+$O$1163-1),"")</f>
        <v>D473</v>
      </c>
      <c r="D1169" s="897" t="s">
        <v>1367</v>
      </c>
      <c r="E1169" s="897" t="s">
        <v>1535</v>
      </c>
      <c r="F1169" s="1409" t="s">
        <v>1514</v>
      </c>
      <c r="G1169" s="1409" t="str">
        <f>IF(T1169&lt;&gt;"","AN","")</f>
        <v/>
      </c>
      <c r="H1169" s="1409" t="s">
        <v>1926</v>
      </c>
      <c r="I1169" s="857" t="str">
        <f t="shared" si="230"/>
        <v/>
      </c>
      <c r="J1169" s="1409" t="str">
        <f t="shared" si="232"/>
        <v/>
      </c>
      <c r="K1169" s="1409" t="str">
        <f t="shared" si="231"/>
        <v/>
      </c>
      <c r="L1169" s="897" t="s">
        <v>1514</v>
      </c>
      <c r="M1169" s="1410">
        <v>1152</v>
      </c>
      <c r="N1169" s="1409"/>
      <c r="O1169" s="18"/>
      <c r="P1169" s="1409" t="str" cm="1">
        <f t="array" aca="1" ref="P1169" ca="1">_xlfn.CONCAT("F",RIGHT(B1169, LEN(B1169) - MAX(IF(ISNUMBER(MID(B1169, ROW(INDIRECT("1:"&amp;LEN(B1169))), 1) *1)=FALSE, ROW(INDIRECT("1:"&amp;LEN(B1169))), 0))))</f>
        <v>F473</v>
      </c>
      <c r="Q1169" s="1409" t="str" cm="1">
        <f t="array" aca="1" ref="Q1169" ca="1">_xlfn.CONCAT("E",RIGHT(C1169, LEN(C1169) - MAX(IF(ISNUMBER(MID(C1169, ROW(INDIRECT("1:"&amp;LEN(C1169))), 1) *1)=FALSE, ROW(INDIRECT("1:"&amp;LEN(C1169))), 0))))</f>
        <v>E473</v>
      </c>
      <c r="R1169" s="1409" t="s">
        <v>1105</v>
      </c>
      <c r="S1169" s="1408"/>
      <c r="T1169" s="1409" t="str">
        <f>IF(Q$1163="Yes",33,"")</f>
        <v/>
      </c>
      <c r="U1169" s="1408"/>
      <c r="V1169" s="1408"/>
      <c r="W1169" s="1408"/>
      <c r="X1169" s="1408"/>
      <c r="Y1169" s="1408"/>
      <c r="Z1169" s="1408"/>
      <c r="AA1169" s="1408"/>
    </row>
    <row r="1170" spans="1:27" x14ac:dyDescent="0.25">
      <c r="A1170" s="926" t="s">
        <v>1511</v>
      </c>
      <c r="B1170" s="897" t="str">
        <f ca="1">_xlfn.CONCAT(IFERROR(SUBSTITUTE(ADDRESS(1,MATCH(A1170,INDIRECT("'"&amp;E1170&amp;"'"&amp;"!A" &amp; $O$1163 + 8 &amp; ":Z" &amp; $O$1163 + 8),0),4),1,""),""),$O$1163+ 8)</f>
        <v>H471</v>
      </c>
      <c r="C1170" s="897" t="str">
        <f ca="1">_xlfn.CONCAT(IFERROR(SUBSTITUTE(ADDRESS(1,MATCH(A1170,INDIRECT("'"&amp;E1170&amp;"'"&amp;"!A" &amp; $O$1163 + 8 &amp; ":Z" &amp; $O$1163 + 8),0),4),1,""),""),$O$1163+ 9)</f>
        <v>H472</v>
      </c>
      <c r="D1170" s="897" t="s">
        <v>1367</v>
      </c>
      <c r="E1170" s="897" t="s">
        <v>1535</v>
      </c>
      <c r="F1170" s="1409" t="s">
        <v>1511</v>
      </c>
      <c r="G1170" s="1409" t="str">
        <f>IF(T1170&lt;&gt;"","AL","")</f>
        <v/>
      </c>
      <c r="H1170" s="1409" t="s">
        <v>1926</v>
      </c>
      <c r="I1170" s="857" t="str">
        <f t="shared" si="230"/>
        <v/>
      </c>
      <c r="J1170" s="1409" t="str">
        <f t="shared" si="232"/>
        <v/>
      </c>
      <c r="K1170" s="1409" t="str">
        <f t="shared" si="231"/>
        <v/>
      </c>
      <c r="L1170" s="897" t="s">
        <v>1511</v>
      </c>
      <c r="M1170" s="1410">
        <v>1153</v>
      </c>
      <c r="N1170" s="1409"/>
      <c r="O1170" s="1408"/>
      <c r="P1170" s="1408"/>
      <c r="Q1170" s="1408"/>
      <c r="R1170" s="1409" t="s">
        <v>1105</v>
      </c>
      <c r="S1170" s="1408"/>
      <c r="T1170" s="1409" t="str">
        <f>IF(Q$1163="Yes",33,"")</f>
        <v/>
      </c>
      <c r="U1170" s="1408"/>
      <c r="V1170" s="1408"/>
      <c r="W1170" s="1408"/>
      <c r="X1170" s="1408"/>
      <c r="Y1170" s="1408"/>
      <c r="Z1170" s="1408"/>
      <c r="AA1170" s="1408"/>
    </row>
    <row r="1171" spans="1:27" x14ac:dyDescent="0.25">
      <c r="A1171" s="926" t="s">
        <v>1413</v>
      </c>
      <c r="B1171" s="897" t="str">
        <f ca="1">_xlfn.CONCAT(IFERROR(SUBSTITUTE(ADDRESS(1,MATCH(A1171,INDIRECT("'"&amp;E1171&amp;"'"&amp;"!A" &amp; $O$1163 + 5 &amp; ":Z" &amp; $O$1163 + 5),0),4),1,""),""),$O$1163+ 5)</f>
        <v>H468</v>
      </c>
      <c r="C1171" s="897" t="str">
        <f ca="1">_xlfn.CONCAT(IFERROR(SUBSTITUTE(ADDRESS(1,MATCH(A1171,INDIRECT("'"&amp;E1171&amp;"'"&amp;"!A" &amp; $O$1163 + 5 &amp; ":Z" &amp; $O$1163 + 5),0),4),1,""),""),$O$1163+ 6)</f>
        <v>H469</v>
      </c>
      <c r="D1171" s="897" t="s">
        <v>1367</v>
      </c>
      <c r="E1171" s="897" t="s">
        <v>1535</v>
      </c>
      <c r="F1171" s="1409" t="s">
        <v>1413</v>
      </c>
      <c r="G1171" s="1409" t="str">
        <f>IF(T1171&lt;&gt;"","S","")</f>
        <v/>
      </c>
      <c r="H1171" s="1409" t="s">
        <v>1926</v>
      </c>
      <c r="I1171" s="857" t="str">
        <f t="shared" si="230"/>
        <v/>
      </c>
      <c r="J1171" s="1409" t="str">
        <f t="shared" si="232"/>
        <v/>
      </c>
      <c r="K1171" s="1409" t="str">
        <f t="shared" si="231"/>
        <v/>
      </c>
      <c r="L1171" s="897" t="s">
        <v>1413</v>
      </c>
      <c r="M1171" s="1410">
        <v>1154</v>
      </c>
      <c r="N1171" s="1409"/>
      <c r="O1171" s="1408"/>
      <c r="P1171" s="1408"/>
      <c r="Q1171" s="1408"/>
      <c r="R1171" s="1409" t="s">
        <v>1105</v>
      </c>
      <c r="S1171" s="1408"/>
      <c r="T1171" s="1409" t="str">
        <f>IF(Q$1163="Yes",33,"")</f>
        <v/>
      </c>
      <c r="U1171" s="1408"/>
      <c r="V1171" s="1408"/>
      <c r="W1171" s="1408"/>
      <c r="X1171" s="1408"/>
      <c r="Y1171" s="1408"/>
      <c r="Z1171" s="1408"/>
      <c r="AA1171" s="1408"/>
    </row>
    <row r="1172" spans="1:27" x14ac:dyDescent="0.25">
      <c r="A1172" s="926" t="s">
        <v>1500</v>
      </c>
      <c r="B1172" s="897" t="str">
        <f ca="1">_xlfn.CONCAT(IFERROR(SUBSTITUTE(ADDRESS(1,MATCH(A1172,INDIRECT("'"&amp;E1172&amp;"'"&amp;"!A" &amp; $O$1163 + 5 &amp; ":Z" &amp; $O$1163 + 5),0),4),1,""),""),$O$1163+ 6)</f>
        <v>J469</v>
      </c>
      <c r="C1172" s="897" t="str">
        <f t="shared" ref="C1172:C1186" ca="1" si="234">IFERROR(SUBSTITUTE(ADDRESS(1,MATCH(A1172,INDIRECT("'"&amp;E1172&amp;"'"&amp;"!A" &amp; $O$1163 + 5 &amp; ":Z" &amp; $O$1163 + 5),0),4),1,""),"")</f>
        <v>J</v>
      </c>
      <c r="D1172" s="897" t="s">
        <v>1374</v>
      </c>
      <c r="E1172" s="897" t="s">
        <v>1535</v>
      </c>
      <c r="F1172" s="1424"/>
      <c r="G1172" s="897"/>
      <c r="H1172" s="897"/>
      <c r="I1172" s="857" t="str">
        <f t="shared" si="230"/>
        <v/>
      </c>
      <c r="J1172" s="1409" t="str">
        <f t="shared" si="232"/>
        <v/>
      </c>
      <c r="K1172" s="1409" t="str">
        <f t="shared" si="231"/>
        <v/>
      </c>
      <c r="L1172" s="897" t="s">
        <v>1500</v>
      </c>
      <c r="M1172" s="1410">
        <v>1155</v>
      </c>
      <c r="N1172" s="1409"/>
      <c r="O1172" s="1408"/>
      <c r="P1172" s="1408"/>
      <c r="Q1172" s="1408"/>
      <c r="R1172" s="1409" t="s">
        <v>1105</v>
      </c>
      <c r="S1172" s="1408"/>
      <c r="T1172" s="1408"/>
      <c r="U1172" s="1408"/>
      <c r="V1172" s="1408"/>
      <c r="W1172" s="1408"/>
      <c r="X1172" s="1408"/>
      <c r="Y1172" s="1408"/>
      <c r="Z1172" s="1408"/>
      <c r="AA1172" s="1408"/>
    </row>
    <row r="1173" spans="1:27" x14ac:dyDescent="0.25">
      <c r="A1173" s="926" t="s">
        <v>728</v>
      </c>
      <c r="B1173" s="897" t="str">
        <f ca="1">_xlfn.CONCAT(IFERROR(SUBSTITUTE(ADDRESS(1,MATCH(A1173,INDIRECT("'"&amp;E1173&amp;"'"&amp;"!A" &amp; $O$1163 + 5 &amp; ":Z" &amp; $O$1163 + 5),0),4),1,""),""),$O$1163+ 6)</f>
        <v>L469</v>
      </c>
      <c r="C1173" s="897" t="str">
        <f t="shared" ca="1" si="234"/>
        <v>L</v>
      </c>
      <c r="D1173" s="897" t="s">
        <v>1374</v>
      </c>
      <c r="E1173" s="897" t="s">
        <v>1535</v>
      </c>
      <c r="F1173" s="1424"/>
      <c r="G1173" s="897"/>
      <c r="H1173" s="897"/>
      <c r="I1173" s="857" t="str">
        <f t="shared" si="230"/>
        <v/>
      </c>
      <c r="J1173" s="1409" t="str">
        <f t="shared" si="232"/>
        <v/>
      </c>
      <c r="K1173" s="1409" t="str">
        <f t="shared" si="231"/>
        <v/>
      </c>
      <c r="L1173" s="897" t="s">
        <v>728</v>
      </c>
      <c r="M1173" s="1410">
        <v>1156</v>
      </c>
      <c r="N1173" s="1409"/>
      <c r="O1173" s="1408"/>
      <c r="P1173" s="1408"/>
      <c r="Q1173" s="1408"/>
      <c r="R1173" s="1409" t="s">
        <v>1105</v>
      </c>
      <c r="S1173" s="1408"/>
      <c r="T1173" s="1408"/>
      <c r="U1173" s="1408"/>
      <c r="V1173" s="1408"/>
      <c r="W1173" s="1408"/>
      <c r="X1173" s="1408"/>
      <c r="Y1173" s="1408"/>
      <c r="Z1173" s="1408"/>
      <c r="AA1173" s="1408"/>
    </row>
    <row r="1174" spans="1:27" x14ac:dyDescent="0.25">
      <c r="A1174" s="926" t="s">
        <v>1640</v>
      </c>
      <c r="B1174" s="897" t="str">
        <f ca="1">_xlfn.CONCAT(IFERROR(SUBSTITUTE(ADDRESS(1,MATCH(A1174,INDIRECT("'"&amp;E1174&amp;"'"&amp;"!A" &amp; $O$1163 + 5 &amp; ":Z" &amp; $O$1163 + 5),0),4),1,""),""),$O$1163+ 6)</f>
        <v>N469</v>
      </c>
      <c r="C1174" s="897" t="str">
        <f t="shared" ca="1" si="234"/>
        <v>N</v>
      </c>
      <c r="D1174" s="897" t="s">
        <v>1374</v>
      </c>
      <c r="E1174" s="897" t="s">
        <v>1535</v>
      </c>
      <c r="F1174" s="1424"/>
      <c r="G1174" s="897"/>
      <c r="H1174" s="897"/>
      <c r="I1174" s="857" t="str">
        <f t="shared" si="230"/>
        <v/>
      </c>
      <c r="J1174" s="1409" t="str">
        <f t="shared" si="232"/>
        <v/>
      </c>
      <c r="K1174" s="1409" t="str">
        <f t="shared" si="231"/>
        <v/>
      </c>
      <c r="L1174" s="897" t="s">
        <v>1640</v>
      </c>
      <c r="M1174" s="1410">
        <v>1157</v>
      </c>
      <c r="N1174" s="1409"/>
      <c r="O1174" s="1408"/>
      <c r="P1174" s="1408"/>
      <c r="Q1174" s="1408"/>
      <c r="R1174" s="1409" t="s">
        <v>1105</v>
      </c>
      <c r="S1174" s="1408"/>
      <c r="T1174" s="1408"/>
      <c r="U1174" s="1408"/>
      <c r="V1174" s="1408"/>
      <c r="W1174" s="1408"/>
      <c r="X1174" s="1408"/>
      <c r="Y1174" s="1408"/>
      <c r="Z1174" s="1408"/>
      <c r="AA1174" s="1408"/>
    </row>
    <row r="1175" spans="1:27" x14ac:dyDescent="0.25">
      <c r="A1175" s="926" t="s">
        <v>1500</v>
      </c>
      <c r="B1175" s="897" t="str">
        <f ca="1">_xlfn.CONCAT(IFERROR(SUBSTITUTE(ADDRESS(1,MATCH(A1175,INDIRECT("'"&amp;E1175&amp;"'"&amp;"!A" &amp; $O$1163 + 5 &amp; ":Z" &amp; $O$1163 + 5),0),4),1,""),""),$O$1163+ 7)</f>
        <v>J470</v>
      </c>
      <c r="C1175" s="897" t="str">
        <f t="shared" ca="1" si="234"/>
        <v>J</v>
      </c>
      <c r="D1175" s="897" t="s">
        <v>1374</v>
      </c>
      <c r="E1175" s="897" t="s">
        <v>1535</v>
      </c>
      <c r="F1175" s="897"/>
      <c r="G1175" s="897"/>
      <c r="H1175" s="897"/>
      <c r="I1175" s="857" t="str">
        <f t="shared" si="230"/>
        <v/>
      </c>
      <c r="J1175" s="1409" t="str">
        <f t="shared" si="232"/>
        <v/>
      </c>
      <c r="K1175" s="1409" t="str">
        <f t="shared" si="231"/>
        <v/>
      </c>
      <c r="L1175" s="897" t="s">
        <v>1500</v>
      </c>
      <c r="M1175" s="1410">
        <v>1158</v>
      </c>
      <c r="N1175" s="1409"/>
      <c r="O1175" s="1408"/>
      <c r="P1175" s="1408"/>
      <c r="Q1175" s="1408"/>
      <c r="R1175" s="1409" t="s">
        <v>1105</v>
      </c>
      <c r="S1175" s="1408"/>
      <c r="T1175" s="1408"/>
      <c r="U1175" s="1408"/>
      <c r="V1175" s="1408"/>
      <c r="W1175" s="1408"/>
      <c r="X1175" s="1408"/>
      <c r="Y1175" s="1408"/>
      <c r="Z1175" s="1408"/>
      <c r="AA1175" s="1408"/>
    </row>
    <row r="1176" spans="1:27" x14ac:dyDescent="0.25">
      <c r="A1176" s="926" t="s">
        <v>728</v>
      </c>
      <c r="B1176" s="897" t="str">
        <f ca="1">_xlfn.CONCAT(IFERROR(SUBSTITUTE(ADDRESS(1,MATCH(A1176,INDIRECT("'"&amp;E1176&amp;"'"&amp;"!A" &amp; $O$1163 + 5 &amp; ":Z" &amp; $O$1163 + 5),0),4),1,""),""),$O$1163+ 7)</f>
        <v>L470</v>
      </c>
      <c r="C1176" s="897" t="str">
        <f t="shared" ca="1" si="234"/>
        <v>L</v>
      </c>
      <c r="D1176" s="897" t="s">
        <v>1374</v>
      </c>
      <c r="E1176" s="897" t="s">
        <v>1535</v>
      </c>
      <c r="F1176" s="1424"/>
      <c r="G1176" s="897"/>
      <c r="H1176" s="897"/>
      <c r="I1176" s="857" t="str">
        <f t="shared" si="230"/>
        <v/>
      </c>
      <c r="J1176" s="1409" t="str">
        <f t="shared" si="232"/>
        <v/>
      </c>
      <c r="K1176" s="1409" t="str">
        <f t="shared" si="231"/>
        <v/>
      </c>
      <c r="L1176" s="897" t="s">
        <v>728</v>
      </c>
      <c r="M1176" s="1410">
        <v>1159</v>
      </c>
      <c r="N1176" s="1409"/>
      <c r="O1176" s="1408"/>
      <c r="P1176" s="1408"/>
      <c r="Q1176" s="1408"/>
      <c r="R1176" s="1409" t="s">
        <v>1105</v>
      </c>
      <c r="S1176" s="1408"/>
      <c r="T1176" s="1408"/>
      <c r="U1176" s="1408"/>
      <c r="V1176" s="1408"/>
      <c r="W1176" s="1408"/>
      <c r="X1176" s="1408"/>
      <c r="Y1176" s="1408"/>
      <c r="Z1176" s="1408"/>
      <c r="AA1176" s="1408"/>
    </row>
    <row r="1177" spans="1:27" x14ac:dyDescent="0.25">
      <c r="A1177" s="926" t="s">
        <v>1640</v>
      </c>
      <c r="B1177" s="897" t="str">
        <f ca="1">_xlfn.CONCAT(IFERROR(SUBSTITUTE(ADDRESS(1,MATCH(A1177,INDIRECT("'"&amp;E1177&amp;"'"&amp;"!A" &amp; $O$1163 + 5 &amp; ":Z" &amp; $O$1163 + 5),0),4),1,""),""),$O$1163+ 7)</f>
        <v>N470</v>
      </c>
      <c r="C1177" s="897" t="str">
        <f t="shared" ca="1" si="234"/>
        <v>N</v>
      </c>
      <c r="D1177" s="897" t="s">
        <v>1374</v>
      </c>
      <c r="E1177" s="897" t="s">
        <v>1535</v>
      </c>
      <c r="F1177" s="1424"/>
      <c r="G1177" s="897"/>
      <c r="H1177" s="897"/>
      <c r="I1177" s="857" t="str">
        <f t="shared" si="230"/>
        <v/>
      </c>
      <c r="J1177" s="1409" t="str">
        <f t="shared" si="232"/>
        <v/>
      </c>
      <c r="K1177" s="1409" t="str">
        <f t="shared" si="231"/>
        <v/>
      </c>
      <c r="L1177" s="897" t="s">
        <v>1640</v>
      </c>
      <c r="M1177" s="1410">
        <v>1160</v>
      </c>
      <c r="N1177" s="1409"/>
      <c r="O1177" s="1408"/>
      <c r="P1177" s="1408"/>
      <c r="Q1177" s="1408"/>
      <c r="R1177" s="1409" t="s">
        <v>1105</v>
      </c>
      <c r="S1177" s="1408"/>
      <c r="T1177" s="1408"/>
      <c r="U1177" s="1408"/>
      <c r="V1177" s="1408"/>
      <c r="W1177" s="1408"/>
      <c r="X1177" s="1408"/>
      <c r="Y1177" s="1408"/>
      <c r="Z1177" s="1408"/>
      <c r="AA1177" s="1408"/>
    </row>
    <row r="1178" spans="1:27" x14ac:dyDescent="0.25">
      <c r="A1178" s="926" t="s">
        <v>1500</v>
      </c>
      <c r="B1178" s="897" t="str">
        <f ca="1">_xlfn.CONCAT(IFERROR(SUBSTITUTE(ADDRESS(1,MATCH(A1178,INDIRECT("'"&amp;E1178&amp;"'"&amp;"!A" &amp; $O$1163 + 5 &amp; ":Z" &amp; $O$1163 + 5),0),4),1,""),""),$O$1163+ 8)</f>
        <v>J471</v>
      </c>
      <c r="C1178" s="897" t="str">
        <f t="shared" ca="1" si="234"/>
        <v>J</v>
      </c>
      <c r="D1178" s="897" t="s">
        <v>1374</v>
      </c>
      <c r="E1178" s="897" t="s">
        <v>1535</v>
      </c>
      <c r="F1178" s="1424"/>
      <c r="G1178" s="897"/>
      <c r="H1178" s="897"/>
      <c r="I1178" s="857" t="str">
        <f t="shared" si="230"/>
        <v/>
      </c>
      <c r="J1178" s="1409" t="str">
        <f t="shared" si="232"/>
        <v/>
      </c>
      <c r="K1178" s="1409" t="str">
        <f t="shared" si="231"/>
        <v/>
      </c>
      <c r="L1178" s="897" t="s">
        <v>1500</v>
      </c>
      <c r="M1178" s="1410">
        <v>1161</v>
      </c>
      <c r="N1178" s="1409"/>
      <c r="O1178" s="1408"/>
      <c r="P1178" s="1408"/>
      <c r="Q1178" s="1408"/>
      <c r="R1178" s="1409" t="s">
        <v>1105</v>
      </c>
      <c r="S1178" s="1408"/>
      <c r="T1178" s="1408"/>
      <c r="U1178" s="1408"/>
      <c r="V1178" s="1408"/>
      <c r="W1178" s="1408"/>
      <c r="X1178" s="1408"/>
      <c r="Y1178" s="1408"/>
      <c r="Z1178" s="1408"/>
      <c r="AA1178" s="1408"/>
    </row>
    <row r="1179" spans="1:27" x14ac:dyDescent="0.25">
      <c r="A1179" s="926" t="s">
        <v>728</v>
      </c>
      <c r="B1179" s="897" t="str">
        <f ca="1">_xlfn.CONCAT(IFERROR(SUBSTITUTE(ADDRESS(1,MATCH(A1179,INDIRECT("'"&amp;E1179&amp;"'"&amp;"!A" &amp; $O$1163 + 5 &amp; ":Z" &amp; $O$1163 + 5),0),4),1,""),""),$O$1163+ 8)</f>
        <v>L471</v>
      </c>
      <c r="C1179" s="897" t="str">
        <f t="shared" ca="1" si="234"/>
        <v>L</v>
      </c>
      <c r="D1179" s="897" t="s">
        <v>1374</v>
      </c>
      <c r="E1179" s="897" t="s">
        <v>1535</v>
      </c>
      <c r="F1179" s="897"/>
      <c r="G1179" s="897"/>
      <c r="H1179" s="897"/>
      <c r="I1179" s="857" t="str">
        <f t="shared" si="230"/>
        <v/>
      </c>
      <c r="J1179" s="1409" t="str">
        <f t="shared" si="232"/>
        <v/>
      </c>
      <c r="K1179" s="1409" t="str">
        <f t="shared" si="231"/>
        <v/>
      </c>
      <c r="L1179" s="897" t="s">
        <v>728</v>
      </c>
      <c r="M1179" s="1410">
        <v>1162</v>
      </c>
      <c r="N1179" s="1409"/>
      <c r="O1179" s="1408"/>
      <c r="P1179" s="1408"/>
      <c r="Q1179" s="1408"/>
      <c r="R1179" s="1409" t="s">
        <v>1105</v>
      </c>
      <c r="S1179" s="1408"/>
      <c r="T1179" s="1408"/>
      <c r="U1179" s="1408"/>
      <c r="V1179" s="1408"/>
      <c r="W1179" s="1408"/>
      <c r="X1179" s="1408"/>
      <c r="Y1179" s="1408"/>
      <c r="Z1179" s="1408"/>
      <c r="AA1179" s="1408"/>
    </row>
    <row r="1180" spans="1:27" x14ac:dyDescent="0.25">
      <c r="A1180" s="926" t="s">
        <v>1640</v>
      </c>
      <c r="B1180" s="897" t="str">
        <f ca="1">_xlfn.CONCAT(IFERROR(SUBSTITUTE(ADDRESS(1,MATCH(A1180,INDIRECT("'"&amp;E1180&amp;"'"&amp;"!A" &amp; $O$1163 + 5 &amp; ":Z" &amp; $O$1163 + 5),0),4),1,""),""),$O$1163+ 8)</f>
        <v>N471</v>
      </c>
      <c r="C1180" s="897" t="str">
        <f t="shared" ca="1" si="234"/>
        <v>N</v>
      </c>
      <c r="D1180" s="897" t="s">
        <v>1374</v>
      </c>
      <c r="E1180" s="897" t="s">
        <v>1535</v>
      </c>
      <c r="F1180" s="897"/>
      <c r="G1180" s="897"/>
      <c r="H1180" s="897"/>
      <c r="I1180" s="857" t="str">
        <f t="shared" si="230"/>
        <v/>
      </c>
      <c r="J1180" s="1409" t="str">
        <f t="shared" si="232"/>
        <v/>
      </c>
      <c r="K1180" s="1409" t="str">
        <f t="shared" si="231"/>
        <v/>
      </c>
      <c r="L1180" s="897" t="s">
        <v>1640</v>
      </c>
      <c r="M1180" s="1410">
        <v>1163</v>
      </c>
      <c r="N1180" s="1409"/>
      <c r="O1180" s="1408"/>
      <c r="P1180" s="1408"/>
      <c r="Q1180" s="1408"/>
      <c r="R1180" s="1409" t="s">
        <v>1105</v>
      </c>
      <c r="S1180" s="1408"/>
      <c r="T1180" s="1408"/>
      <c r="U1180" s="1408"/>
      <c r="V1180" s="1408"/>
      <c r="W1180" s="1408"/>
      <c r="X1180" s="1408"/>
      <c r="Y1180" s="1408"/>
      <c r="Z1180" s="1408"/>
      <c r="AA1180" s="1408"/>
    </row>
    <row r="1181" spans="1:27" x14ac:dyDescent="0.25">
      <c r="A1181" s="926" t="s">
        <v>1500</v>
      </c>
      <c r="B1181" s="897" t="str">
        <f ca="1">_xlfn.CONCAT(IFERROR(SUBSTITUTE(ADDRESS(1,MATCH(A1181,INDIRECT("'"&amp;E1181&amp;"'"&amp;"!A" &amp; $O$1163 + 5 &amp; ":Z" &amp; $O$1163 + 5),0),4),1,""),""),$O$1163+ 9)</f>
        <v>J472</v>
      </c>
      <c r="C1181" s="897" t="str">
        <f t="shared" ca="1" si="234"/>
        <v>J</v>
      </c>
      <c r="D1181" s="897" t="s">
        <v>1374</v>
      </c>
      <c r="E1181" s="897" t="s">
        <v>1535</v>
      </c>
      <c r="F1181" s="897"/>
      <c r="G1181" s="897"/>
      <c r="H1181" s="897"/>
      <c r="I1181" s="857" t="str">
        <f t="shared" si="230"/>
        <v/>
      </c>
      <c r="J1181" s="1409" t="str">
        <f t="shared" si="232"/>
        <v/>
      </c>
      <c r="K1181" s="1409" t="str">
        <f t="shared" si="231"/>
        <v/>
      </c>
      <c r="L1181" s="897" t="s">
        <v>1500</v>
      </c>
      <c r="M1181" s="1410">
        <v>1164</v>
      </c>
      <c r="N1181" s="1409"/>
      <c r="O1181" s="1408"/>
      <c r="P1181" s="1408"/>
      <c r="Q1181" s="1408"/>
      <c r="R1181" s="1409" t="s">
        <v>1105</v>
      </c>
      <c r="S1181" s="1408"/>
      <c r="T1181" s="1408"/>
      <c r="U1181" s="1408"/>
      <c r="V1181" s="1408"/>
      <c r="W1181" s="1408"/>
      <c r="X1181" s="1408"/>
      <c r="Y1181" s="1408"/>
      <c r="Z1181" s="1408"/>
      <c r="AA1181" s="1408"/>
    </row>
    <row r="1182" spans="1:27" x14ac:dyDescent="0.25">
      <c r="A1182" s="926" t="s">
        <v>728</v>
      </c>
      <c r="B1182" s="897" t="str">
        <f ca="1">_xlfn.CONCAT(IFERROR(SUBSTITUTE(ADDRESS(1,MATCH(A1182,INDIRECT("'"&amp;E1182&amp;"'"&amp;"!A" &amp; $O$1163 + 5 &amp; ":Z" &amp; $O$1163 + 5),0),4),1,""),""),$O$1163+ 9)</f>
        <v>L472</v>
      </c>
      <c r="C1182" s="897" t="str">
        <f t="shared" ca="1" si="234"/>
        <v>L</v>
      </c>
      <c r="D1182" s="897" t="s">
        <v>1374</v>
      </c>
      <c r="E1182" s="897" t="s">
        <v>1535</v>
      </c>
      <c r="F1182" s="897"/>
      <c r="G1182" s="897"/>
      <c r="H1182" s="897"/>
      <c r="I1182" s="857" t="str">
        <f t="shared" si="230"/>
        <v/>
      </c>
      <c r="J1182" s="1409" t="str">
        <f t="shared" si="232"/>
        <v/>
      </c>
      <c r="K1182" s="1409" t="str">
        <f t="shared" si="231"/>
        <v/>
      </c>
      <c r="L1182" s="897" t="s">
        <v>728</v>
      </c>
      <c r="M1182" s="1410">
        <v>1165</v>
      </c>
      <c r="N1182" s="1409"/>
      <c r="O1182" s="1408"/>
      <c r="P1182" s="1408"/>
      <c r="Q1182" s="1408"/>
      <c r="R1182" s="1409" t="s">
        <v>1105</v>
      </c>
      <c r="S1182" s="1408"/>
      <c r="T1182" s="1408"/>
      <c r="U1182" s="1408"/>
      <c r="V1182" s="1408"/>
      <c r="W1182" s="1408"/>
      <c r="X1182" s="1408"/>
      <c r="Y1182" s="1408"/>
      <c r="Z1182" s="1408"/>
      <c r="AA1182" s="1408"/>
    </row>
    <row r="1183" spans="1:27" x14ac:dyDescent="0.25">
      <c r="A1183" s="926" t="s">
        <v>1640</v>
      </c>
      <c r="B1183" s="897" t="str">
        <f ca="1">_xlfn.CONCAT(IFERROR(SUBSTITUTE(ADDRESS(1,MATCH(A1183,INDIRECT("'"&amp;E1183&amp;"'"&amp;"!A" &amp; $O$1163 + 5 &amp; ":Z" &amp; $O$1163 + 5),0),4),1,""),""),$O$1163+ 9)</f>
        <v>N472</v>
      </c>
      <c r="C1183" s="897" t="str">
        <f t="shared" ca="1" si="234"/>
        <v>N</v>
      </c>
      <c r="D1183" s="897" t="s">
        <v>1374</v>
      </c>
      <c r="E1183" s="897" t="s">
        <v>1535</v>
      </c>
      <c r="F1183" s="897"/>
      <c r="G1183" s="897"/>
      <c r="H1183" s="897"/>
      <c r="I1183" s="857" t="str">
        <f t="shared" si="230"/>
        <v/>
      </c>
      <c r="J1183" s="1409" t="str">
        <f t="shared" si="232"/>
        <v/>
      </c>
      <c r="K1183" s="1409" t="str">
        <f t="shared" si="231"/>
        <v/>
      </c>
      <c r="L1183" s="897" t="s">
        <v>1640</v>
      </c>
      <c r="M1183" s="1410">
        <v>1166</v>
      </c>
      <c r="N1183" s="1409"/>
      <c r="O1183" s="1408"/>
      <c r="P1183" s="1408"/>
      <c r="Q1183" s="1408"/>
      <c r="R1183" s="1409" t="s">
        <v>1105</v>
      </c>
      <c r="S1183" s="1408"/>
      <c r="T1183" s="1408"/>
      <c r="U1183" s="1408"/>
      <c r="V1183" s="1408"/>
      <c r="W1183" s="1408"/>
      <c r="X1183" s="1408"/>
      <c r="Y1183" s="1408"/>
      <c r="Z1183" s="1408"/>
      <c r="AA1183" s="1408"/>
    </row>
    <row r="1184" spans="1:27" x14ac:dyDescent="0.25">
      <c r="A1184" s="926" t="s">
        <v>1500</v>
      </c>
      <c r="B1184" s="897" t="str">
        <f ca="1">_xlfn.CONCAT(IFERROR(SUBSTITUTE(ADDRESS(1,MATCH(A1184,INDIRECT("'"&amp;E1184&amp;"'"&amp;"!A" &amp; $O$1163 + 5 &amp; ":Z" &amp; $O$1163 + 5),0),4),1,""),""),$O$1163+ 10)</f>
        <v>J473</v>
      </c>
      <c r="C1184" s="897" t="str">
        <f t="shared" ca="1" si="234"/>
        <v>J</v>
      </c>
      <c r="D1184" s="897" t="s">
        <v>1374</v>
      </c>
      <c r="E1184" s="897" t="s">
        <v>1535</v>
      </c>
      <c r="F1184" s="897"/>
      <c r="G1184" s="897"/>
      <c r="H1184" s="897"/>
      <c r="I1184" s="857" t="str">
        <f t="shared" si="230"/>
        <v/>
      </c>
      <c r="J1184" s="1409" t="str">
        <f t="shared" si="232"/>
        <v/>
      </c>
      <c r="K1184" s="1409" t="str">
        <f t="shared" si="231"/>
        <v/>
      </c>
      <c r="L1184" s="897" t="s">
        <v>1500</v>
      </c>
      <c r="M1184" s="1410">
        <v>1167</v>
      </c>
      <c r="N1184" s="1409"/>
      <c r="O1184" s="1408"/>
      <c r="P1184" s="1408"/>
      <c r="Q1184" s="1408"/>
      <c r="R1184" s="1409" t="s">
        <v>1105</v>
      </c>
      <c r="S1184" s="1408"/>
      <c r="T1184" s="1408"/>
      <c r="U1184" s="1408"/>
      <c r="V1184" s="1408"/>
      <c r="W1184" s="1408"/>
      <c r="X1184" s="1408"/>
      <c r="Y1184" s="1408"/>
      <c r="Z1184" s="1408"/>
      <c r="AA1184" s="1408"/>
    </row>
    <row r="1185" spans="1:27" x14ac:dyDescent="0.25">
      <c r="A1185" s="926" t="s">
        <v>728</v>
      </c>
      <c r="B1185" s="897" t="str">
        <f ca="1">_xlfn.CONCAT(IFERROR(SUBSTITUTE(ADDRESS(1,MATCH(A1185,INDIRECT("'"&amp;E1185&amp;"'"&amp;"!A" &amp; $O$1163 + 5 &amp; ":Z" &amp; $O$1163 + 5),0),4),1,""),""),$O$1163+ 10)</f>
        <v>L473</v>
      </c>
      <c r="C1185" s="897" t="str">
        <f t="shared" ca="1" si="234"/>
        <v>L</v>
      </c>
      <c r="D1185" s="897" t="s">
        <v>1374</v>
      </c>
      <c r="E1185" s="897" t="s">
        <v>1535</v>
      </c>
      <c r="F1185" s="897"/>
      <c r="G1185" s="897"/>
      <c r="H1185" s="897"/>
      <c r="I1185" s="857" t="str">
        <f t="shared" si="230"/>
        <v/>
      </c>
      <c r="J1185" s="1409" t="str">
        <f t="shared" si="232"/>
        <v/>
      </c>
      <c r="K1185" s="1409" t="str">
        <f t="shared" si="231"/>
        <v/>
      </c>
      <c r="L1185" s="897" t="s">
        <v>728</v>
      </c>
      <c r="M1185" s="1410">
        <v>1168</v>
      </c>
      <c r="N1185" s="1409"/>
      <c r="O1185" s="1408"/>
      <c r="P1185" s="1408"/>
      <c r="Q1185" s="1408"/>
      <c r="R1185" s="1409" t="s">
        <v>1105</v>
      </c>
      <c r="S1185" s="1408"/>
      <c r="T1185" s="1408"/>
      <c r="U1185" s="1408"/>
      <c r="V1185" s="1408"/>
      <c r="W1185" s="1408"/>
      <c r="X1185" s="1408"/>
      <c r="Y1185" s="1408"/>
      <c r="Z1185" s="1408"/>
      <c r="AA1185" s="1408"/>
    </row>
    <row r="1186" spans="1:27" x14ac:dyDescent="0.25">
      <c r="A1186" s="926" t="s">
        <v>1640</v>
      </c>
      <c r="B1186" s="897" t="str">
        <f ca="1">_xlfn.CONCAT(IFERROR(SUBSTITUTE(ADDRESS(1,MATCH(A1186,INDIRECT("'"&amp;E1186&amp;"'"&amp;"!A" &amp; $O$1163 + 5 &amp; ":Z" &amp; $O$1163 + 5),0),4),1,""),""),$O$1163+ 10)</f>
        <v>N473</v>
      </c>
      <c r="C1186" s="897" t="str">
        <f t="shared" ca="1" si="234"/>
        <v>N</v>
      </c>
      <c r="D1186" s="897" t="s">
        <v>1374</v>
      </c>
      <c r="E1186" s="897" t="s">
        <v>1535</v>
      </c>
      <c r="F1186" s="897"/>
      <c r="G1186" s="897"/>
      <c r="H1186" s="897"/>
      <c r="I1186" s="857" t="str">
        <f t="shared" si="230"/>
        <v/>
      </c>
      <c r="J1186" s="1409" t="str">
        <f t="shared" si="232"/>
        <v/>
      </c>
      <c r="K1186" s="1409" t="str">
        <f t="shared" si="231"/>
        <v/>
      </c>
      <c r="L1186" s="897" t="s">
        <v>1640</v>
      </c>
      <c r="M1186" s="1410">
        <v>1169</v>
      </c>
      <c r="N1186" s="1409"/>
      <c r="O1186" s="1408"/>
      <c r="P1186" s="1408"/>
      <c r="Q1186" s="1408"/>
      <c r="R1186" s="1409" t="s">
        <v>1105</v>
      </c>
      <c r="S1186" s="1408"/>
      <c r="T1186" s="1408"/>
      <c r="U1186" s="1408"/>
      <c r="V1186" s="1408"/>
      <c r="W1186" s="1408"/>
      <c r="X1186" s="1408"/>
      <c r="Y1186" s="1408"/>
      <c r="Z1186" s="1408"/>
      <c r="AA1186" s="1408"/>
    </row>
    <row r="1187" spans="1:27" x14ac:dyDescent="0.25">
      <c r="A1187" s="929" t="s">
        <v>1510</v>
      </c>
      <c r="B1187" s="897" t="str">
        <f ca="1">IFERROR(_xlfn.CONCAT("C",MATCH(A1187,INDIRECT("'"&amp;E1187&amp;"'!C"&amp;$O$1188&amp;":C"&amp;$O$1190),0)+$O$1188-1),"")</f>
        <v>C481</v>
      </c>
      <c r="C1187" s="897" t="str">
        <f ca="1">IFERROR(_xlfn.CONCAT("D",MATCH(A1187,INDIRECT("'"&amp;E1187&amp;"'!C"&amp;$O$1188&amp;":C"&amp;$O$1190),0)+$O$1188-1),"")</f>
        <v>D481</v>
      </c>
      <c r="D1187" s="897" t="s">
        <v>1367</v>
      </c>
      <c r="E1187" s="897" t="s">
        <v>1535</v>
      </c>
      <c r="F1187" s="1409" t="s">
        <v>1510</v>
      </c>
      <c r="G1187" s="1409" t="str">
        <f>IF(T1187&lt;&gt;"","A","")</f>
        <v/>
      </c>
      <c r="H1187" s="1409" t="s">
        <v>1926</v>
      </c>
      <c r="I1187" s="857" t="str">
        <f t="shared" si="230"/>
        <v/>
      </c>
      <c r="J1187" s="1409"/>
      <c r="K1187" s="1409" t="str">
        <f t="shared" si="231"/>
        <v/>
      </c>
      <c r="L1187" s="897" t="s">
        <v>1510</v>
      </c>
      <c r="M1187" s="1410">
        <v>1170</v>
      </c>
      <c r="N1187" s="1409"/>
      <c r="O1187" s="1408" t="s">
        <v>726</v>
      </c>
      <c r="P1187" s="18"/>
      <c r="Q1187" s="1408"/>
      <c r="R1187" s="1409" t="s">
        <v>1105</v>
      </c>
      <c r="S1187" s="1408"/>
      <c r="T1187" s="1409" t="str">
        <f>IF(Q$1188="Yes",34,"")</f>
        <v/>
      </c>
      <c r="U1187" s="1408"/>
      <c r="V1187" s="1408"/>
      <c r="W1187" s="1408"/>
      <c r="X1187" s="1408"/>
      <c r="Y1187" s="1408"/>
      <c r="Z1187" s="1408"/>
      <c r="AA1187" s="1408"/>
    </row>
    <row r="1188" spans="1:27" x14ac:dyDescent="0.25">
      <c r="A1188" s="929" t="s">
        <v>1724</v>
      </c>
      <c r="B1188" s="897" t="str">
        <f ca="1">_xlfn.CONCAT(IFERROR(SUBSTITUTE(ADDRESS(1,MATCH(A1188,INDIRECT("'"&amp;E1188&amp;"'"&amp;"!A" &amp; $O$1188 + 11 &amp; ":Z" &amp; $O$1188 + 11),0),4),1,""),""),$O$1188+ 11)</f>
        <v>T488</v>
      </c>
      <c r="C1188" s="897" t="str">
        <f ca="1">_xlfn.CONCAT(IFERROR(SUBSTITUTE(ADDRESS(1,MATCH(A1188,INDIRECT("'"&amp;E1188&amp;"'"&amp;"!A" &amp; $O$1188 + 11 &amp; ":Z" &amp; $O$1188 + 11),0),4),1,""),""),$O$1188+ 12)</f>
        <v>T489</v>
      </c>
      <c r="D1188" s="897" t="s">
        <v>1367</v>
      </c>
      <c r="E1188" s="897" t="s">
        <v>1535</v>
      </c>
      <c r="F1188" s="1409"/>
      <c r="G1188" s="1409"/>
      <c r="H1188" s="1409"/>
      <c r="I1188" s="857" t="str">
        <f t="shared" si="230"/>
        <v/>
      </c>
      <c r="J1188" s="1409" t="str">
        <f t="shared" ref="J1188:J1211" si="235">IF(M1188&lt;&gt;"",IF($Q$1188="Yes",Q$1&amp;M1188,""))</f>
        <v/>
      </c>
      <c r="K1188" s="1409" t="str">
        <f t="shared" si="231"/>
        <v/>
      </c>
      <c r="L1188" s="897" t="s">
        <v>1724</v>
      </c>
      <c r="M1188" s="1410">
        <v>1171</v>
      </c>
      <c r="N1188" s="1409"/>
      <c r="O1188" s="1408">
        <f>'Configurable Tab'!H36</f>
        <v>477</v>
      </c>
      <c r="P1188" s="18">
        <f>'Configurable Tab'!J36</f>
        <v>0</v>
      </c>
      <c r="Q1188" s="1408" t="s">
        <v>649</v>
      </c>
      <c r="R1188" s="1409" t="s">
        <v>1105</v>
      </c>
      <c r="S1188" s="1408"/>
      <c r="T1188" s="1409" t="str">
        <f t="shared" ref="T1188:T1193" si="236">IF(Q$1188="Yes",34,"")</f>
        <v/>
      </c>
      <c r="U1188" s="1408"/>
      <c r="V1188" s="1408"/>
      <c r="W1188" s="1408"/>
      <c r="X1188" s="1408"/>
      <c r="Y1188" s="1408"/>
      <c r="Z1188" s="1408"/>
      <c r="AA1188" s="1408"/>
    </row>
    <row r="1189" spans="1:27" x14ac:dyDescent="0.25">
      <c r="A1189" s="929" t="s">
        <v>1400</v>
      </c>
      <c r="B1189" s="897" t="str">
        <f ca="1">IFERROR(_xlfn.CONCAT("C",MATCH(A1189,INDIRECT("'"&amp;E1189&amp;"'!C"&amp;$O$1188&amp;":C"&amp;$O$1190),0)+$O$1188-1),"")</f>
        <v>C479</v>
      </c>
      <c r="C1189" s="897" t="str">
        <f ca="1">IFERROR(_xlfn.CONCAT("D",MATCH(A1189,INDIRECT("'"&amp;E1189&amp;"'!C"&amp;$O$1188&amp;":C"&amp;$O$1190),0)+$O$1188-1),"")</f>
        <v>D479</v>
      </c>
      <c r="D1189" s="897" t="s">
        <v>1367</v>
      </c>
      <c r="E1189" s="897" t="s">
        <v>1535</v>
      </c>
      <c r="F1189" s="1409" t="s">
        <v>1400</v>
      </c>
      <c r="G1189" s="1409" t="str">
        <f>IF(T1189&lt;&gt;"","B","")</f>
        <v/>
      </c>
      <c r="H1189" s="1409" t="s">
        <v>1926</v>
      </c>
      <c r="I1189" s="857" t="str">
        <f t="shared" si="230"/>
        <v/>
      </c>
      <c r="J1189" s="1409"/>
      <c r="K1189" s="1409" t="str">
        <f t="shared" si="231"/>
        <v/>
      </c>
      <c r="L1189" s="897" t="s">
        <v>1400</v>
      </c>
      <c r="M1189" s="1410">
        <v>1172</v>
      </c>
      <c r="N1189" s="1409"/>
      <c r="O1189" s="1408" t="s">
        <v>727</v>
      </c>
      <c r="P1189" s="1408"/>
      <c r="Q1189" s="1408"/>
      <c r="R1189" s="1409" t="s">
        <v>1105</v>
      </c>
      <c r="S1189" s="1408"/>
      <c r="T1189" s="1409" t="str">
        <f t="shared" si="236"/>
        <v/>
      </c>
      <c r="U1189" s="1408"/>
      <c r="V1189" s="1408"/>
      <c r="W1189" s="1408"/>
      <c r="X1189" s="1408"/>
      <c r="Y1189" s="1408"/>
      <c r="Z1189" s="1408"/>
      <c r="AA1189" s="1408"/>
    </row>
    <row r="1190" spans="1:27" x14ac:dyDescent="0.25">
      <c r="A1190" s="929" t="s">
        <v>1398</v>
      </c>
      <c r="B1190" s="897" t="str">
        <f ca="1">_xlfn.CONCAT(IFERROR(SUBSTITUTE(ADDRESS(1,MATCH(A1190,INDIRECT("'"&amp;E1190&amp;"'"&amp;"!A" &amp; $O$1188 + 2 &amp; ":Z" &amp; $O$1188 + 2),0),4),1,""),""),$O$1188+ 2)</f>
        <v>J479</v>
      </c>
      <c r="C1190" s="897" t="str">
        <f ca="1">_xlfn.CONCAT(IFERROR(SUBSTITUTE(ADDRESS(1,MATCH(A1190,INDIRECT("'"&amp;E1190&amp;"'"&amp;"!A" &amp; $O$1188 + 2 &amp; ":Z" &amp; $O$1188 + 2),0),4),1,""),""),$O$1188+ 3)</f>
        <v>J480</v>
      </c>
      <c r="D1190" s="897" t="s">
        <v>1367</v>
      </c>
      <c r="E1190" s="897" t="s">
        <v>1535</v>
      </c>
      <c r="F1190" s="1409" t="s">
        <v>1928</v>
      </c>
      <c r="G1190" s="1409" t="str">
        <f>IF(T1190&lt;&gt;"","I","")</f>
        <v/>
      </c>
      <c r="H1190" s="1409" t="s">
        <v>1926</v>
      </c>
      <c r="I1190" s="857" t="str">
        <f t="shared" si="230"/>
        <v/>
      </c>
      <c r="J1190" s="1409" t="str">
        <f t="shared" si="235"/>
        <v/>
      </c>
      <c r="K1190" s="1409" t="str">
        <f t="shared" si="231"/>
        <v/>
      </c>
      <c r="L1190" s="897" t="s">
        <v>1398</v>
      </c>
      <c r="M1190" s="1410">
        <v>1173</v>
      </c>
      <c r="N1190" s="1409"/>
      <c r="O1190" s="1408">
        <f>'Configurable Tab'!I36</f>
        <v>490</v>
      </c>
      <c r="P1190" s="1408"/>
      <c r="Q1190" s="1408"/>
      <c r="R1190" s="1409" t="s">
        <v>1105</v>
      </c>
      <c r="S1190" s="1408"/>
      <c r="T1190" s="1409" t="str">
        <f t="shared" si="236"/>
        <v/>
      </c>
      <c r="U1190" s="1408"/>
      <c r="V1190" s="1408"/>
      <c r="W1190" s="1408"/>
      <c r="X1190" s="1408"/>
      <c r="Y1190" s="1408"/>
      <c r="Z1190" s="1408"/>
      <c r="AA1190" s="1408"/>
    </row>
    <row r="1191" spans="1:27" x14ac:dyDescent="0.25">
      <c r="A1191" s="929" t="s">
        <v>1399</v>
      </c>
      <c r="B1191" s="897" t="str">
        <f ca="1">_xlfn.CONCAT(IFERROR(SUBSTITUTE(ADDRESS(1,MATCH(A1191,INDIRECT("'"&amp;E1191&amp;"'"&amp;"!A" &amp; $O$1188 + 2 &amp; ":Z" &amp; $O$1188 + 2),0),4),1,""),""),$O$1188+ 2)</f>
        <v>N479</v>
      </c>
      <c r="C1191" s="897" t="str">
        <f ca="1">_xlfn.CONCAT(IFERROR(SUBSTITUTE(ADDRESS(1,MATCH(A1191,INDIRECT("'"&amp;E1191&amp;"'"&amp;"!A" &amp; $O$1188 + 2 &amp; ":Z" &amp; $O$1188 + 2),0),4),1,""),""),$O$1188+ 3)</f>
        <v>N480</v>
      </c>
      <c r="D1191" s="897" t="s">
        <v>1367</v>
      </c>
      <c r="E1191" s="897" t="s">
        <v>1535</v>
      </c>
      <c r="F1191" s="1409" t="s">
        <v>1399</v>
      </c>
      <c r="G1191" s="1409" t="str">
        <f>IF(T1191&lt;&gt;"",IF(Q1189="Credit Memo","J",IF(Q1189="Check","K","")),"")</f>
        <v/>
      </c>
      <c r="H1191" s="1409" t="s">
        <v>1926</v>
      </c>
      <c r="I1191" s="857" t="str">
        <f t="shared" si="230"/>
        <v/>
      </c>
      <c r="J1191" s="1409" t="str">
        <f t="shared" si="235"/>
        <v/>
      </c>
      <c r="K1191" s="1409" t="str">
        <f t="shared" si="231"/>
        <v/>
      </c>
      <c r="L1191" s="897" t="s">
        <v>1399</v>
      </c>
      <c r="M1191" s="1410">
        <v>1174</v>
      </c>
      <c r="N1191" s="1409"/>
      <c r="O1191" s="1408" t="s">
        <v>1680</v>
      </c>
      <c r="P1191" s="1408"/>
      <c r="Q1191" s="1408"/>
      <c r="R1191" s="1409" t="s">
        <v>1105</v>
      </c>
      <c r="S1191" s="1408"/>
      <c r="T1191" s="1409" t="str">
        <f t="shared" si="236"/>
        <v/>
      </c>
      <c r="U1191" s="1408"/>
      <c r="V1191" s="1408"/>
      <c r="W1191" s="1408"/>
      <c r="X1191" s="1408"/>
      <c r="Y1191" s="1408"/>
      <c r="Z1191" s="1408"/>
      <c r="AA1191" s="1408"/>
    </row>
    <row r="1192" spans="1:27" x14ac:dyDescent="0.25">
      <c r="A1192" s="929" t="s">
        <v>1402</v>
      </c>
      <c r="B1192" s="897" t="str">
        <f ca="1">IFERROR(_xlfn.CONCAT("C",MATCH(A1192,INDIRECT("'"&amp;E1192&amp;"'!C"&amp;$O$1188&amp;":C"&amp;$O$1190),0)+$O$1188-1),"")</f>
        <v>C483</v>
      </c>
      <c r="C1192" s="897" t="str">
        <f ca="1">IFERROR(_xlfn.CONCAT("D",MATCH(A1192,INDIRECT("'"&amp;E1192&amp;"'!C"&amp;$O$1188&amp;":C"&amp;$O$1190),0)+$O$1188-1),"")</f>
        <v>D483</v>
      </c>
      <c r="D1192" s="897" t="s">
        <v>1367</v>
      </c>
      <c r="E1192" s="897" t="s">
        <v>1535</v>
      </c>
      <c r="F1192" s="1409" t="s">
        <v>1402</v>
      </c>
      <c r="G1192" s="1409" t="str">
        <f>IF(T1192&lt;&gt;"","C","")</f>
        <v/>
      </c>
      <c r="H1192" s="1409" t="s">
        <v>1926</v>
      </c>
      <c r="I1192" s="857" t="str">
        <f t="shared" si="230"/>
        <v/>
      </c>
      <c r="J1192" s="1409"/>
      <c r="K1192" s="1409" t="str">
        <f t="shared" si="231"/>
        <v/>
      </c>
      <c r="L1192" s="897" t="s">
        <v>1402</v>
      </c>
      <c r="M1192" s="1410">
        <v>1175</v>
      </c>
      <c r="N1192" s="1409"/>
      <c r="O1192" s="1408"/>
      <c r="P1192" s="1408"/>
      <c r="Q1192" s="1408"/>
      <c r="R1192" s="1409" t="s">
        <v>1105</v>
      </c>
      <c r="S1192" s="1408"/>
      <c r="T1192" s="1409" t="str">
        <f t="shared" si="236"/>
        <v/>
      </c>
      <c r="U1192" s="1408"/>
      <c r="V1192" s="1408"/>
      <c r="W1192" s="1408"/>
      <c r="X1192" s="1408"/>
      <c r="Y1192" s="1408"/>
      <c r="Z1192" s="1408"/>
      <c r="AA1192" s="1408"/>
    </row>
    <row r="1193" spans="1:27" x14ac:dyDescent="0.25">
      <c r="A1193" s="929" t="s">
        <v>1403</v>
      </c>
      <c r="B1193" s="897" t="str">
        <f ca="1">IFERROR(_xlfn.CONCAT("C",MATCH(A1193,INDIRECT("'"&amp;E1193&amp;"'!C"&amp;$O$1188&amp;":C"&amp;$O$1190),0)+$O$1188-1),"")</f>
        <v>C485</v>
      </c>
      <c r="C1193" s="897" t="str">
        <f ca="1">IFERROR(_xlfn.CONCAT("D",MATCH(A1193,INDIRECT("'"&amp;E1193&amp;"'!C"&amp;$O$1188&amp;":C"&amp;$O$1190),0)+$O$1188-1),"")</f>
        <v>D485</v>
      </c>
      <c r="D1193" s="897" t="s">
        <v>1367</v>
      </c>
      <c r="E1193" s="897" t="s">
        <v>1535</v>
      </c>
      <c r="F1193" s="1409" t="s">
        <v>1403</v>
      </c>
      <c r="G1193" s="1409" t="str">
        <f>IF(T1193&lt;&gt;"","D","")</f>
        <v/>
      </c>
      <c r="H1193" s="1409" t="s">
        <v>1926</v>
      </c>
      <c r="I1193" s="857" t="str">
        <f t="shared" si="230"/>
        <v/>
      </c>
      <c r="J1193" s="1409"/>
      <c r="K1193" s="1409" t="str">
        <f t="shared" si="231"/>
        <v/>
      </c>
      <c r="L1193" s="897" t="s">
        <v>1403</v>
      </c>
      <c r="M1193" s="1410">
        <v>1176</v>
      </c>
      <c r="N1193" s="1409"/>
      <c r="O1193" s="1408"/>
      <c r="P1193" s="1408"/>
      <c r="Q1193" s="1408"/>
      <c r="R1193" s="1409" t="s">
        <v>1105</v>
      </c>
      <c r="S1193" s="1408"/>
      <c r="T1193" s="1409" t="str">
        <f t="shared" si="236"/>
        <v/>
      </c>
      <c r="U1193" s="1408"/>
      <c r="V1193" s="1408"/>
      <c r="W1193" s="1408"/>
      <c r="X1193" s="1408"/>
      <c r="Y1193" s="1408"/>
      <c r="Z1193" s="1408"/>
      <c r="AA1193" s="1408"/>
    </row>
    <row r="1194" spans="1:27" x14ac:dyDescent="0.25">
      <c r="A1194" s="929" t="s">
        <v>1514</v>
      </c>
      <c r="B1194" s="897" t="str">
        <f ca="1">IFERROR(_xlfn.CONCAT("C",MATCH(A1194,INDIRECT("'"&amp;E1194&amp;"'!C"&amp;$O$1188&amp;":C"&amp;$O$1190),0)+$O$1188-1),"")</f>
        <v>C487</v>
      </c>
      <c r="C1194" s="897" t="str">
        <f ca="1">IFERROR(_xlfn.CONCAT("D",MATCH(A1194,INDIRECT("'"&amp;E1194&amp;"'!C"&amp;$O$1188&amp;":C"&amp;$O$1190),0)+$O$1188-1),"")</f>
        <v>D487</v>
      </c>
      <c r="D1194" s="897" t="s">
        <v>1367</v>
      </c>
      <c r="E1194" s="897" t="s">
        <v>1535</v>
      </c>
      <c r="F1194" s="1409" t="s">
        <v>1514</v>
      </c>
      <c r="G1194" s="1409" t="str">
        <f>IF(T1194&lt;&gt;"","AN","")</f>
        <v/>
      </c>
      <c r="H1194" s="1409" t="s">
        <v>1926</v>
      </c>
      <c r="I1194" s="857" t="str">
        <f t="shared" si="230"/>
        <v/>
      </c>
      <c r="J1194" s="1409" t="str">
        <f t="shared" si="235"/>
        <v/>
      </c>
      <c r="K1194" s="1409" t="str">
        <f t="shared" si="231"/>
        <v/>
      </c>
      <c r="L1194" s="897" t="s">
        <v>1514</v>
      </c>
      <c r="M1194" s="1410">
        <v>1177</v>
      </c>
      <c r="N1194" s="1409"/>
      <c r="O1194" s="18"/>
      <c r="P1194" s="1409" t="str" cm="1">
        <f t="array" aca="1" ref="P1194" ca="1">_xlfn.CONCAT("F",RIGHT(B1194, LEN(B1194) - MAX(IF(ISNUMBER(MID(B1194, ROW(INDIRECT("1:"&amp;LEN(B1194))), 1) *1)=FALSE, ROW(INDIRECT("1:"&amp;LEN(B1194))), 0))))</f>
        <v>F487</v>
      </c>
      <c r="Q1194" s="1409" t="str" cm="1">
        <f t="array" aca="1" ref="Q1194" ca="1">_xlfn.CONCAT("E",RIGHT(C1194, LEN(C1194) - MAX(IF(ISNUMBER(MID(C1194, ROW(INDIRECT("1:"&amp;LEN(C1194))), 1) *1)=FALSE, ROW(INDIRECT("1:"&amp;LEN(C1194))), 0))))</f>
        <v>E487</v>
      </c>
      <c r="R1194" s="1409" t="s">
        <v>1105</v>
      </c>
      <c r="S1194" s="1408"/>
      <c r="T1194" s="1409" t="str">
        <f>IF(Q$1188="Yes",34,"")</f>
        <v/>
      </c>
      <c r="U1194" s="1408"/>
      <c r="V1194" s="1408"/>
      <c r="W1194" s="1408"/>
      <c r="X1194" s="1408"/>
      <c r="Y1194" s="1408"/>
      <c r="Z1194" s="1408"/>
      <c r="AA1194" s="1408"/>
    </row>
    <row r="1195" spans="1:27" x14ac:dyDescent="0.25">
      <c r="A1195" s="929" t="s">
        <v>1511</v>
      </c>
      <c r="B1195" s="897" t="str">
        <f ca="1">_xlfn.CONCAT(IFERROR(SUBSTITUTE(ADDRESS(1,MATCH(A1195,INDIRECT("'"&amp;E1195&amp;"'"&amp;"!A" &amp; $O$1188 + 8 &amp; ":Z" &amp; $O$1188 + 8),0),4),1,""),""),$O$1188+ 8)</f>
        <v>H485</v>
      </c>
      <c r="C1195" s="897" t="str">
        <f ca="1">_xlfn.CONCAT(IFERROR(SUBSTITUTE(ADDRESS(1,MATCH(A1195,INDIRECT("'"&amp;E1195&amp;"'"&amp;"!A" &amp; $O$1188 + 8 &amp; ":Z" &amp; $O$1188 + 8),0),4),1,""),""),$O$1188+ 9)</f>
        <v>H486</v>
      </c>
      <c r="D1195" s="897" t="s">
        <v>1367</v>
      </c>
      <c r="E1195" s="897" t="s">
        <v>1535</v>
      </c>
      <c r="F1195" s="1409" t="s">
        <v>1511</v>
      </c>
      <c r="G1195" s="1409" t="str">
        <f>IF(T1195&lt;&gt;"","AL","")</f>
        <v/>
      </c>
      <c r="H1195" s="1409" t="s">
        <v>1926</v>
      </c>
      <c r="I1195" s="857" t="str">
        <f t="shared" si="230"/>
        <v/>
      </c>
      <c r="J1195" s="1409" t="str">
        <f t="shared" si="235"/>
        <v/>
      </c>
      <c r="K1195" s="1409" t="str">
        <f t="shared" si="231"/>
        <v/>
      </c>
      <c r="L1195" s="897" t="s">
        <v>1511</v>
      </c>
      <c r="M1195" s="1410">
        <v>1178</v>
      </c>
      <c r="N1195" s="1409"/>
      <c r="O1195" s="1408"/>
      <c r="P1195" s="1408"/>
      <c r="Q1195" s="1408"/>
      <c r="R1195" s="1409" t="s">
        <v>1105</v>
      </c>
      <c r="S1195" s="1408"/>
      <c r="T1195" s="1409" t="str">
        <f>IF(Q$1188="Yes",34,"")</f>
        <v/>
      </c>
      <c r="U1195" s="1408"/>
      <c r="V1195" s="1408"/>
      <c r="W1195" s="1408"/>
      <c r="X1195" s="1408"/>
      <c r="Y1195" s="1408"/>
      <c r="Z1195" s="1408"/>
      <c r="AA1195" s="1408"/>
    </row>
    <row r="1196" spans="1:27" x14ac:dyDescent="0.25">
      <c r="A1196" s="929" t="s">
        <v>1413</v>
      </c>
      <c r="B1196" s="897" t="str">
        <f ca="1">_xlfn.CONCAT(IFERROR(SUBSTITUTE(ADDRESS(1,MATCH(A1196,INDIRECT("'"&amp;E1196&amp;"'"&amp;"!A" &amp; $O$1188 + 5 &amp; ":Z" &amp; $O$1188 + 5),0),4),1,""),""),$O$1188+ 5)</f>
        <v>H482</v>
      </c>
      <c r="C1196" s="897" t="str">
        <f ca="1">_xlfn.CONCAT(IFERROR(SUBSTITUTE(ADDRESS(1,MATCH(A1196,INDIRECT("'"&amp;E1196&amp;"'"&amp;"!A" &amp; $O$1188 + 5 &amp; ":Z" &amp; $O$1188 + 5),0),4),1,""),""),$O$1188+ 6)</f>
        <v>H483</v>
      </c>
      <c r="D1196" s="897" t="s">
        <v>1367</v>
      </c>
      <c r="E1196" s="897" t="s">
        <v>1535</v>
      </c>
      <c r="F1196" s="1409" t="s">
        <v>1413</v>
      </c>
      <c r="G1196" s="1409" t="str">
        <f>IF(T1196&lt;&gt;"","S","")</f>
        <v/>
      </c>
      <c r="H1196" s="1409" t="s">
        <v>1926</v>
      </c>
      <c r="I1196" s="857" t="str">
        <f t="shared" si="230"/>
        <v/>
      </c>
      <c r="J1196" s="1409" t="str">
        <f t="shared" si="235"/>
        <v/>
      </c>
      <c r="K1196" s="1409" t="str">
        <f t="shared" si="231"/>
        <v/>
      </c>
      <c r="L1196" s="897" t="s">
        <v>1413</v>
      </c>
      <c r="M1196" s="1410">
        <v>1179</v>
      </c>
      <c r="N1196" s="1409"/>
      <c r="O1196" s="1408"/>
      <c r="P1196" s="1408"/>
      <c r="Q1196" s="1408"/>
      <c r="R1196" s="1409" t="s">
        <v>1105</v>
      </c>
      <c r="S1196" s="1408"/>
      <c r="T1196" s="1409" t="str">
        <f>IF(Q$1188="Yes",34,"")</f>
        <v/>
      </c>
      <c r="U1196" s="1408"/>
      <c r="V1196" s="1408"/>
      <c r="W1196" s="1408"/>
      <c r="X1196" s="1408"/>
      <c r="Y1196" s="1408"/>
      <c r="Z1196" s="1408"/>
      <c r="AA1196" s="1408"/>
    </row>
    <row r="1197" spans="1:27" x14ac:dyDescent="0.25">
      <c r="A1197" s="929" t="s">
        <v>1500</v>
      </c>
      <c r="B1197" s="897" t="str">
        <f ca="1">_xlfn.CONCAT(IFERROR(SUBSTITUTE(ADDRESS(1,MATCH(A1197,INDIRECT("'"&amp;E1197&amp;"'"&amp;"!A" &amp; $O$1188 + 5 &amp; ":Z" &amp; $O$1188 + 5),0),4),1,""),""),$O$1188+ 6)</f>
        <v>J483</v>
      </c>
      <c r="C1197" s="897" t="str">
        <f t="shared" ref="C1197:C1211" ca="1" si="237">IFERROR(SUBSTITUTE(ADDRESS(1,MATCH(A1197,INDIRECT("'"&amp;E1197&amp;"'"&amp;"!A" &amp; $O$1188 + 5 &amp; ":Z" &amp; $O$1188 + 5),0),4),1,""),"")</f>
        <v>J</v>
      </c>
      <c r="D1197" s="897" t="s">
        <v>1374</v>
      </c>
      <c r="E1197" s="897" t="s">
        <v>1535</v>
      </c>
      <c r="F1197" s="1424"/>
      <c r="G1197" s="897"/>
      <c r="H1197" s="897"/>
      <c r="I1197" s="857" t="str">
        <f t="shared" si="230"/>
        <v/>
      </c>
      <c r="J1197" s="1409" t="str">
        <f t="shared" si="235"/>
        <v/>
      </c>
      <c r="K1197" s="1409" t="str">
        <f t="shared" si="231"/>
        <v/>
      </c>
      <c r="L1197" s="897" t="s">
        <v>1500</v>
      </c>
      <c r="M1197" s="1410">
        <v>1180</v>
      </c>
      <c r="N1197" s="1409"/>
      <c r="O1197" s="1408"/>
      <c r="P1197" s="1408"/>
      <c r="Q1197" s="1408"/>
      <c r="R1197" s="1409" t="s">
        <v>1105</v>
      </c>
      <c r="S1197" s="1408"/>
      <c r="T1197" s="1408"/>
      <c r="U1197" s="1408"/>
      <c r="V1197" s="1408"/>
      <c r="W1197" s="1408"/>
      <c r="X1197" s="1408"/>
      <c r="Y1197" s="1408"/>
      <c r="Z1197" s="1408"/>
      <c r="AA1197" s="1408"/>
    </row>
    <row r="1198" spans="1:27" x14ac:dyDescent="0.25">
      <c r="A1198" s="929" t="s">
        <v>728</v>
      </c>
      <c r="B1198" s="897" t="str">
        <f ca="1">_xlfn.CONCAT(IFERROR(SUBSTITUTE(ADDRESS(1,MATCH(A1198,INDIRECT("'"&amp;E1198&amp;"'"&amp;"!A" &amp; $O$1188 + 5 &amp; ":Z" &amp; $O$1188 + 5),0),4),1,""),""),$O$1188+ 6)</f>
        <v>L483</v>
      </c>
      <c r="C1198" s="897" t="str">
        <f t="shared" ca="1" si="237"/>
        <v>L</v>
      </c>
      <c r="D1198" s="897" t="s">
        <v>1374</v>
      </c>
      <c r="E1198" s="897" t="s">
        <v>1535</v>
      </c>
      <c r="F1198" s="1424"/>
      <c r="G1198" s="897"/>
      <c r="H1198" s="897"/>
      <c r="I1198" s="857" t="str">
        <f t="shared" si="230"/>
        <v/>
      </c>
      <c r="J1198" s="1409" t="str">
        <f t="shared" si="235"/>
        <v/>
      </c>
      <c r="K1198" s="1409" t="str">
        <f t="shared" si="231"/>
        <v/>
      </c>
      <c r="L1198" s="897" t="s">
        <v>728</v>
      </c>
      <c r="M1198" s="1410">
        <v>1181</v>
      </c>
      <c r="N1198" s="1409"/>
      <c r="O1198" s="1408"/>
      <c r="P1198" s="1408"/>
      <c r="Q1198" s="1408"/>
      <c r="R1198" s="1409" t="s">
        <v>1105</v>
      </c>
      <c r="S1198" s="1408"/>
      <c r="T1198" s="1408"/>
      <c r="U1198" s="1408"/>
      <c r="V1198" s="1408"/>
      <c r="W1198" s="1408"/>
      <c r="X1198" s="1408"/>
      <c r="Y1198" s="1408"/>
      <c r="Z1198" s="1408"/>
      <c r="AA1198" s="1408"/>
    </row>
    <row r="1199" spans="1:27" x14ac:dyDescent="0.25">
      <c r="A1199" s="929" t="s">
        <v>1640</v>
      </c>
      <c r="B1199" s="897" t="str">
        <f ca="1">_xlfn.CONCAT(IFERROR(SUBSTITUTE(ADDRESS(1,MATCH(A1199,INDIRECT("'"&amp;E1199&amp;"'"&amp;"!A" &amp; $O$1188 + 5 &amp; ":Z" &amp; $O$1188 + 5),0),4),1,""),""),$O$1188+ 6)</f>
        <v>N483</v>
      </c>
      <c r="C1199" s="897" t="str">
        <f t="shared" ca="1" si="237"/>
        <v>N</v>
      </c>
      <c r="D1199" s="897" t="s">
        <v>1374</v>
      </c>
      <c r="E1199" s="897" t="s">
        <v>1535</v>
      </c>
      <c r="F1199" s="1424"/>
      <c r="G1199" s="897"/>
      <c r="H1199" s="897"/>
      <c r="I1199" s="857" t="str">
        <f t="shared" si="230"/>
        <v/>
      </c>
      <c r="J1199" s="1409" t="str">
        <f t="shared" si="235"/>
        <v/>
      </c>
      <c r="K1199" s="1409" t="str">
        <f t="shared" si="231"/>
        <v/>
      </c>
      <c r="L1199" s="897" t="s">
        <v>1640</v>
      </c>
      <c r="M1199" s="1410">
        <v>1182</v>
      </c>
      <c r="N1199" s="1409"/>
      <c r="O1199" s="1408"/>
      <c r="P1199" s="1408"/>
      <c r="Q1199" s="1408"/>
      <c r="R1199" s="1409" t="s">
        <v>1105</v>
      </c>
      <c r="S1199" s="1408"/>
      <c r="T1199" s="1408"/>
      <c r="U1199" s="1408"/>
      <c r="V1199" s="1408"/>
      <c r="W1199" s="1408"/>
      <c r="X1199" s="1408"/>
      <c r="Y1199" s="1408"/>
      <c r="Z1199" s="1408"/>
      <c r="AA1199" s="1408"/>
    </row>
    <row r="1200" spans="1:27" x14ac:dyDescent="0.25">
      <c r="A1200" s="929" t="s">
        <v>1500</v>
      </c>
      <c r="B1200" s="897" t="str">
        <f ca="1">_xlfn.CONCAT(IFERROR(SUBSTITUTE(ADDRESS(1,MATCH(A1200,INDIRECT("'"&amp;E1200&amp;"'"&amp;"!A" &amp; $O$1188 + 5 &amp; ":Z" &amp; $O$1188 + 5),0),4),1,""),""),$O$1188+ 7)</f>
        <v>J484</v>
      </c>
      <c r="C1200" s="897" t="str">
        <f t="shared" ca="1" si="237"/>
        <v>J</v>
      </c>
      <c r="D1200" s="897" t="s">
        <v>1374</v>
      </c>
      <c r="E1200" s="897" t="s">
        <v>1535</v>
      </c>
      <c r="F1200" s="897"/>
      <c r="G1200" s="897"/>
      <c r="H1200" s="897"/>
      <c r="I1200" s="857" t="str">
        <f t="shared" si="230"/>
        <v/>
      </c>
      <c r="J1200" s="1409" t="str">
        <f t="shared" si="235"/>
        <v/>
      </c>
      <c r="K1200" s="1409" t="str">
        <f t="shared" si="231"/>
        <v/>
      </c>
      <c r="L1200" s="897" t="s">
        <v>1500</v>
      </c>
      <c r="M1200" s="1410">
        <v>1183</v>
      </c>
      <c r="N1200" s="1409"/>
      <c r="O1200" s="1408"/>
      <c r="P1200" s="1408"/>
      <c r="Q1200" s="1408"/>
      <c r="R1200" s="1409" t="s">
        <v>1105</v>
      </c>
      <c r="S1200" s="1408"/>
      <c r="T1200" s="1408"/>
      <c r="U1200" s="1408"/>
      <c r="V1200" s="1408"/>
      <c r="W1200" s="1408"/>
      <c r="X1200" s="1408"/>
      <c r="Y1200" s="1408"/>
      <c r="Z1200" s="1408"/>
      <c r="AA1200" s="1408"/>
    </row>
    <row r="1201" spans="1:27" x14ac:dyDescent="0.25">
      <c r="A1201" s="929" t="s">
        <v>728</v>
      </c>
      <c r="B1201" s="897" t="str">
        <f ca="1">_xlfn.CONCAT(IFERROR(SUBSTITUTE(ADDRESS(1,MATCH(A1201,INDIRECT("'"&amp;E1201&amp;"'"&amp;"!A" &amp; $O$1188 + 5 &amp; ":Z" &amp; $O$1188 + 5),0),4),1,""),""),$O$1188+ 7)</f>
        <v>L484</v>
      </c>
      <c r="C1201" s="897" t="str">
        <f t="shared" ca="1" si="237"/>
        <v>L</v>
      </c>
      <c r="D1201" s="897" t="s">
        <v>1374</v>
      </c>
      <c r="E1201" s="897" t="s">
        <v>1535</v>
      </c>
      <c r="F1201" s="1424"/>
      <c r="G1201" s="897"/>
      <c r="H1201" s="897"/>
      <c r="I1201" s="857" t="str">
        <f t="shared" si="230"/>
        <v/>
      </c>
      <c r="J1201" s="1409" t="str">
        <f t="shared" si="235"/>
        <v/>
      </c>
      <c r="K1201" s="1409" t="str">
        <f t="shared" si="231"/>
        <v/>
      </c>
      <c r="L1201" s="897" t="s">
        <v>728</v>
      </c>
      <c r="M1201" s="1410">
        <v>1184</v>
      </c>
      <c r="N1201" s="1409"/>
      <c r="O1201" s="1408"/>
      <c r="P1201" s="1408"/>
      <c r="Q1201" s="1408"/>
      <c r="R1201" s="1409" t="s">
        <v>1105</v>
      </c>
      <c r="S1201" s="1408"/>
      <c r="T1201" s="1408"/>
      <c r="U1201" s="1408"/>
      <c r="V1201" s="1408"/>
      <c r="W1201" s="1408"/>
      <c r="X1201" s="1408"/>
      <c r="Y1201" s="1408"/>
      <c r="Z1201" s="1408"/>
      <c r="AA1201" s="1408"/>
    </row>
    <row r="1202" spans="1:27" x14ac:dyDescent="0.25">
      <c r="A1202" s="929" t="s">
        <v>1640</v>
      </c>
      <c r="B1202" s="897" t="str">
        <f ca="1">_xlfn.CONCAT(IFERROR(SUBSTITUTE(ADDRESS(1,MATCH(A1202,INDIRECT("'"&amp;E1202&amp;"'"&amp;"!A" &amp; $O$1188 + 5 &amp; ":Z" &amp; $O$1188 + 5),0),4),1,""),""),$O$1188+ 7)</f>
        <v>N484</v>
      </c>
      <c r="C1202" s="897" t="str">
        <f t="shared" ca="1" si="237"/>
        <v>N</v>
      </c>
      <c r="D1202" s="897" t="s">
        <v>1374</v>
      </c>
      <c r="E1202" s="897" t="s">
        <v>1535</v>
      </c>
      <c r="F1202" s="1424"/>
      <c r="G1202" s="897"/>
      <c r="H1202" s="897"/>
      <c r="I1202" s="857" t="str">
        <f t="shared" si="230"/>
        <v/>
      </c>
      <c r="J1202" s="1409" t="str">
        <f t="shared" si="235"/>
        <v/>
      </c>
      <c r="K1202" s="1409" t="str">
        <f t="shared" si="231"/>
        <v/>
      </c>
      <c r="L1202" s="897" t="s">
        <v>1640</v>
      </c>
      <c r="M1202" s="1410">
        <v>1185</v>
      </c>
      <c r="N1202" s="1409"/>
      <c r="O1202" s="1408"/>
      <c r="P1202" s="1408"/>
      <c r="Q1202" s="1408"/>
      <c r="R1202" s="1409" t="s">
        <v>1105</v>
      </c>
      <c r="S1202" s="1408"/>
      <c r="T1202" s="1408"/>
      <c r="U1202" s="1408"/>
      <c r="V1202" s="1408"/>
      <c r="W1202" s="1408"/>
      <c r="X1202" s="1408"/>
      <c r="Y1202" s="1408"/>
      <c r="Z1202" s="1408"/>
      <c r="AA1202" s="1408"/>
    </row>
    <row r="1203" spans="1:27" x14ac:dyDescent="0.25">
      <c r="A1203" s="929" t="s">
        <v>1500</v>
      </c>
      <c r="B1203" s="897" t="str">
        <f ca="1">_xlfn.CONCAT(IFERROR(SUBSTITUTE(ADDRESS(1,MATCH(A1203,INDIRECT("'"&amp;E1203&amp;"'"&amp;"!A" &amp; $O$1188 + 5 &amp; ":Z" &amp; $O$1188 + 5),0),4),1,""),""),$O$1188+ 8)</f>
        <v>J485</v>
      </c>
      <c r="C1203" s="897" t="str">
        <f t="shared" ca="1" si="237"/>
        <v>J</v>
      </c>
      <c r="D1203" s="897" t="s">
        <v>1374</v>
      </c>
      <c r="E1203" s="897" t="s">
        <v>1535</v>
      </c>
      <c r="F1203" s="1424"/>
      <c r="G1203" s="897"/>
      <c r="H1203" s="897"/>
      <c r="I1203" s="857" t="str">
        <f t="shared" si="230"/>
        <v/>
      </c>
      <c r="J1203" s="1409" t="str">
        <f t="shared" si="235"/>
        <v/>
      </c>
      <c r="K1203" s="1409" t="str">
        <f t="shared" si="231"/>
        <v/>
      </c>
      <c r="L1203" s="897" t="s">
        <v>1500</v>
      </c>
      <c r="M1203" s="1410">
        <v>1186</v>
      </c>
      <c r="N1203" s="1409"/>
      <c r="O1203" s="1408"/>
      <c r="P1203" s="1408"/>
      <c r="Q1203" s="1408"/>
      <c r="R1203" s="1409" t="s">
        <v>1105</v>
      </c>
      <c r="S1203" s="1408"/>
      <c r="T1203" s="1408"/>
      <c r="U1203" s="1408"/>
      <c r="V1203" s="1408"/>
      <c r="W1203" s="1408"/>
      <c r="X1203" s="1408"/>
      <c r="Y1203" s="1408"/>
      <c r="Z1203" s="1408"/>
      <c r="AA1203" s="1408"/>
    </row>
    <row r="1204" spans="1:27" x14ac:dyDescent="0.25">
      <c r="A1204" s="929" t="s">
        <v>728</v>
      </c>
      <c r="B1204" s="897" t="str">
        <f ca="1">_xlfn.CONCAT(IFERROR(SUBSTITUTE(ADDRESS(1,MATCH(A1204,INDIRECT("'"&amp;E1204&amp;"'"&amp;"!A" &amp; $O$1188 + 5 &amp; ":Z" &amp; $O$1188 + 5),0),4),1,""),""),$O$1188+ 8)</f>
        <v>L485</v>
      </c>
      <c r="C1204" s="897" t="str">
        <f t="shared" ca="1" si="237"/>
        <v>L</v>
      </c>
      <c r="D1204" s="897" t="s">
        <v>1374</v>
      </c>
      <c r="E1204" s="897" t="s">
        <v>1535</v>
      </c>
      <c r="F1204" s="897"/>
      <c r="G1204" s="897"/>
      <c r="H1204" s="897"/>
      <c r="I1204" s="857" t="str">
        <f t="shared" si="230"/>
        <v/>
      </c>
      <c r="J1204" s="1409" t="str">
        <f t="shared" si="235"/>
        <v/>
      </c>
      <c r="K1204" s="1409" t="str">
        <f t="shared" si="231"/>
        <v/>
      </c>
      <c r="L1204" s="897" t="s">
        <v>728</v>
      </c>
      <c r="M1204" s="1410">
        <v>1187</v>
      </c>
      <c r="N1204" s="1409"/>
      <c r="O1204" s="1408"/>
      <c r="P1204" s="1408"/>
      <c r="Q1204" s="1408"/>
      <c r="R1204" s="1409" t="s">
        <v>1105</v>
      </c>
      <c r="S1204" s="1408"/>
      <c r="T1204" s="1408"/>
      <c r="U1204" s="1408"/>
      <c r="V1204" s="1408"/>
      <c r="W1204" s="1408"/>
      <c r="X1204" s="1408"/>
      <c r="Y1204" s="1408"/>
      <c r="Z1204" s="1408"/>
      <c r="AA1204" s="1408"/>
    </row>
    <row r="1205" spans="1:27" x14ac:dyDescent="0.25">
      <c r="A1205" s="929" t="s">
        <v>1640</v>
      </c>
      <c r="B1205" s="897" t="str">
        <f ca="1">_xlfn.CONCAT(IFERROR(SUBSTITUTE(ADDRESS(1,MATCH(A1205,INDIRECT("'"&amp;E1205&amp;"'"&amp;"!A" &amp; $O$1188 + 5 &amp; ":Z" &amp; $O$1188 + 5),0),4),1,""),""),$O$1188+ 8)</f>
        <v>N485</v>
      </c>
      <c r="C1205" s="897" t="str">
        <f t="shared" ca="1" si="237"/>
        <v>N</v>
      </c>
      <c r="D1205" s="897" t="s">
        <v>1374</v>
      </c>
      <c r="E1205" s="897" t="s">
        <v>1535</v>
      </c>
      <c r="F1205" s="897"/>
      <c r="G1205" s="897"/>
      <c r="H1205" s="897"/>
      <c r="I1205" s="857" t="str">
        <f t="shared" si="230"/>
        <v/>
      </c>
      <c r="J1205" s="1409" t="str">
        <f t="shared" si="235"/>
        <v/>
      </c>
      <c r="K1205" s="1409" t="str">
        <f t="shared" si="231"/>
        <v/>
      </c>
      <c r="L1205" s="897" t="s">
        <v>1640</v>
      </c>
      <c r="M1205" s="1410">
        <v>1188</v>
      </c>
      <c r="N1205" s="1409"/>
      <c r="O1205" s="1408"/>
      <c r="P1205" s="1408"/>
      <c r="Q1205" s="1408"/>
      <c r="R1205" s="1409" t="s">
        <v>1105</v>
      </c>
      <c r="S1205" s="1408"/>
      <c r="T1205" s="1408"/>
      <c r="U1205" s="1408"/>
      <c r="V1205" s="1408"/>
      <c r="W1205" s="1408"/>
      <c r="X1205" s="1408"/>
      <c r="Y1205" s="1408"/>
      <c r="Z1205" s="1408"/>
      <c r="AA1205" s="1408"/>
    </row>
    <row r="1206" spans="1:27" x14ac:dyDescent="0.25">
      <c r="A1206" s="929" t="s">
        <v>1500</v>
      </c>
      <c r="B1206" s="897" t="str">
        <f ca="1">_xlfn.CONCAT(IFERROR(SUBSTITUTE(ADDRESS(1,MATCH(A1206,INDIRECT("'"&amp;E1206&amp;"'"&amp;"!A" &amp; $O$1188 + 5 &amp; ":Z" &amp; $O$1188 + 5),0),4),1,""),""),$O$1188+ 9)</f>
        <v>J486</v>
      </c>
      <c r="C1206" s="897" t="str">
        <f t="shared" ca="1" si="237"/>
        <v>J</v>
      </c>
      <c r="D1206" s="897" t="s">
        <v>1374</v>
      </c>
      <c r="E1206" s="897" t="s">
        <v>1535</v>
      </c>
      <c r="F1206" s="897"/>
      <c r="G1206" s="897"/>
      <c r="H1206" s="897"/>
      <c r="I1206" s="857" t="str">
        <f t="shared" si="230"/>
        <v/>
      </c>
      <c r="J1206" s="1409" t="str">
        <f t="shared" si="235"/>
        <v/>
      </c>
      <c r="K1206" s="1409" t="str">
        <f t="shared" si="231"/>
        <v/>
      </c>
      <c r="L1206" s="897" t="s">
        <v>1500</v>
      </c>
      <c r="M1206" s="1410">
        <v>1189</v>
      </c>
      <c r="N1206" s="1409"/>
      <c r="O1206" s="1408"/>
      <c r="P1206" s="1408"/>
      <c r="Q1206" s="1408"/>
      <c r="R1206" s="1409" t="s">
        <v>1105</v>
      </c>
      <c r="S1206" s="1408"/>
      <c r="T1206" s="1408"/>
      <c r="U1206" s="1408"/>
      <c r="V1206" s="1408"/>
      <c r="W1206" s="1408"/>
      <c r="X1206" s="1408"/>
      <c r="Y1206" s="1408"/>
      <c r="Z1206" s="1408"/>
      <c r="AA1206" s="1408"/>
    </row>
    <row r="1207" spans="1:27" x14ac:dyDescent="0.25">
      <c r="A1207" s="929" t="s">
        <v>728</v>
      </c>
      <c r="B1207" s="897" t="str">
        <f ca="1">_xlfn.CONCAT(IFERROR(SUBSTITUTE(ADDRESS(1,MATCH(A1207,INDIRECT("'"&amp;E1207&amp;"'"&amp;"!A" &amp; $O$1188 + 5 &amp; ":Z" &amp; $O$1188 + 5),0),4),1,""),""),$O$1188+ 9)</f>
        <v>L486</v>
      </c>
      <c r="C1207" s="897" t="str">
        <f t="shared" ca="1" si="237"/>
        <v>L</v>
      </c>
      <c r="D1207" s="897" t="s">
        <v>1374</v>
      </c>
      <c r="E1207" s="897" t="s">
        <v>1535</v>
      </c>
      <c r="F1207" s="897"/>
      <c r="G1207" s="897"/>
      <c r="H1207" s="897"/>
      <c r="I1207" s="857" t="str">
        <f t="shared" si="230"/>
        <v/>
      </c>
      <c r="J1207" s="1409" t="str">
        <f t="shared" si="235"/>
        <v/>
      </c>
      <c r="K1207" s="1409" t="str">
        <f t="shared" si="231"/>
        <v/>
      </c>
      <c r="L1207" s="897" t="s">
        <v>728</v>
      </c>
      <c r="M1207" s="1410">
        <v>1190</v>
      </c>
      <c r="N1207" s="1409"/>
      <c r="O1207" s="1408"/>
      <c r="P1207" s="1408"/>
      <c r="Q1207" s="1408"/>
      <c r="R1207" s="1409" t="s">
        <v>1105</v>
      </c>
      <c r="S1207" s="1408"/>
      <c r="T1207" s="1408"/>
      <c r="U1207" s="1408"/>
      <c r="V1207" s="1408"/>
      <c r="W1207" s="1408"/>
      <c r="X1207" s="1408"/>
      <c r="Y1207" s="1408"/>
      <c r="Z1207" s="1408"/>
      <c r="AA1207" s="1408"/>
    </row>
    <row r="1208" spans="1:27" x14ac:dyDescent="0.25">
      <c r="A1208" s="929" t="s">
        <v>1640</v>
      </c>
      <c r="B1208" s="897" t="str">
        <f ca="1">_xlfn.CONCAT(IFERROR(SUBSTITUTE(ADDRESS(1,MATCH(A1208,INDIRECT("'"&amp;E1208&amp;"'"&amp;"!A" &amp; $O$1188 + 5 &amp; ":Z" &amp; $O$1188 + 5),0),4),1,""),""),$O$1188+ 9)</f>
        <v>N486</v>
      </c>
      <c r="C1208" s="897" t="str">
        <f t="shared" ca="1" si="237"/>
        <v>N</v>
      </c>
      <c r="D1208" s="897" t="s">
        <v>1374</v>
      </c>
      <c r="E1208" s="897" t="s">
        <v>1535</v>
      </c>
      <c r="F1208" s="897"/>
      <c r="G1208" s="897"/>
      <c r="H1208" s="897"/>
      <c r="I1208" s="857" t="str">
        <f t="shared" si="230"/>
        <v/>
      </c>
      <c r="J1208" s="1409" t="str">
        <f t="shared" si="235"/>
        <v/>
      </c>
      <c r="K1208" s="1409" t="str">
        <f t="shared" si="231"/>
        <v/>
      </c>
      <c r="L1208" s="897" t="s">
        <v>1640</v>
      </c>
      <c r="M1208" s="1410">
        <v>1191</v>
      </c>
      <c r="N1208" s="1409"/>
      <c r="O1208" s="1408"/>
      <c r="P1208" s="1408"/>
      <c r="Q1208" s="1408"/>
      <c r="R1208" s="1409" t="s">
        <v>1105</v>
      </c>
      <c r="S1208" s="1408"/>
      <c r="T1208" s="1408"/>
      <c r="U1208" s="1408"/>
      <c r="V1208" s="1408"/>
      <c r="W1208" s="1408"/>
      <c r="X1208" s="1408"/>
      <c r="Y1208" s="1408"/>
      <c r="Z1208" s="1408"/>
      <c r="AA1208" s="1408"/>
    </row>
    <row r="1209" spans="1:27" x14ac:dyDescent="0.25">
      <c r="A1209" s="929" t="s">
        <v>1500</v>
      </c>
      <c r="B1209" s="897" t="str">
        <f ca="1">_xlfn.CONCAT(IFERROR(SUBSTITUTE(ADDRESS(1,MATCH(A1209,INDIRECT("'"&amp;E1209&amp;"'"&amp;"!A" &amp; $O$1188 + 5 &amp; ":Z" &amp; $O$1188 + 5),0),4),1,""),""),$O$1188+ 10)</f>
        <v>J487</v>
      </c>
      <c r="C1209" s="897" t="str">
        <f t="shared" ca="1" si="237"/>
        <v>J</v>
      </c>
      <c r="D1209" s="897" t="s">
        <v>1374</v>
      </c>
      <c r="E1209" s="897" t="s">
        <v>1535</v>
      </c>
      <c r="F1209" s="897"/>
      <c r="G1209" s="897"/>
      <c r="H1209" s="897"/>
      <c r="I1209" s="857" t="str">
        <f t="shared" si="230"/>
        <v/>
      </c>
      <c r="J1209" s="1409" t="str">
        <f t="shared" si="235"/>
        <v/>
      </c>
      <c r="K1209" s="1409" t="str">
        <f t="shared" si="231"/>
        <v/>
      </c>
      <c r="L1209" s="897" t="s">
        <v>1500</v>
      </c>
      <c r="M1209" s="1410">
        <v>1192</v>
      </c>
      <c r="N1209" s="1409"/>
      <c r="O1209" s="1408"/>
      <c r="P1209" s="1408"/>
      <c r="Q1209" s="1408"/>
      <c r="R1209" s="1409" t="s">
        <v>1105</v>
      </c>
      <c r="S1209" s="1408"/>
      <c r="T1209" s="1408"/>
      <c r="U1209" s="1408"/>
      <c r="V1209" s="1408"/>
      <c r="W1209" s="1408"/>
      <c r="X1209" s="1408"/>
      <c r="Y1209" s="1408"/>
      <c r="Z1209" s="1408"/>
      <c r="AA1209" s="1408"/>
    </row>
    <row r="1210" spans="1:27" x14ac:dyDescent="0.25">
      <c r="A1210" s="929" t="s">
        <v>728</v>
      </c>
      <c r="B1210" s="897" t="str">
        <f ca="1">_xlfn.CONCAT(IFERROR(SUBSTITUTE(ADDRESS(1,MATCH(A1210,INDIRECT("'"&amp;E1210&amp;"'"&amp;"!A" &amp; $O$1188 + 5 &amp; ":Z" &amp; $O$1188 + 5),0),4),1,""),""),$O$1188+ 10)</f>
        <v>L487</v>
      </c>
      <c r="C1210" s="897" t="str">
        <f t="shared" ca="1" si="237"/>
        <v>L</v>
      </c>
      <c r="D1210" s="897" t="s">
        <v>1374</v>
      </c>
      <c r="E1210" s="897" t="s">
        <v>1535</v>
      </c>
      <c r="F1210" s="897"/>
      <c r="G1210" s="897"/>
      <c r="H1210" s="897"/>
      <c r="I1210" s="857" t="str">
        <f t="shared" si="230"/>
        <v/>
      </c>
      <c r="J1210" s="1409" t="str">
        <f t="shared" si="235"/>
        <v/>
      </c>
      <c r="K1210" s="1409" t="str">
        <f t="shared" si="231"/>
        <v/>
      </c>
      <c r="L1210" s="897" t="s">
        <v>728</v>
      </c>
      <c r="M1210" s="1410">
        <v>1193</v>
      </c>
      <c r="N1210" s="1409"/>
      <c r="O1210" s="1408"/>
      <c r="P1210" s="1408"/>
      <c r="Q1210" s="1408"/>
      <c r="R1210" s="1409" t="s">
        <v>1105</v>
      </c>
      <c r="S1210" s="1408"/>
      <c r="T1210" s="1408"/>
      <c r="U1210" s="1408"/>
      <c r="V1210" s="1408"/>
      <c r="W1210" s="1408"/>
      <c r="X1210" s="1408"/>
      <c r="Y1210" s="1408"/>
      <c r="Z1210" s="1408"/>
      <c r="AA1210" s="1408"/>
    </row>
    <row r="1211" spans="1:27" x14ac:dyDescent="0.25">
      <c r="A1211" s="929" t="s">
        <v>1640</v>
      </c>
      <c r="B1211" s="897" t="str">
        <f ca="1">_xlfn.CONCAT(IFERROR(SUBSTITUTE(ADDRESS(1,MATCH(A1211,INDIRECT("'"&amp;E1211&amp;"'"&amp;"!A" &amp; $O$1188 + 5 &amp; ":Z" &amp; $O$1188 + 5),0),4),1,""),""),$O$1188+ 10)</f>
        <v>N487</v>
      </c>
      <c r="C1211" s="897" t="str">
        <f t="shared" ca="1" si="237"/>
        <v>N</v>
      </c>
      <c r="D1211" s="897" t="s">
        <v>1374</v>
      </c>
      <c r="E1211" s="897" t="s">
        <v>1535</v>
      </c>
      <c r="F1211" s="897"/>
      <c r="G1211" s="897"/>
      <c r="H1211" s="897"/>
      <c r="I1211" s="857" t="str">
        <f t="shared" si="230"/>
        <v/>
      </c>
      <c r="J1211" s="1409" t="str">
        <f t="shared" si="235"/>
        <v/>
      </c>
      <c r="K1211" s="1409" t="str">
        <f t="shared" si="231"/>
        <v/>
      </c>
      <c r="L1211" s="897" t="s">
        <v>1640</v>
      </c>
      <c r="M1211" s="1410">
        <v>1194</v>
      </c>
      <c r="N1211" s="1409"/>
      <c r="O1211" s="1408"/>
      <c r="P1211" s="1408"/>
      <c r="Q1211" s="1408"/>
      <c r="R1211" s="1409" t="s">
        <v>1105</v>
      </c>
      <c r="S1211" s="1408"/>
      <c r="T1211" s="1408"/>
      <c r="U1211" s="1408"/>
      <c r="V1211" s="1408"/>
      <c r="W1211" s="1408"/>
      <c r="X1211" s="1408"/>
      <c r="Y1211" s="1408"/>
      <c r="Z1211" s="1408"/>
      <c r="AA1211" s="1408"/>
    </row>
    <row r="1212" spans="1:27" x14ac:dyDescent="0.25">
      <c r="A1212" s="926" t="s">
        <v>1510</v>
      </c>
      <c r="B1212" s="897" t="str">
        <f ca="1">IFERROR(_xlfn.CONCAT("C",MATCH(A1212,INDIRECT("'"&amp;E1212&amp;"'!C"&amp;$O$1213&amp;":C"&amp;$O$1215),0)+$O$1213-1),"")</f>
        <v>C495</v>
      </c>
      <c r="C1212" s="897" t="str">
        <f ca="1">IFERROR(_xlfn.CONCAT("D",MATCH(A1212,INDIRECT("'"&amp;E1212&amp;"'!C"&amp;$O$1213&amp;":C"&amp;$O$1215),0)+$O$1213-1),"")</f>
        <v>D495</v>
      </c>
      <c r="D1212" s="897" t="s">
        <v>1367</v>
      </c>
      <c r="E1212" s="897" t="s">
        <v>1535</v>
      </c>
      <c r="F1212" s="1409" t="s">
        <v>1510</v>
      </c>
      <c r="G1212" s="1409" t="str">
        <f>IF(T1212&lt;&gt;"","A","")</f>
        <v/>
      </c>
      <c r="H1212" s="1409" t="s">
        <v>1926</v>
      </c>
      <c r="I1212" s="857" t="str">
        <f t="shared" si="230"/>
        <v/>
      </c>
      <c r="J1212" s="1409"/>
      <c r="K1212" s="1409" t="str">
        <f t="shared" si="231"/>
        <v/>
      </c>
      <c r="L1212" s="897" t="s">
        <v>1510</v>
      </c>
      <c r="M1212" s="1410">
        <v>1195</v>
      </c>
      <c r="N1212" s="1409"/>
      <c r="O1212" s="1408" t="s">
        <v>726</v>
      </c>
      <c r="P1212" s="18"/>
      <c r="Q1212" s="1408"/>
      <c r="R1212" s="1409" t="s">
        <v>1163</v>
      </c>
      <c r="S1212" s="1408"/>
      <c r="T1212" s="1409" t="str">
        <f>IF(Q$1213="Yes",35,"")</f>
        <v/>
      </c>
      <c r="U1212" s="1408"/>
      <c r="V1212" s="1408"/>
      <c r="W1212" s="1408"/>
      <c r="X1212" s="1408"/>
      <c r="Y1212" s="1408"/>
      <c r="Z1212" s="1408"/>
      <c r="AA1212" s="1408"/>
    </row>
    <row r="1213" spans="1:27" x14ac:dyDescent="0.25">
      <c r="A1213" s="926" t="s">
        <v>1724</v>
      </c>
      <c r="B1213" s="897" t="str">
        <f ca="1">_xlfn.CONCAT(IFERROR(SUBSTITUTE(ADDRESS(1,MATCH(A1213,INDIRECT("'"&amp;E1213&amp;"'"&amp;"!A" &amp; $O$1213 + 9 &amp; ":Z" &amp; $O$1213 + 9),0),4),1,""),""),$O$1213+ 9)</f>
        <v>T500</v>
      </c>
      <c r="C1213" s="897" t="str">
        <f ca="1">_xlfn.CONCAT(IFERROR(SUBSTITUTE(ADDRESS(1,MATCH(A1213,INDIRECT("'"&amp;E1213&amp;"'"&amp;"!A" &amp; $O$1213 + 9 &amp; ":Z" &amp; $O$1213 + 9),0),4),1,""),""),$O$1213+ 10)</f>
        <v>T501</v>
      </c>
      <c r="D1213" s="897" t="s">
        <v>1367</v>
      </c>
      <c r="E1213" s="897" t="s">
        <v>1535</v>
      </c>
      <c r="F1213" s="1409"/>
      <c r="G1213" s="1409"/>
      <c r="H1213" s="1409"/>
      <c r="I1213" s="857" t="str">
        <f t="shared" si="230"/>
        <v/>
      </c>
      <c r="J1213" s="1409" t="str">
        <f t="shared" ref="J1213:J1218" si="238">IF(M1213&lt;&gt;"",IF($Q$1213="Yes",Q$1&amp;M1213,""))</f>
        <v/>
      </c>
      <c r="K1213" s="1409" t="str">
        <f t="shared" si="231"/>
        <v/>
      </c>
      <c r="L1213" s="897" t="s">
        <v>1724</v>
      </c>
      <c r="M1213" s="1410">
        <v>1196</v>
      </c>
      <c r="N1213" s="1409"/>
      <c r="O1213" s="1408">
        <f>'Configurable Tab'!H37</f>
        <v>491</v>
      </c>
      <c r="P1213" s="18">
        <f>'Configurable Tab'!J37</f>
        <v>0</v>
      </c>
      <c r="Q1213" s="1408" t="s">
        <v>649</v>
      </c>
      <c r="R1213" s="1409" t="s">
        <v>1163</v>
      </c>
      <c r="S1213" s="1408"/>
      <c r="T1213" s="1409" t="str">
        <f t="shared" ref="T1213:T1217" si="239">IF(Q$1213="Yes",35,"")</f>
        <v/>
      </c>
      <c r="U1213" s="1408"/>
      <c r="V1213" s="1408"/>
      <c r="W1213" s="1408"/>
      <c r="X1213" s="1408"/>
      <c r="Y1213" s="1408"/>
      <c r="Z1213" s="1408"/>
      <c r="AA1213" s="1408"/>
    </row>
    <row r="1214" spans="1:27" x14ac:dyDescent="0.25">
      <c r="A1214" s="926" t="s">
        <v>1400</v>
      </c>
      <c r="B1214" s="897" t="str">
        <f ca="1">IFERROR(_xlfn.CONCAT("C",MATCH(A1214,INDIRECT("'"&amp;E1214&amp;"'!C"&amp;$O$1213&amp;":C"&amp;$O$1215),0)+$O$1213-1),"")</f>
        <v>C493</v>
      </c>
      <c r="C1214" s="897" t="str">
        <f ca="1">IFERROR(_xlfn.CONCAT("D",MATCH(A1214,INDIRECT("'"&amp;E1214&amp;"'!C"&amp;$O$1213&amp;":C"&amp;$O$1215),0)+$O$1213-1),"")</f>
        <v>D493</v>
      </c>
      <c r="D1214" s="897" t="s">
        <v>1367</v>
      </c>
      <c r="E1214" s="897" t="s">
        <v>1535</v>
      </c>
      <c r="F1214" s="1409" t="s">
        <v>1400</v>
      </c>
      <c r="G1214" s="1409" t="str">
        <f>IF(T1214&lt;&gt;"","B","")</f>
        <v/>
      </c>
      <c r="H1214" s="1409" t="s">
        <v>1926</v>
      </c>
      <c r="I1214" s="857" t="str">
        <f t="shared" si="230"/>
        <v/>
      </c>
      <c r="J1214" s="1409"/>
      <c r="K1214" s="1409" t="str">
        <f t="shared" si="231"/>
        <v/>
      </c>
      <c r="L1214" s="897" t="s">
        <v>1400</v>
      </c>
      <c r="M1214" s="1410">
        <v>1197</v>
      </c>
      <c r="N1214" s="1409"/>
      <c r="O1214" s="1408" t="s">
        <v>727</v>
      </c>
      <c r="P1214" s="1408"/>
      <c r="Q1214" s="1408"/>
      <c r="R1214" s="1409" t="s">
        <v>1163</v>
      </c>
      <c r="S1214" s="1408"/>
      <c r="T1214" s="1409" t="str">
        <f t="shared" si="239"/>
        <v/>
      </c>
      <c r="U1214" s="1408"/>
      <c r="V1214" s="1408"/>
      <c r="W1214" s="1408"/>
      <c r="X1214" s="1408"/>
      <c r="Y1214" s="1408"/>
      <c r="Z1214" s="1408"/>
      <c r="AA1214" s="1408"/>
    </row>
    <row r="1215" spans="1:27" x14ac:dyDescent="0.25">
      <c r="A1215" s="926" t="s">
        <v>1398</v>
      </c>
      <c r="B1215" s="897" t="str">
        <f ca="1">_xlfn.CONCAT(IFERROR(SUBSTITUTE(ADDRESS(1,MATCH(A1215,INDIRECT("'"&amp;E1215&amp;"'"&amp;"!A" &amp; $O$1213 + 2 &amp; ":Z" &amp; $O$1213 + 2),0),4),1,""),""),$O$1213+ 2)</f>
        <v>J493</v>
      </c>
      <c r="C1215" s="897" t="str">
        <f ca="1">_xlfn.CONCAT(IFERROR(SUBSTITUTE(ADDRESS(1,MATCH(A1215,INDIRECT("'"&amp;E1215&amp;"'"&amp;"!A" &amp; $O$1213 + 2 &amp; ":Z" &amp; $O$1213 + 2),0),4),1,""),""),$O$1213+ 3)</f>
        <v>J494</v>
      </c>
      <c r="D1215" s="897" t="s">
        <v>1367</v>
      </c>
      <c r="E1215" s="897" t="s">
        <v>1535</v>
      </c>
      <c r="F1215" s="1409" t="s">
        <v>1928</v>
      </c>
      <c r="G1215" s="1409" t="str">
        <f>IF(T1215&lt;&gt;"","I","")</f>
        <v/>
      </c>
      <c r="H1215" s="1409" t="s">
        <v>1926</v>
      </c>
      <c r="I1215" s="857" t="str">
        <f t="shared" si="230"/>
        <v/>
      </c>
      <c r="J1215" s="1409" t="str">
        <f t="shared" si="238"/>
        <v/>
      </c>
      <c r="K1215" s="1409" t="str">
        <f t="shared" si="231"/>
        <v/>
      </c>
      <c r="L1215" s="897" t="s">
        <v>1398</v>
      </c>
      <c r="M1215" s="1410">
        <v>1198</v>
      </c>
      <c r="N1215" s="1409"/>
      <c r="O1215" s="1408">
        <f>'Configurable Tab'!I37</f>
        <v>502</v>
      </c>
      <c r="P1215" s="1408"/>
      <c r="Q1215" s="1408" t="s">
        <v>482</v>
      </c>
      <c r="R1215" s="1409" t="s">
        <v>1163</v>
      </c>
      <c r="S1215" s="1408"/>
      <c r="T1215" s="1409" t="str">
        <f t="shared" si="239"/>
        <v/>
      </c>
      <c r="U1215" s="1408"/>
      <c r="V1215" s="1408"/>
      <c r="W1215" s="1408"/>
      <c r="X1215" s="1408"/>
      <c r="Y1215" s="1408"/>
      <c r="Z1215" s="1408"/>
      <c r="AA1215" s="1408"/>
    </row>
    <row r="1216" spans="1:27" x14ac:dyDescent="0.25">
      <c r="A1216" s="926" t="s">
        <v>1402</v>
      </c>
      <c r="B1216" s="897" t="str">
        <f ca="1">IFERROR(_xlfn.CONCAT("C",MATCH(A1216,INDIRECT("'"&amp;E1216&amp;"'!C"&amp;$O$1213&amp;":C"&amp;$O$1215),0)+$O$1213-1),"")</f>
        <v>C497</v>
      </c>
      <c r="C1216" s="897" t="str">
        <f ca="1">IFERROR(_xlfn.CONCAT("D",MATCH(A1216,INDIRECT("'"&amp;E1216&amp;"'!C"&amp;$O$1213&amp;":C"&amp;$O$1215),0)+$O$1213-1),"")</f>
        <v>D497</v>
      </c>
      <c r="D1216" s="897" t="s">
        <v>1367</v>
      </c>
      <c r="E1216" s="897" t="s">
        <v>1535</v>
      </c>
      <c r="F1216" s="1409" t="s">
        <v>1402</v>
      </c>
      <c r="G1216" s="1409" t="str">
        <f>IF(T1216&lt;&gt;"","C","")</f>
        <v/>
      </c>
      <c r="H1216" s="1409" t="s">
        <v>1926</v>
      </c>
      <c r="I1216" s="857" t="str">
        <f t="shared" si="230"/>
        <v/>
      </c>
      <c r="J1216" s="1409"/>
      <c r="K1216" s="1409" t="str">
        <f t="shared" si="231"/>
        <v/>
      </c>
      <c r="L1216" s="897" t="s">
        <v>1402</v>
      </c>
      <c r="M1216" s="1410">
        <v>1199</v>
      </c>
      <c r="N1216" s="1409"/>
      <c r="O1216" s="1408" t="s">
        <v>1681</v>
      </c>
      <c r="P1216" s="1408"/>
      <c r="Q1216" s="1408"/>
      <c r="R1216" s="1409" t="s">
        <v>1163</v>
      </c>
      <c r="S1216" s="1408"/>
      <c r="T1216" s="1409" t="str">
        <f t="shared" si="239"/>
        <v/>
      </c>
      <c r="U1216" s="1408"/>
      <c r="V1216" s="1408"/>
      <c r="W1216" s="1408"/>
      <c r="X1216" s="1408"/>
      <c r="Y1216" s="1408"/>
      <c r="Z1216" s="1408"/>
      <c r="AA1216" s="1408"/>
    </row>
    <row r="1217" spans="1:27" x14ac:dyDescent="0.25">
      <c r="A1217" s="926" t="s">
        <v>1403</v>
      </c>
      <c r="B1217" s="897" t="str">
        <f ca="1">IFERROR(_xlfn.CONCAT("C",MATCH(A1217,INDIRECT("'"&amp;E1217&amp;"'!C"&amp;$O$1213&amp;":C"&amp;$O$1215),0)+$O$1213-1),"")</f>
        <v>C499</v>
      </c>
      <c r="C1217" s="897" t="str">
        <f ca="1">IFERROR(_xlfn.CONCAT("D",MATCH(A1217,INDIRECT("'"&amp;E1217&amp;"'!C"&amp;$O$1213&amp;":C"&amp;$O$1215),0)+$O$1213-1),"")</f>
        <v>D499</v>
      </c>
      <c r="D1217" s="897" t="s">
        <v>1367</v>
      </c>
      <c r="E1217" s="897" t="s">
        <v>1535</v>
      </c>
      <c r="F1217" s="1409" t="s">
        <v>1403</v>
      </c>
      <c r="G1217" s="1409" t="str">
        <f>IF(T1217&lt;&gt;"","D","")</f>
        <v/>
      </c>
      <c r="H1217" s="1409" t="s">
        <v>1926</v>
      </c>
      <c r="I1217" s="857" t="str">
        <f t="shared" si="230"/>
        <v/>
      </c>
      <c r="J1217" s="1409"/>
      <c r="K1217" s="1409" t="str">
        <f t="shared" si="231"/>
        <v/>
      </c>
      <c r="L1217" s="897" t="s">
        <v>1403</v>
      </c>
      <c r="M1217" s="1410">
        <v>1200</v>
      </c>
      <c r="N1217" s="1409"/>
      <c r="O1217" s="1408"/>
      <c r="P1217" s="1408"/>
      <c r="Q1217" s="1408"/>
      <c r="R1217" s="1409" t="s">
        <v>1163</v>
      </c>
      <c r="S1217" s="1408"/>
      <c r="T1217" s="1409" t="str">
        <f t="shared" si="239"/>
        <v/>
      </c>
      <c r="U1217" s="1408"/>
      <c r="V1217" s="1408"/>
      <c r="W1217" s="1408"/>
      <c r="X1217" s="1408"/>
      <c r="Y1217" s="1408"/>
      <c r="Z1217" s="1408"/>
      <c r="AA1217" s="1408"/>
    </row>
    <row r="1218" spans="1:27" x14ac:dyDescent="0.25">
      <c r="A1218" s="926" t="s">
        <v>1514</v>
      </c>
      <c r="B1218" s="897" t="str">
        <f ca="1">IFERROR(_xlfn.CONCAT("C",MATCH(A1218,INDIRECT("'"&amp;E1218&amp;"'!C"&amp;$O$1213&amp;":C"&amp;$O$1215),0)+$O$1213-1),"")</f>
        <v>C501</v>
      </c>
      <c r="C1218" s="897" t="str">
        <f ca="1">IFERROR(_xlfn.CONCAT("D",MATCH(A1218,INDIRECT("'"&amp;E1218&amp;"'!C"&amp;$O$1213&amp;":C"&amp;$O$1215),0)+$O$1213-1),"")</f>
        <v>D501</v>
      </c>
      <c r="D1218" s="897" t="s">
        <v>1367</v>
      </c>
      <c r="E1218" s="897" t="s">
        <v>1535</v>
      </c>
      <c r="F1218" s="1409" t="s">
        <v>1514</v>
      </c>
      <c r="G1218" s="1409" t="str">
        <f>IF(T1218&lt;&gt;"","AN","")</f>
        <v/>
      </c>
      <c r="H1218" s="1409" t="s">
        <v>1926</v>
      </c>
      <c r="I1218" s="857" t="str">
        <f t="shared" si="230"/>
        <v/>
      </c>
      <c r="J1218" s="1409" t="str">
        <f t="shared" si="238"/>
        <v/>
      </c>
      <c r="K1218" s="1409" t="str">
        <f t="shared" si="231"/>
        <v/>
      </c>
      <c r="L1218" s="897" t="s">
        <v>1514</v>
      </c>
      <c r="M1218" s="1410">
        <v>1201</v>
      </c>
      <c r="N1218" s="1409"/>
      <c r="O1218" s="18"/>
      <c r="P1218" s="1409" t="str" cm="1">
        <f t="array" aca="1" ref="P1218" ca="1">_xlfn.CONCAT("F",RIGHT(B1218, LEN(B1218) - MAX(IF(ISNUMBER(MID(B1218, ROW(INDIRECT("1:"&amp;LEN(B1218))), 1) *1)=FALSE, ROW(INDIRECT("1:"&amp;LEN(B1218))), 0))))</f>
        <v>F501</v>
      </c>
      <c r="Q1218" s="1409" t="str" cm="1">
        <f t="array" aca="1" ref="Q1218" ca="1">_xlfn.CONCAT("E",RIGHT(C1218, LEN(C1218) - MAX(IF(ISNUMBER(MID(C1218, ROW(INDIRECT("1:"&amp;LEN(C1218))), 1) *1)=FALSE, ROW(INDIRECT("1:"&amp;LEN(C1218))), 0))))</f>
        <v>E501</v>
      </c>
      <c r="R1218" s="1409" t="s">
        <v>1163</v>
      </c>
      <c r="S1218" s="1408"/>
      <c r="T1218" s="1409" t="str">
        <f>IF(Q$1213="Yes",35,"")</f>
        <v/>
      </c>
      <c r="U1218" s="1408"/>
      <c r="V1218" s="1408"/>
      <c r="W1218" s="1408"/>
      <c r="X1218" s="1408"/>
      <c r="Y1218" s="1408"/>
      <c r="Z1218" s="1408"/>
      <c r="AA1218" s="1408"/>
    </row>
    <row r="1219" spans="1:27" x14ac:dyDescent="0.25">
      <c r="A1219" s="926" t="s">
        <v>1406</v>
      </c>
      <c r="B1219" s="897" t="str">
        <f ca="1">_xlfn.CONCAT(IFERROR(SUBSTITUTE(ADDRESS(1,MATCH(A1219,INDIRECT("'"&amp;E1219&amp;"'"&amp;"!A" &amp; $O$1213 + 5 &amp; ":Z" &amp; $O$1213 + 5),0),4),1,""),""),$O$1213+ 5)</f>
        <v>L496</v>
      </c>
      <c r="C1219" s="897" t="str">
        <f ca="1">_xlfn.CONCAT(IFERROR(SUBSTITUTE(ADDRESS(1,MATCH(A1219,INDIRECT("'"&amp;E1219&amp;"'"&amp;"!A" &amp; $O$1213 + 5 &amp; ":Z" &amp; $O$1213 + 5),0),4),1,""),""),$O$1213+ 6)</f>
        <v>L497</v>
      </c>
      <c r="D1219" s="897" t="s">
        <v>1367</v>
      </c>
      <c r="E1219" s="897" t="s">
        <v>1535</v>
      </c>
      <c r="F1219" s="1409" t="s">
        <v>1934</v>
      </c>
      <c r="G1219" s="1409" t="str">
        <f>IF(T1219&lt;&gt;"","T","")</f>
        <v/>
      </c>
      <c r="H1219" s="1409" t="s">
        <v>1926</v>
      </c>
      <c r="I1219" s="857" t="str">
        <f t="shared" si="230"/>
        <v/>
      </c>
      <c r="J1219" s="1409"/>
      <c r="K1219" s="1409" t="str">
        <f t="shared" si="231"/>
        <v/>
      </c>
      <c r="L1219" s="897" t="s">
        <v>1406</v>
      </c>
      <c r="M1219" s="1410">
        <v>1202</v>
      </c>
      <c r="N1219" s="1409"/>
      <c r="O1219" s="1408"/>
      <c r="P1219" s="1408"/>
      <c r="Q1219" s="1408"/>
      <c r="R1219" s="1409" t="s">
        <v>1163</v>
      </c>
      <c r="S1219" s="1408"/>
      <c r="T1219" s="1409" t="str">
        <f>IF(Q$1213="Yes",35,"")</f>
        <v/>
      </c>
      <c r="U1219" s="1408"/>
      <c r="V1219" s="1408"/>
      <c r="W1219" s="1408"/>
      <c r="X1219" s="1408"/>
      <c r="Y1219" s="1408"/>
      <c r="Z1219" s="1408"/>
      <c r="AA1219" s="1408"/>
    </row>
    <row r="1220" spans="1:27" s="1411" customFormat="1" x14ac:dyDescent="0.25">
      <c r="A1220" s="1418" t="s">
        <v>1935</v>
      </c>
      <c r="B1220" s="857" t="str">
        <f>IFERROR(_xlfn.CONCAT("C",MATCH(A1220,Welcome!C$1:C$60,0)),"")</f>
        <v/>
      </c>
      <c r="C1220" s="857" t="str">
        <f>IFERROR(_xlfn.CONCAT("D",MATCH(A1220,Welcome!C$1:C$61,0)),"")</f>
        <v/>
      </c>
      <c r="D1220" s="859" t="s">
        <v>1367</v>
      </c>
      <c r="E1220" s="859" t="s">
        <v>1391</v>
      </c>
      <c r="F1220" s="1418"/>
      <c r="G1220" s="1418"/>
      <c r="H1220" s="1418"/>
      <c r="I1220" s="1418" t="s">
        <v>1935</v>
      </c>
      <c r="J1220" s="1418" t="str">
        <f>Q$1&amp;M159</f>
        <v>F8</v>
      </c>
      <c r="K1220" s="1418" t="str">
        <f t="shared" ref="K1220:K1283" si="240">IF(J1220&lt;&gt;"",E1220,"")</f>
        <v>Welcome</v>
      </c>
      <c r="L1220" s="1418"/>
      <c r="M1220" s="1418"/>
      <c r="N1220" s="1418"/>
    </row>
    <row r="1221" spans="1:27" s="1411" customFormat="1" x14ac:dyDescent="0.25">
      <c r="A1221" s="922" t="s">
        <v>1188</v>
      </c>
      <c r="B1221" s="859" t="str">
        <f ca="1">_xlfn.IFNA(_xlfn.CONCAT(SUBSTITUTE(ADDRESS(1,MATCH(A1221,INDIRECT("'"&amp;E1221&amp;"'"&amp;"!A5:Z5"),0),4),1,""),6),"")</f>
        <v>G6</v>
      </c>
      <c r="C1221" s="859" t="str">
        <f t="shared" ref="C1221:C1240" ca="1" si="241">_xlfn.IFNA(SUBSTITUTE(ADDRESS(1,MATCH(A1221,INDIRECT("'"&amp;E1221&amp;"'"&amp;"!A5:Z5"),0),4),1,""),"")</f>
        <v>G</v>
      </c>
      <c r="D1221" s="1418" t="s">
        <v>1374</v>
      </c>
      <c r="E1221" s="859" t="s">
        <v>874</v>
      </c>
      <c r="F1221" s="1418"/>
      <c r="G1221" s="1418"/>
      <c r="H1221" s="1418"/>
      <c r="I1221" s="857" t="str">
        <f t="shared" ref="I1221:I1282" si="242">IF(J1221&lt;&gt;"",A1221,"")</f>
        <v>Shipping Location Number</v>
      </c>
      <c r="J1221" s="1418" t="str">
        <f>IFERROR(Q$1&amp;M167,"")</f>
        <v>F34</v>
      </c>
      <c r="K1221" s="1418" t="str">
        <f t="shared" si="240"/>
        <v>Customer Inputs</v>
      </c>
      <c r="L1221" s="1418"/>
      <c r="M1221" s="1418"/>
      <c r="N1221" s="1418"/>
      <c r="P1221" s="1418" t="str">
        <f>IFERROR(VLOOKUP(Q$167,'Existing Customers'!$A:$F,1,FALSE),"")</f>
        <v/>
      </c>
    </row>
    <row r="1222" spans="1:27" s="1411" customFormat="1" x14ac:dyDescent="0.25">
      <c r="A1222" s="920" t="s">
        <v>1188</v>
      </c>
      <c r="B1222" s="859" t="str">
        <f ca="1">_xlfn.IFNA(_xlfn.CONCAT(SUBSTITUTE(ADDRESS(1,MATCH(A1222,INDIRECT("'"&amp;E1222&amp;"'"&amp;"!A5:Z5"),0),4),1,""),7),"")</f>
        <v>G7</v>
      </c>
      <c r="C1222" s="859" t="str">
        <f t="shared" ca="1" si="241"/>
        <v>G</v>
      </c>
      <c r="D1222" s="1418" t="s">
        <v>1374</v>
      </c>
      <c r="E1222" s="859" t="s">
        <v>874</v>
      </c>
      <c r="F1222" s="1418"/>
      <c r="G1222" s="1418"/>
      <c r="H1222" s="1418"/>
      <c r="I1222" s="857" t="str">
        <f t="shared" si="242"/>
        <v>Shipping Location Number</v>
      </c>
      <c r="J1222" s="1418" t="str">
        <f>IFERROR(Q$1&amp;M178,"")</f>
        <v>F55</v>
      </c>
      <c r="K1222" s="1418" t="str">
        <f t="shared" si="240"/>
        <v>Customer Inputs</v>
      </c>
      <c r="L1222" s="1418"/>
      <c r="M1222" s="1418"/>
      <c r="N1222" s="1418"/>
      <c r="P1222" s="1418" t="str">
        <f>IFERROR(VLOOKUP(Q$178,'Existing Customers'!$A:$F,1,FALSE),"")</f>
        <v/>
      </c>
    </row>
    <row r="1223" spans="1:27" s="1411" customFormat="1" x14ac:dyDescent="0.25">
      <c r="A1223" s="922" t="s">
        <v>1188</v>
      </c>
      <c r="B1223" s="859" t="str">
        <f ca="1">_xlfn.IFNA(_xlfn.CONCAT(SUBSTITUTE(ADDRESS(1,MATCH(A1223,INDIRECT("'"&amp;E1223&amp;"'"&amp;"!A5:Z5"),0),4),1,""),8),"")</f>
        <v>G8</v>
      </c>
      <c r="C1223" s="859" t="str">
        <f t="shared" ca="1" si="241"/>
        <v>G</v>
      </c>
      <c r="D1223" s="1418" t="s">
        <v>1374</v>
      </c>
      <c r="E1223" s="859" t="s">
        <v>874</v>
      </c>
      <c r="F1223" s="1418"/>
      <c r="G1223" s="1418"/>
      <c r="H1223" s="1418"/>
      <c r="I1223" s="857" t="str">
        <f t="shared" si="242"/>
        <v>Shipping Location Number</v>
      </c>
      <c r="J1223" s="1418" t="str">
        <f>IFERROR(Q$1&amp;M189,"")</f>
        <v>F76</v>
      </c>
      <c r="K1223" s="1418" t="str">
        <f t="shared" si="240"/>
        <v>Customer Inputs</v>
      </c>
      <c r="L1223" s="1418"/>
      <c r="M1223" s="1418"/>
      <c r="N1223" s="1418"/>
      <c r="P1223" s="1418" t="str">
        <f>IFERROR(VLOOKUP(Q$189,'Existing Customers'!$A:$F,1,FALSE),"")</f>
        <v/>
      </c>
    </row>
    <row r="1224" spans="1:27" s="1411" customFormat="1" x14ac:dyDescent="0.25">
      <c r="A1224" s="920" t="s">
        <v>1188</v>
      </c>
      <c r="B1224" s="859" t="str">
        <f ca="1">_xlfn.IFNA(_xlfn.CONCAT(SUBSTITUTE(ADDRESS(1,MATCH(A1224,INDIRECT("'"&amp;E1224&amp;"'"&amp;"!A5:Z5"),0),4),1,""),9),"")</f>
        <v>G9</v>
      </c>
      <c r="C1224" s="859" t="str">
        <f t="shared" ca="1" si="241"/>
        <v>G</v>
      </c>
      <c r="D1224" s="1418" t="s">
        <v>1374</v>
      </c>
      <c r="E1224" s="859" t="s">
        <v>874</v>
      </c>
      <c r="F1224" s="1418"/>
      <c r="G1224" s="1418"/>
      <c r="H1224" s="1418"/>
      <c r="I1224" s="857" t="str">
        <f t="shared" si="242"/>
        <v>Shipping Location Number</v>
      </c>
      <c r="J1224" s="1418" t="str">
        <f>IFERROR(Q$1&amp;M200,"")</f>
        <v>F97</v>
      </c>
      <c r="K1224" s="1418" t="str">
        <f t="shared" si="240"/>
        <v>Customer Inputs</v>
      </c>
      <c r="L1224" s="1418"/>
      <c r="M1224" s="1418"/>
      <c r="N1224" s="1418"/>
      <c r="P1224" s="1418" t="str">
        <f>IFERROR(VLOOKUP(Q$200,'Existing Customers'!$A:$F,1,FALSE),"")</f>
        <v/>
      </c>
    </row>
    <row r="1225" spans="1:27" s="1411" customFormat="1" x14ac:dyDescent="0.25">
      <c r="A1225" s="922" t="s">
        <v>1188</v>
      </c>
      <c r="B1225" s="859" t="str">
        <f ca="1">_xlfn.IFNA(_xlfn.CONCAT(SUBSTITUTE(ADDRESS(1,MATCH(A1225,INDIRECT("'"&amp;E1225&amp;"'"&amp;"!A5:Z5"),0),4),1,""),10),"")</f>
        <v>G10</v>
      </c>
      <c r="C1225" s="859" t="str">
        <f t="shared" ca="1" si="241"/>
        <v>G</v>
      </c>
      <c r="D1225" s="1418" t="s">
        <v>1374</v>
      </c>
      <c r="E1225" s="859" t="s">
        <v>874</v>
      </c>
      <c r="F1225" s="1418"/>
      <c r="G1225" s="1418"/>
      <c r="H1225" s="1418"/>
      <c r="I1225" s="857" t="str">
        <f t="shared" si="242"/>
        <v>Shipping Location Number</v>
      </c>
      <c r="J1225" s="1418" t="str">
        <f>IFERROR(Q$1&amp;M211,"")</f>
        <v>F118</v>
      </c>
      <c r="K1225" s="1418" t="str">
        <f t="shared" si="240"/>
        <v>Customer Inputs</v>
      </c>
      <c r="L1225" s="1418"/>
      <c r="M1225" s="1418"/>
      <c r="N1225" s="1418"/>
      <c r="P1225" s="1418" t="str">
        <f>IFERROR(VLOOKUP(Q$211,'Existing Customers'!$A:$F,1,FALSE),"")</f>
        <v/>
      </c>
    </row>
    <row r="1226" spans="1:27" s="1411" customFormat="1" x14ac:dyDescent="0.25">
      <c r="A1226" s="920" t="s">
        <v>1188</v>
      </c>
      <c r="B1226" s="859" t="str">
        <f ca="1">_xlfn.IFNA(_xlfn.CONCAT(SUBSTITUTE(ADDRESS(1,MATCH(A1226,INDIRECT("'"&amp;E1226&amp;"'"&amp;"!A5:Z5"),0),4),1,""),11),"")</f>
        <v>G11</v>
      </c>
      <c r="C1226" s="859" t="str">
        <f t="shared" ca="1" si="241"/>
        <v>G</v>
      </c>
      <c r="D1226" s="1418" t="s">
        <v>1374</v>
      </c>
      <c r="E1226" s="859" t="s">
        <v>874</v>
      </c>
      <c r="F1226" s="1418"/>
      <c r="G1226" s="1418"/>
      <c r="H1226" s="1418"/>
      <c r="I1226" s="857" t="str">
        <f t="shared" si="242"/>
        <v>Shipping Location Number</v>
      </c>
      <c r="J1226" s="1418" t="str">
        <f>IFERROR(Q$1&amp;M222,"")</f>
        <v>F139</v>
      </c>
      <c r="K1226" s="1418" t="str">
        <f t="shared" si="240"/>
        <v>Customer Inputs</v>
      </c>
      <c r="L1226" s="1418"/>
      <c r="M1226" s="1418"/>
      <c r="N1226" s="1418"/>
      <c r="P1226" s="1418" t="str">
        <f>IFERROR(VLOOKUP(Q$222,'Existing Customers'!$A:$F,1,FALSE),"")</f>
        <v/>
      </c>
    </row>
    <row r="1227" spans="1:27" s="1411" customFormat="1" x14ac:dyDescent="0.25">
      <c r="A1227" s="922" t="s">
        <v>1188</v>
      </c>
      <c r="B1227" s="859" t="str">
        <f ca="1">_xlfn.IFNA(_xlfn.CONCAT(SUBSTITUTE(ADDRESS(1,MATCH(A1227,INDIRECT("'"&amp;E1227&amp;"'"&amp;"!A5:Z5"),0),4),1,""),12),"")</f>
        <v>G12</v>
      </c>
      <c r="C1227" s="859" t="str">
        <f t="shared" ca="1" si="241"/>
        <v>G</v>
      </c>
      <c r="D1227" s="1418" t="s">
        <v>1374</v>
      </c>
      <c r="E1227" s="859" t="s">
        <v>874</v>
      </c>
      <c r="F1227" s="1418"/>
      <c r="G1227" s="1418"/>
      <c r="H1227" s="1418"/>
      <c r="I1227" s="857" t="str">
        <f t="shared" si="242"/>
        <v>Shipping Location Number</v>
      </c>
      <c r="J1227" s="1418" t="str">
        <f>IFERROR(Q$1&amp;M233,"")</f>
        <v>F160</v>
      </c>
      <c r="K1227" s="1418" t="str">
        <f t="shared" si="240"/>
        <v>Customer Inputs</v>
      </c>
      <c r="L1227" s="1418"/>
      <c r="M1227" s="1418"/>
      <c r="N1227" s="1418"/>
      <c r="P1227" s="1418" t="s">
        <v>1100</v>
      </c>
    </row>
    <row r="1228" spans="1:27" s="1411" customFormat="1" x14ac:dyDescent="0.25">
      <c r="A1228" s="920" t="s">
        <v>1188</v>
      </c>
      <c r="B1228" s="859" t="str">
        <f ca="1">_xlfn.IFNA(_xlfn.CONCAT(SUBSTITUTE(ADDRESS(1,MATCH(A1228,INDIRECT("'"&amp;E1228&amp;"'"&amp;"!A5:Z5"),0),4),1,""),13),"")</f>
        <v>G13</v>
      </c>
      <c r="C1228" s="859" t="str">
        <f t="shared" ca="1" si="241"/>
        <v>G</v>
      </c>
      <c r="D1228" s="1418" t="s">
        <v>1374</v>
      </c>
      <c r="E1228" s="859" t="s">
        <v>874</v>
      </c>
      <c r="F1228" s="1418"/>
      <c r="G1228" s="1418"/>
      <c r="H1228" s="1418"/>
      <c r="I1228" s="857" t="str">
        <f t="shared" si="242"/>
        <v>Shipping Location Number</v>
      </c>
      <c r="J1228" s="1418" t="str">
        <f>IFERROR(Q$1&amp;M244,"")</f>
        <v>F181</v>
      </c>
      <c r="K1228" s="1418" t="str">
        <f t="shared" si="240"/>
        <v>Customer Inputs</v>
      </c>
      <c r="L1228" s="1418"/>
      <c r="M1228" s="1418"/>
      <c r="N1228" s="1418"/>
      <c r="P1228" s="1418" t="str">
        <f>IFERROR(VLOOKUP(Q$244,'Existing Customers'!$A:$F,1,FALSE),"")</f>
        <v/>
      </c>
    </row>
    <row r="1229" spans="1:27" s="1411" customFormat="1" x14ac:dyDescent="0.25">
      <c r="A1229" s="922" t="s">
        <v>1188</v>
      </c>
      <c r="B1229" s="859" t="str">
        <f ca="1">_xlfn.IFNA(_xlfn.CONCAT(SUBSTITUTE(ADDRESS(1,MATCH(A1229,INDIRECT("'"&amp;E1229&amp;"'"&amp;"!A5:Z5"),0),4),1,""),14),"")</f>
        <v>G14</v>
      </c>
      <c r="C1229" s="859" t="str">
        <f t="shared" ca="1" si="241"/>
        <v>G</v>
      </c>
      <c r="D1229" s="1418" t="s">
        <v>1374</v>
      </c>
      <c r="E1229" s="859" t="s">
        <v>874</v>
      </c>
      <c r="F1229" s="1418"/>
      <c r="G1229" s="1418"/>
      <c r="H1229" s="1418"/>
      <c r="I1229" s="857" t="str">
        <f t="shared" si="242"/>
        <v>Shipping Location Number</v>
      </c>
      <c r="J1229" s="1418" t="str">
        <f>IFERROR(Q$1&amp;M255,"")</f>
        <v>F202</v>
      </c>
      <c r="K1229" s="1418" t="str">
        <f t="shared" si="240"/>
        <v>Customer Inputs</v>
      </c>
      <c r="L1229" s="1418"/>
      <c r="M1229" s="1418"/>
      <c r="N1229" s="1418"/>
      <c r="P1229" s="1418" t="str">
        <f>IFERROR(VLOOKUP(Q$255,'Existing Customers'!$A:$F,1,FALSE),"")</f>
        <v/>
      </c>
    </row>
    <row r="1230" spans="1:27" s="1411" customFormat="1" x14ac:dyDescent="0.25">
      <c r="A1230" s="920" t="s">
        <v>1188</v>
      </c>
      <c r="B1230" s="859" t="str">
        <f ca="1">_xlfn.IFNA(_xlfn.CONCAT(SUBSTITUTE(ADDRESS(1,MATCH(A1230,INDIRECT("'"&amp;E1230&amp;"'"&amp;"!A5:Z5"),0),4),1,""),15),"")</f>
        <v>G15</v>
      </c>
      <c r="C1230" s="859" t="str">
        <f t="shared" ca="1" si="241"/>
        <v>G</v>
      </c>
      <c r="D1230" s="1418" t="s">
        <v>1374</v>
      </c>
      <c r="E1230" s="859" t="s">
        <v>874</v>
      </c>
      <c r="F1230" s="1418"/>
      <c r="G1230" s="1418"/>
      <c r="H1230" s="1418"/>
      <c r="I1230" s="857" t="str">
        <f t="shared" si="242"/>
        <v>Shipping Location Number</v>
      </c>
      <c r="J1230" s="1418" t="str">
        <f>IFERROR(Q$1&amp;M266,"")</f>
        <v>F223</v>
      </c>
      <c r="K1230" s="1418" t="str">
        <f t="shared" si="240"/>
        <v>Customer Inputs</v>
      </c>
      <c r="L1230" s="1418"/>
      <c r="M1230" s="1418"/>
      <c r="N1230" s="1418"/>
      <c r="P1230" s="1418" t="str">
        <f>IFERROR(VLOOKUP(Q$266,'Existing Customers'!$A:$F,1,FALSE),"")</f>
        <v/>
      </c>
    </row>
    <row r="1231" spans="1:27" s="1411" customFormat="1" x14ac:dyDescent="0.25">
      <c r="A1231" s="923" t="s">
        <v>204</v>
      </c>
      <c r="B1231" s="859" t="str">
        <f t="shared" ref="B1231:B1240" ca="1" si="243">_xlfn.IFNA(_xlfn.CONCAT(SUBSTITUTE(ADDRESS(1,MATCH(A1231,INDIRECT("'"&amp;E1231&amp;"'"&amp;"!A5:Z5"),0),4),1,""),15),"")</f>
        <v>S15</v>
      </c>
      <c r="C1231" s="859" t="str">
        <f t="shared" ca="1" si="241"/>
        <v>S</v>
      </c>
      <c r="D1231" s="1418" t="s">
        <v>1374</v>
      </c>
      <c r="E1231" s="859" t="s">
        <v>874</v>
      </c>
      <c r="F1231" s="1418"/>
      <c r="G1231" s="1418"/>
      <c r="H1231" s="1418"/>
      <c r="I1231" s="857" t="str">
        <f t="shared" si="242"/>
        <v>Zip Code</v>
      </c>
      <c r="J1231" s="1418" t="str">
        <f>IF(P1221="",Q$1&amp;M177,"")</f>
        <v>F54</v>
      </c>
      <c r="K1231" s="1418" t="str">
        <f t="shared" si="240"/>
        <v>Customer Inputs</v>
      </c>
      <c r="L1231" s="1418"/>
      <c r="M1231" s="1418"/>
      <c r="N1231" s="1418"/>
    </row>
    <row r="1232" spans="1:27" s="1411" customFormat="1" x14ac:dyDescent="0.25">
      <c r="A1232" s="920" t="s">
        <v>204</v>
      </c>
      <c r="B1232" s="859" t="str">
        <f t="shared" ca="1" si="243"/>
        <v>S15</v>
      </c>
      <c r="C1232" s="859" t="str">
        <f t="shared" ca="1" si="241"/>
        <v>S</v>
      </c>
      <c r="D1232" s="1418" t="s">
        <v>1374</v>
      </c>
      <c r="E1232" s="859" t="s">
        <v>874</v>
      </c>
      <c r="F1232" s="1418"/>
      <c r="G1232" s="1418"/>
      <c r="H1232" s="1418"/>
      <c r="I1232" s="857" t="str">
        <f t="shared" si="242"/>
        <v>Zip Code</v>
      </c>
      <c r="J1232" s="1418" t="str">
        <f>IF(P1222="",Q$1&amp;M188,"")</f>
        <v>F75</v>
      </c>
      <c r="K1232" s="1418" t="str">
        <f t="shared" si="240"/>
        <v>Customer Inputs</v>
      </c>
      <c r="L1232" s="1418"/>
      <c r="M1232" s="1418"/>
      <c r="N1232" s="1418"/>
    </row>
    <row r="1233" spans="1:14" s="1411" customFormat="1" x14ac:dyDescent="0.25">
      <c r="A1233" s="923" t="s">
        <v>204</v>
      </c>
      <c r="B1233" s="859" t="str">
        <f t="shared" ca="1" si="243"/>
        <v>S15</v>
      </c>
      <c r="C1233" s="859" t="str">
        <f t="shared" ca="1" si="241"/>
        <v>S</v>
      </c>
      <c r="D1233" s="1418" t="s">
        <v>1374</v>
      </c>
      <c r="E1233" s="859" t="s">
        <v>874</v>
      </c>
      <c r="F1233" s="1418"/>
      <c r="G1233" s="1418"/>
      <c r="H1233" s="1418"/>
      <c r="I1233" s="857" t="str">
        <f t="shared" si="242"/>
        <v>Zip Code</v>
      </c>
      <c r="J1233" s="1418" t="str">
        <f>IF(P1223="",Q$1&amp;M199,"")</f>
        <v>F96</v>
      </c>
      <c r="K1233" s="1418" t="str">
        <f t="shared" si="240"/>
        <v>Customer Inputs</v>
      </c>
      <c r="L1233" s="1418"/>
      <c r="M1233" s="1418"/>
      <c r="N1233" s="1418"/>
    </row>
    <row r="1234" spans="1:14" s="1411" customFormat="1" x14ac:dyDescent="0.25">
      <c r="A1234" s="920" t="s">
        <v>204</v>
      </c>
      <c r="B1234" s="859" t="str">
        <f t="shared" ca="1" si="243"/>
        <v>S15</v>
      </c>
      <c r="C1234" s="859" t="str">
        <f t="shared" ca="1" si="241"/>
        <v>S</v>
      </c>
      <c r="D1234" s="1418" t="s">
        <v>1374</v>
      </c>
      <c r="E1234" s="859" t="s">
        <v>874</v>
      </c>
      <c r="F1234" s="1418"/>
      <c r="G1234" s="1418"/>
      <c r="H1234" s="1418"/>
      <c r="I1234" s="857" t="str">
        <f t="shared" si="242"/>
        <v>Zip Code</v>
      </c>
      <c r="J1234" s="1418" t="str">
        <f>IF(P1224="",Q$1&amp;M210,"")</f>
        <v>F117</v>
      </c>
      <c r="K1234" s="1418" t="str">
        <f t="shared" si="240"/>
        <v>Customer Inputs</v>
      </c>
      <c r="L1234" s="1418"/>
      <c r="M1234" s="1418"/>
      <c r="N1234" s="1418"/>
    </row>
    <row r="1235" spans="1:14" s="1411" customFormat="1" x14ac:dyDescent="0.25">
      <c r="A1235" s="923" t="s">
        <v>204</v>
      </c>
      <c r="B1235" s="859" t="str">
        <f t="shared" ca="1" si="243"/>
        <v>S15</v>
      </c>
      <c r="C1235" s="859" t="str">
        <f t="shared" ca="1" si="241"/>
        <v>S</v>
      </c>
      <c r="D1235" s="1418" t="s">
        <v>1374</v>
      </c>
      <c r="E1235" s="859" t="s">
        <v>874</v>
      </c>
      <c r="F1235" s="1418"/>
      <c r="G1235" s="1418"/>
      <c r="H1235" s="1418"/>
      <c r="I1235" s="857" t="str">
        <f t="shared" si="242"/>
        <v>Zip Code</v>
      </c>
      <c r="J1235" s="1418" t="str">
        <f>IF(P1225="",Q$1&amp;M221,"")</f>
        <v>F138</v>
      </c>
      <c r="K1235" s="1418" t="str">
        <f t="shared" si="240"/>
        <v>Customer Inputs</v>
      </c>
      <c r="L1235" s="1418"/>
      <c r="M1235" s="1418"/>
      <c r="N1235" s="1418"/>
    </row>
    <row r="1236" spans="1:14" s="1411" customFormat="1" x14ac:dyDescent="0.25">
      <c r="A1236" s="920" t="s">
        <v>204</v>
      </c>
      <c r="B1236" s="859" t="str">
        <f t="shared" ca="1" si="243"/>
        <v>S15</v>
      </c>
      <c r="C1236" s="859" t="str">
        <f t="shared" ca="1" si="241"/>
        <v>S</v>
      </c>
      <c r="D1236" s="1418" t="s">
        <v>1374</v>
      </c>
      <c r="E1236" s="859" t="s">
        <v>874</v>
      </c>
      <c r="F1236" s="1418"/>
      <c r="G1236" s="1418"/>
      <c r="H1236" s="1418"/>
      <c r="I1236" s="857" t="str">
        <f t="shared" si="242"/>
        <v>Zip Code</v>
      </c>
      <c r="J1236" s="1418" t="str">
        <f>IF(P1226="",Q$1&amp;M232,"")</f>
        <v>F159</v>
      </c>
      <c r="K1236" s="1418" t="str">
        <f t="shared" si="240"/>
        <v>Customer Inputs</v>
      </c>
      <c r="L1236" s="1418"/>
      <c r="M1236" s="1418"/>
      <c r="N1236" s="1418"/>
    </row>
    <row r="1237" spans="1:14" s="1411" customFormat="1" x14ac:dyDescent="0.25">
      <c r="A1237" s="923" t="s">
        <v>204</v>
      </c>
      <c r="B1237" s="859" t="str">
        <f t="shared" ca="1" si="243"/>
        <v>S15</v>
      </c>
      <c r="C1237" s="859" t="str">
        <f t="shared" ca="1" si="241"/>
        <v>S</v>
      </c>
      <c r="D1237" s="1418" t="s">
        <v>1374</v>
      </c>
      <c r="E1237" s="859" t="s">
        <v>874</v>
      </c>
      <c r="F1237" s="1418"/>
      <c r="G1237" s="1418"/>
      <c r="H1237" s="1418"/>
      <c r="I1237" s="857" t="str">
        <f t="shared" si="242"/>
        <v>Zip Code</v>
      </c>
      <c r="J1237" s="1418" t="str">
        <f>IF(P1227="",Q$1&amp;M243,"")</f>
        <v>F180</v>
      </c>
      <c r="K1237" s="1418" t="str">
        <f t="shared" si="240"/>
        <v>Customer Inputs</v>
      </c>
      <c r="L1237" s="1418"/>
      <c r="M1237" s="1418"/>
      <c r="N1237" s="1418"/>
    </row>
    <row r="1238" spans="1:14" s="1411" customFormat="1" x14ac:dyDescent="0.25">
      <c r="A1238" s="920" t="s">
        <v>204</v>
      </c>
      <c r="B1238" s="859" t="str">
        <f t="shared" ca="1" si="243"/>
        <v>S15</v>
      </c>
      <c r="C1238" s="859" t="str">
        <f t="shared" ca="1" si="241"/>
        <v>S</v>
      </c>
      <c r="D1238" s="1418" t="s">
        <v>1374</v>
      </c>
      <c r="E1238" s="859" t="s">
        <v>874</v>
      </c>
      <c r="F1238" s="1418"/>
      <c r="G1238" s="1418"/>
      <c r="H1238" s="1418"/>
      <c r="I1238" s="857" t="str">
        <f t="shared" si="242"/>
        <v>Zip Code</v>
      </c>
      <c r="J1238" s="1418" t="str">
        <f>IF(P1228="",Q$1&amp;M254,"")</f>
        <v>F201</v>
      </c>
      <c r="K1238" s="1418" t="str">
        <f t="shared" si="240"/>
        <v>Customer Inputs</v>
      </c>
      <c r="L1238" s="1418"/>
      <c r="M1238" s="1418"/>
      <c r="N1238" s="1418"/>
    </row>
    <row r="1239" spans="1:14" s="1411" customFormat="1" x14ac:dyDescent="0.25">
      <c r="A1239" s="923" t="s">
        <v>204</v>
      </c>
      <c r="B1239" s="859" t="str">
        <f t="shared" ca="1" si="243"/>
        <v>S15</v>
      </c>
      <c r="C1239" s="859" t="str">
        <f t="shared" ca="1" si="241"/>
        <v>S</v>
      </c>
      <c r="D1239" s="1418" t="s">
        <v>1374</v>
      </c>
      <c r="E1239" s="859" t="s">
        <v>874</v>
      </c>
      <c r="F1239" s="1418"/>
      <c r="G1239" s="1418"/>
      <c r="H1239" s="1418"/>
      <c r="I1239" s="857" t="str">
        <f t="shared" si="242"/>
        <v>Zip Code</v>
      </c>
      <c r="J1239" s="1418" t="str">
        <f>IF(P1229="",Q$1&amp;M265,"")</f>
        <v>F222</v>
      </c>
      <c r="K1239" s="1418" t="str">
        <f t="shared" si="240"/>
        <v>Customer Inputs</v>
      </c>
      <c r="L1239" s="1418"/>
      <c r="M1239" s="1418"/>
      <c r="N1239" s="1418"/>
    </row>
    <row r="1240" spans="1:14" s="1411" customFormat="1" x14ac:dyDescent="0.25">
      <c r="A1240" s="920" t="s">
        <v>204</v>
      </c>
      <c r="B1240" s="859" t="str">
        <f t="shared" ca="1" si="243"/>
        <v>S15</v>
      </c>
      <c r="C1240" s="859" t="str">
        <f t="shared" ca="1" si="241"/>
        <v>S</v>
      </c>
      <c r="D1240" s="1418" t="s">
        <v>1374</v>
      </c>
      <c r="E1240" s="859" t="s">
        <v>874</v>
      </c>
      <c r="F1240" s="1418"/>
      <c r="G1240" s="1418"/>
      <c r="H1240" s="1418"/>
      <c r="I1240" s="857" t="str">
        <f t="shared" si="242"/>
        <v>Zip Code</v>
      </c>
      <c r="J1240" s="1418" t="str">
        <f>IF(P1230="",Q$1&amp;M276,"")</f>
        <v>F243</v>
      </c>
      <c r="K1240" s="1418" t="str">
        <f t="shared" si="240"/>
        <v>Customer Inputs</v>
      </c>
      <c r="L1240" s="1418"/>
      <c r="M1240" s="1418"/>
      <c r="N1240" s="1418"/>
    </row>
    <row r="1241" spans="1:14" s="1411" customFormat="1" x14ac:dyDescent="0.25">
      <c r="A1241" s="926" t="s">
        <v>1257</v>
      </c>
      <c r="B1241" s="857" t="str">
        <f ca="1">_xlfn.CONCAT(IFERROR(SUBSTITUTE(ADDRESS(1,MATCH(A1241,INDIRECT("'"&amp;E1241&amp;"'"&amp;"!A9:Z9"),0),4),1,""),""),10)</f>
        <v>D10</v>
      </c>
      <c r="C1241" s="857" t="str">
        <f ca="1">_xlfn.CONCAT(IFERROR(SUBSTITUTE(ADDRESS(1,MATCH(A1241,INDIRECT("'"&amp;E1241&amp;"'"&amp;"!A9:Z9"),0),4),1,""),""))</f>
        <v>D</v>
      </c>
      <c r="D1241" s="1418" t="s">
        <v>1374</v>
      </c>
      <c r="E1241" s="859" t="s">
        <v>208</v>
      </c>
      <c r="F1241" s="1418"/>
      <c r="G1241" s="1418"/>
      <c r="H1241" s="1418"/>
      <c r="I1241" s="857" t="str">
        <f t="shared" si="242"/>
        <v>Per</v>
      </c>
      <c r="J1241" s="1418" t="str">
        <f>IFERROR(Q$1&amp;M280,"")</f>
        <v>F249</v>
      </c>
      <c r="K1241" s="1418" t="str">
        <f t="shared" si="240"/>
        <v>PIM Model</v>
      </c>
      <c r="L1241" s="1418"/>
      <c r="M1241" s="1418"/>
      <c r="N1241" s="1418"/>
    </row>
    <row r="1242" spans="1:14" s="1411" customFormat="1" x14ac:dyDescent="0.25">
      <c r="A1242" s="929" t="s">
        <v>1257</v>
      </c>
      <c r="B1242" s="857" t="str">
        <f ca="1">_xlfn.CONCAT(IFERROR(SUBSTITUTE(ADDRESS(1,MATCH(A1242,INDIRECT("'"&amp;E1242&amp;"'"&amp;"!A9:Z9"),0),4),1,""),""),11)</f>
        <v>D11</v>
      </c>
      <c r="C1242" s="857" t="str">
        <f t="shared" ref="C1242:C1261" ca="1" si="244">_xlfn.CONCAT(IFERROR(SUBSTITUTE(ADDRESS(1,MATCH(A1242,INDIRECT("'"&amp;E1242&amp;"'"&amp;"!A9:Z9"),0),4),1,""),""))</f>
        <v>D</v>
      </c>
      <c r="D1242" s="1418" t="s">
        <v>1374</v>
      </c>
      <c r="E1242" s="859" t="s">
        <v>208</v>
      </c>
      <c r="F1242" s="1418"/>
      <c r="G1242" s="1418"/>
      <c r="H1242" s="1418"/>
      <c r="I1242" s="857" t="str">
        <f t="shared" si="242"/>
        <v>Per</v>
      </c>
      <c r="J1242" s="1418" t="str">
        <f>IFERROR(Q$1&amp;M292,"")</f>
        <v>F261</v>
      </c>
      <c r="K1242" s="1418" t="str">
        <f t="shared" si="240"/>
        <v>PIM Model</v>
      </c>
      <c r="L1242" s="1418"/>
      <c r="M1242" s="1418"/>
      <c r="N1242" s="1418"/>
    </row>
    <row r="1243" spans="1:14" s="1411" customFormat="1" x14ac:dyDescent="0.25">
      <c r="A1243" s="926" t="s">
        <v>1257</v>
      </c>
      <c r="B1243" s="857" t="str">
        <f ca="1">_xlfn.CONCAT(IFERROR(SUBSTITUTE(ADDRESS(1,MATCH(A1243,INDIRECT("'"&amp;E1243&amp;"'"&amp;"!A9:Z9"),0),4),1,""),""),12)</f>
        <v>D12</v>
      </c>
      <c r="C1243" s="857" t="str">
        <f t="shared" ca="1" si="244"/>
        <v>D</v>
      </c>
      <c r="D1243" s="1418" t="s">
        <v>1374</v>
      </c>
      <c r="E1243" s="859" t="s">
        <v>208</v>
      </c>
      <c r="F1243" s="1418"/>
      <c r="G1243" s="1418"/>
      <c r="H1243" s="1418"/>
      <c r="I1243" s="857" t="str">
        <f t="shared" si="242"/>
        <v>Per</v>
      </c>
      <c r="J1243" s="1418" t="str">
        <f>IFERROR(Q$1&amp;M304,"")</f>
        <v>F273</v>
      </c>
      <c r="K1243" s="1418" t="str">
        <f t="shared" si="240"/>
        <v>PIM Model</v>
      </c>
      <c r="L1243" s="1418"/>
      <c r="M1243" s="1418"/>
      <c r="N1243" s="1418"/>
    </row>
    <row r="1244" spans="1:14" s="1411" customFormat="1" x14ac:dyDescent="0.25">
      <c r="A1244" s="929" t="s">
        <v>1257</v>
      </c>
      <c r="B1244" s="857" t="str">
        <f ca="1">_xlfn.CONCAT(IFERROR(SUBSTITUTE(ADDRESS(1,MATCH(A1244,INDIRECT("'"&amp;E1244&amp;"'"&amp;"!A9:Z9"),0),4),1,""),""),13)</f>
        <v>D13</v>
      </c>
      <c r="C1244" s="857" t="str">
        <f t="shared" ca="1" si="244"/>
        <v>D</v>
      </c>
      <c r="D1244" s="1418" t="s">
        <v>1374</v>
      </c>
      <c r="E1244" s="859" t="s">
        <v>208</v>
      </c>
      <c r="F1244" s="1418"/>
      <c r="G1244" s="1418"/>
      <c r="H1244" s="1418"/>
      <c r="I1244" s="857" t="str">
        <f t="shared" si="242"/>
        <v>Per</v>
      </c>
      <c r="J1244" s="1418" t="str">
        <f>IFERROR(Q$1&amp;M316,"")</f>
        <v>F285</v>
      </c>
      <c r="K1244" s="1418" t="str">
        <f t="shared" si="240"/>
        <v>PIM Model</v>
      </c>
      <c r="L1244" s="1418"/>
      <c r="M1244" s="1418"/>
      <c r="N1244" s="1418"/>
    </row>
    <row r="1245" spans="1:14" s="1411" customFormat="1" x14ac:dyDescent="0.25">
      <c r="A1245" s="926" t="s">
        <v>1257</v>
      </c>
      <c r="B1245" s="857" t="str">
        <f ca="1">_xlfn.CONCAT(IFERROR(SUBSTITUTE(ADDRESS(1,MATCH(A1245,INDIRECT("'"&amp;E1245&amp;"'"&amp;"!A9:Z9"),0),4),1,""),""),14)</f>
        <v>D14</v>
      </c>
      <c r="C1245" s="857" t="str">
        <f t="shared" ca="1" si="244"/>
        <v>D</v>
      </c>
      <c r="D1245" s="1418" t="s">
        <v>1374</v>
      </c>
      <c r="E1245" s="859" t="s">
        <v>208</v>
      </c>
      <c r="F1245" s="1418"/>
      <c r="G1245" s="1418"/>
      <c r="H1245" s="1418"/>
      <c r="I1245" s="857" t="str">
        <f t="shared" si="242"/>
        <v>Per</v>
      </c>
      <c r="J1245" s="1418" t="str">
        <f>IFERROR(Q$1&amp;M328,"")</f>
        <v>F297</v>
      </c>
      <c r="K1245" s="1418" t="str">
        <f t="shared" si="240"/>
        <v>PIM Model</v>
      </c>
      <c r="L1245" s="1418"/>
      <c r="M1245" s="1418"/>
      <c r="N1245" s="1418"/>
    </row>
    <row r="1246" spans="1:14" s="1411" customFormat="1" x14ac:dyDescent="0.25">
      <c r="A1246" s="929" t="s">
        <v>1257</v>
      </c>
      <c r="B1246" s="857" t="str">
        <f ca="1">_xlfn.CONCAT(IFERROR(SUBSTITUTE(ADDRESS(1,MATCH(A1246,INDIRECT("'"&amp;E1246&amp;"'"&amp;"!A9:Z9"),0),4),1,""),""),15)</f>
        <v>D15</v>
      </c>
      <c r="C1246" s="857" t="str">
        <f t="shared" ca="1" si="244"/>
        <v>D</v>
      </c>
      <c r="D1246" s="1418" t="s">
        <v>1374</v>
      </c>
      <c r="E1246" s="859" t="s">
        <v>208</v>
      </c>
      <c r="F1246" s="1418"/>
      <c r="G1246" s="1418"/>
      <c r="H1246" s="1418"/>
      <c r="I1246" s="857" t="str">
        <f t="shared" si="242"/>
        <v>Per</v>
      </c>
      <c r="J1246" s="1418" t="str">
        <f>IFERROR(Q$1&amp;M340,"")</f>
        <v>F309</v>
      </c>
      <c r="K1246" s="1418" t="str">
        <f t="shared" si="240"/>
        <v>PIM Model</v>
      </c>
      <c r="L1246" s="1418"/>
      <c r="M1246" s="1418"/>
      <c r="N1246" s="1418"/>
    </row>
    <row r="1247" spans="1:14" s="1411" customFormat="1" x14ac:dyDescent="0.25">
      <c r="A1247" s="926" t="s">
        <v>1257</v>
      </c>
      <c r="B1247" s="857" t="str">
        <f ca="1">_xlfn.CONCAT(IFERROR(SUBSTITUTE(ADDRESS(1,MATCH(A1247,INDIRECT("'"&amp;E1247&amp;"'"&amp;"!A9:Z9"),0),4),1,""),""),16)</f>
        <v>D16</v>
      </c>
      <c r="C1247" s="857" t="str">
        <f t="shared" ca="1" si="244"/>
        <v>D</v>
      </c>
      <c r="D1247" s="1418" t="s">
        <v>1374</v>
      </c>
      <c r="E1247" s="859" t="s">
        <v>208</v>
      </c>
      <c r="F1247" s="1418"/>
      <c r="G1247" s="1418"/>
      <c r="H1247" s="1418"/>
      <c r="I1247" s="857" t="str">
        <f t="shared" si="242"/>
        <v>Per</v>
      </c>
      <c r="J1247" s="1418" t="str">
        <f>IFERROR(Q$1&amp;M352,"")</f>
        <v>F321</v>
      </c>
      <c r="K1247" s="1418" t="str">
        <f t="shared" si="240"/>
        <v>PIM Model</v>
      </c>
      <c r="L1247" s="1418"/>
      <c r="M1247" s="1418"/>
      <c r="N1247" s="1418"/>
    </row>
    <row r="1248" spans="1:14" s="1411" customFormat="1" x14ac:dyDescent="0.25">
      <c r="A1248" s="929" t="s">
        <v>1257</v>
      </c>
      <c r="B1248" s="857" t="str">
        <f ca="1">_xlfn.CONCAT(IFERROR(SUBSTITUTE(ADDRESS(1,MATCH(A1248,INDIRECT("'"&amp;E1248&amp;"'"&amp;"!A9:Z9"),0),4),1,""),""),17)</f>
        <v>D17</v>
      </c>
      <c r="C1248" s="857" t="str">
        <f t="shared" ca="1" si="244"/>
        <v>D</v>
      </c>
      <c r="D1248" s="1418" t="s">
        <v>1374</v>
      </c>
      <c r="E1248" s="859" t="s">
        <v>208</v>
      </c>
      <c r="F1248" s="1418"/>
      <c r="G1248" s="1418"/>
      <c r="H1248" s="1418"/>
      <c r="I1248" s="857" t="str">
        <f t="shared" si="242"/>
        <v>Per</v>
      </c>
      <c r="J1248" s="1418" t="str">
        <f>IFERROR(Q$1&amp;M364,"")</f>
        <v>F333</v>
      </c>
      <c r="K1248" s="1418" t="str">
        <f t="shared" si="240"/>
        <v>PIM Model</v>
      </c>
      <c r="L1248" s="1418"/>
      <c r="M1248" s="1418"/>
      <c r="N1248" s="1418"/>
    </row>
    <row r="1249" spans="1:14" s="1411" customFormat="1" x14ac:dyDescent="0.25">
      <c r="A1249" s="926" t="s">
        <v>1257</v>
      </c>
      <c r="B1249" s="857" t="str">
        <f ca="1">_xlfn.CONCAT(IFERROR(SUBSTITUTE(ADDRESS(1,MATCH(A1249,INDIRECT("'"&amp;E1249&amp;"'"&amp;"!A9:Z9"),0),4),1,""),""),18)</f>
        <v>D18</v>
      </c>
      <c r="C1249" s="857" t="str">
        <f t="shared" ca="1" si="244"/>
        <v>D</v>
      </c>
      <c r="D1249" s="1418" t="s">
        <v>1374</v>
      </c>
      <c r="E1249" s="859" t="s">
        <v>208</v>
      </c>
      <c r="F1249" s="1418"/>
      <c r="G1249" s="1418"/>
      <c r="H1249" s="1418"/>
      <c r="I1249" s="857" t="str">
        <f t="shared" si="242"/>
        <v>Per</v>
      </c>
      <c r="J1249" s="1418" t="str">
        <f>IFERROR(Q$1&amp;M376,"")</f>
        <v>F345</v>
      </c>
      <c r="K1249" s="1418" t="str">
        <f t="shared" si="240"/>
        <v>PIM Model</v>
      </c>
      <c r="L1249" s="1418"/>
      <c r="M1249" s="1418"/>
      <c r="N1249" s="1418"/>
    </row>
    <row r="1250" spans="1:14" s="1411" customFormat="1" x14ac:dyDescent="0.25">
      <c r="A1250" s="929" t="s">
        <v>1257</v>
      </c>
      <c r="B1250" s="857" t="str">
        <f ca="1">_xlfn.CONCAT(IFERROR(SUBSTITUTE(ADDRESS(1,MATCH(A1250,INDIRECT("'"&amp;E1250&amp;"'"&amp;"!A9:Z9"),0),4),1,""),""),19)</f>
        <v>D19</v>
      </c>
      <c r="C1250" s="857" t="str">
        <f t="shared" ca="1" si="244"/>
        <v>D</v>
      </c>
      <c r="D1250" s="1418" t="s">
        <v>1374</v>
      </c>
      <c r="E1250" s="859" t="s">
        <v>208</v>
      </c>
      <c r="F1250" s="1418"/>
      <c r="G1250" s="1418"/>
      <c r="H1250" s="1418"/>
      <c r="I1250" s="857" t="str">
        <f t="shared" si="242"/>
        <v>Per</v>
      </c>
      <c r="J1250" s="1418" t="str">
        <f>IFERROR(Q$1&amp;M388,"")</f>
        <v>F357</v>
      </c>
      <c r="K1250" s="1418" t="str">
        <f t="shared" si="240"/>
        <v>PIM Model</v>
      </c>
      <c r="L1250" s="1418"/>
      <c r="M1250" s="1418"/>
      <c r="N1250" s="1418"/>
    </row>
    <row r="1251" spans="1:14" s="1411" customFormat="1" x14ac:dyDescent="0.25">
      <c r="A1251" s="926" t="s">
        <v>1257</v>
      </c>
      <c r="B1251" s="857" t="str">
        <f ca="1">_xlfn.CONCAT(IFERROR(SUBSTITUTE(ADDRESS(1,MATCH(A1251,INDIRECT("'"&amp;E1251&amp;"'"&amp;"!A9:Z9"),0),4),1,""),""),20)</f>
        <v>D20</v>
      </c>
      <c r="C1251" s="857" t="str">
        <f t="shared" ca="1" si="244"/>
        <v>D</v>
      </c>
      <c r="D1251" s="1418" t="s">
        <v>1374</v>
      </c>
      <c r="E1251" s="859" t="s">
        <v>208</v>
      </c>
      <c r="F1251" s="1418"/>
      <c r="G1251" s="1418"/>
      <c r="H1251" s="1418"/>
      <c r="I1251" s="857" t="str">
        <f t="shared" si="242"/>
        <v>Per</v>
      </c>
      <c r="J1251" s="1418" t="str">
        <f>IFERROR(Q$1&amp;M400,"")</f>
        <v>F369</v>
      </c>
      <c r="K1251" s="1418" t="str">
        <f t="shared" si="240"/>
        <v>PIM Model</v>
      </c>
      <c r="L1251" s="1418"/>
      <c r="M1251" s="1418"/>
      <c r="N1251" s="1418"/>
    </row>
    <row r="1252" spans="1:14" s="1411" customFormat="1" x14ac:dyDescent="0.25">
      <c r="A1252" s="929" t="s">
        <v>1257</v>
      </c>
      <c r="B1252" s="857" t="str">
        <f ca="1">_xlfn.CONCAT(IFERROR(SUBSTITUTE(ADDRESS(1,MATCH(A1252,INDIRECT("'"&amp;E1252&amp;"'"&amp;"!A9:Z9"),0),4),1,""),""),21)</f>
        <v>D21</v>
      </c>
      <c r="C1252" s="857" t="str">
        <f t="shared" ca="1" si="244"/>
        <v>D</v>
      </c>
      <c r="D1252" s="1418" t="s">
        <v>1374</v>
      </c>
      <c r="E1252" s="859" t="s">
        <v>208</v>
      </c>
      <c r="F1252" s="1418"/>
      <c r="G1252" s="1418"/>
      <c r="H1252" s="1418"/>
      <c r="I1252" s="857" t="str">
        <f t="shared" si="242"/>
        <v>Per</v>
      </c>
      <c r="J1252" s="1418" t="str">
        <f>IFERROR(Q$1&amp;M412,"")</f>
        <v>F381</v>
      </c>
      <c r="K1252" s="1418" t="str">
        <f t="shared" si="240"/>
        <v>PIM Model</v>
      </c>
      <c r="L1252" s="1418"/>
      <c r="M1252" s="1418"/>
      <c r="N1252" s="1418"/>
    </row>
    <row r="1253" spans="1:14" s="1411" customFormat="1" x14ac:dyDescent="0.25">
      <c r="A1253" s="926" t="s">
        <v>1257</v>
      </c>
      <c r="B1253" s="857" t="str">
        <f ca="1">_xlfn.CONCAT(IFERROR(SUBSTITUTE(ADDRESS(1,MATCH(A1253,INDIRECT("'"&amp;E1253&amp;"'"&amp;"!A9:Z9"),0),4),1,""),""),22)</f>
        <v>D22</v>
      </c>
      <c r="C1253" s="857" t="str">
        <f t="shared" ca="1" si="244"/>
        <v>D</v>
      </c>
      <c r="D1253" s="1418" t="s">
        <v>1374</v>
      </c>
      <c r="E1253" s="859" t="s">
        <v>208</v>
      </c>
      <c r="F1253" s="1418"/>
      <c r="G1253" s="1418"/>
      <c r="H1253" s="1418"/>
      <c r="I1253" s="857" t="str">
        <f t="shared" si="242"/>
        <v>Per</v>
      </c>
      <c r="J1253" s="1418" t="str">
        <f>IFERROR(Q$1&amp;M424,"")</f>
        <v>F393</v>
      </c>
      <c r="K1253" s="1418" t="str">
        <f t="shared" si="240"/>
        <v>PIM Model</v>
      </c>
      <c r="L1253" s="1418"/>
      <c r="M1253" s="1418"/>
      <c r="N1253" s="1418"/>
    </row>
    <row r="1254" spans="1:14" s="1411" customFormat="1" x14ac:dyDescent="0.25">
      <c r="A1254" s="929" t="s">
        <v>1257</v>
      </c>
      <c r="B1254" s="857" t="str">
        <f ca="1">_xlfn.CONCAT(IFERROR(SUBSTITUTE(ADDRESS(1,MATCH(A1254,INDIRECT("'"&amp;E1254&amp;"'"&amp;"!A9:Z9"),0),4),1,""),""),23)</f>
        <v>D23</v>
      </c>
      <c r="C1254" s="857" t="str">
        <f t="shared" ca="1" si="244"/>
        <v>D</v>
      </c>
      <c r="D1254" s="1418" t="s">
        <v>1374</v>
      </c>
      <c r="E1254" s="859" t="s">
        <v>208</v>
      </c>
      <c r="F1254" s="1418"/>
      <c r="G1254" s="1418"/>
      <c r="H1254" s="1418"/>
      <c r="I1254" s="857" t="str">
        <f t="shared" si="242"/>
        <v>Per</v>
      </c>
      <c r="J1254" s="1418" t="str">
        <f>IFERROR(Q$1&amp;M436,"")</f>
        <v>F405</v>
      </c>
      <c r="K1254" s="1418" t="str">
        <f t="shared" si="240"/>
        <v>PIM Model</v>
      </c>
      <c r="L1254" s="1418"/>
      <c r="M1254" s="1418"/>
      <c r="N1254" s="1418"/>
    </row>
    <row r="1255" spans="1:14" s="1411" customFormat="1" x14ac:dyDescent="0.25">
      <c r="A1255" s="926" t="s">
        <v>1257</v>
      </c>
      <c r="B1255" s="857" t="str">
        <f ca="1">_xlfn.CONCAT(IFERROR(SUBSTITUTE(ADDRESS(1,MATCH(A1255,INDIRECT("'"&amp;E1255&amp;"'"&amp;"!A9:Z9"),0),4),1,""),""),24)</f>
        <v>D24</v>
      </c>
      <c r="C1255" s="857" t="str">
        <f t="shared" ca="1" si="244"/>
        <v>D</v>
      </c>
      <c r="D1255" s="1418" t="s">
        <v>1374</v>
      </c>
      <c r="E1255" s="859" t="s">
        <v>208</v>
      </c>
      <c r="F1255" s="1418"/>
      <c r="G1255" s="1418"/>
      <c r="H1255" s="1418"/>
      <c r="I1255" s="857" t="str">
        <f t="shared" si="242"/>
        <v>Per</v>
      </c>
      <c r="J1255" s="1418" t="str">
        <f>IFERROR(Q$1&amp;M448,"")</f>
        <v>F417</v>
      </c>
      <c r="K1255" s="1418" t="str">
        <f t="shared" si="240"/>
        <v>PIM Model</v>
      </c>
      <c r="L1255" s="1418"/>
      <c r="M1255" s="1418"/>
      <c r="N1255" s="1418"/>
    </row>
    <row r="1256" spans="1:14" s="1411" customFormat="1" x14ac:dyDescent="0.25">
      <c r="A1256" s="929" t="s">
        <v>1257</v>
      </c>
      <c r="B1256" s="857" t="str">
        <f ca="1">_xlfn.CONCAT(IFERROR(SUBSTITUTE(ADDRESS(1,MATCH(A1256,INDIRECT("'"&amp;E1256&amp;"'"&amp;"!A9:Z9"),0),4),1,""),""),25)</f>
        <v>D25</v>
      </c>
      <c r="C1256" s="857" t="str">
        <f t="shared" ca="1" si="244"/>
        <v>D</v>
      </c>
      <c r="D1256" s="1418" t="s">
        <v>1374</v>
      </c>
      <c r="E1256" s="859" t="s">
        <v>208</v>
      </c>
      <c r="F1256" s="1418"/>
      <c r="G1256" s="1418"/>
      <c r="H1256" s="1418"/>
      <c r="I1256" s="857" t="str">
        <f t="shared" si="242"/>
        <v>Per</v>
      </c>
      <c r="J1256" s="1418" t="str">
        <f>IFERROR(Q$1&amp;M460,"")</f>
        <v>F429</v>
      </c>
      <c r="K1256" s="1418" t="str">
        <f t="shared" si="240"/>
        <v>PIM Model</v>
      </c>
      <c r="L1256" s="1418"/>
      <c r="M1256" s="1418"/>
      <c r="N1256" s="1418"/>
    </row>
    <row r="1257" spans="1:14" s="1411" customFormat="1" x14ac:dyDescent="0.25">
      <c r="A1257" s="926" t="s">
        <v>1257</v>
      </c>
      <c r="B1257" s="857" t="str">
        <f ca="1">_xlfn.CONCAT(IFERROR(SUBSTITUTE(ADDRESS(1,MATCH(A1257,INDIRECT("'"&amp;E1257&amp;"'"&amp;"!A9:Z9"),0),4),1,""),""),26)</f>
        <v>D26</v>
      </c>
      <c r="C1257" s="857" t="str">
        <f t="shared" ca="1" si="244"/>
        <v>D</v>
      </c>
      <c r="D1257" s="1418" t="s">
        <v>1374</v>
      </c>
      <c r="E1257" s="859" t="s">
        <v>208</v>
      </c>
      <c r="F1257" s="1418"/>
      <c r="G1257" s="1418"/>
      <c r="H1257" s="1418"/>
      <c r="I1257" s="857" t="str">
        <f t="shared" si="242"/>
        <v>Per</v>
      </c>
      <c r="J1257" s="1418" t="str">
        <f>IFERROR(Q$1&amp;M472,"")</f>
        <v>F441</v>
      </c>
      <c r="K1257" s="1418" t="str">
        <f t="shared" si="240"/>
        <v>PIM Model</v>
      </c>
      <c r="L1257" s="1418"/>
      <c r="M1257" s="1418"/>
      <c r="N1257" s="1418"/>
    </row>
    <row r="1258" spans="1:14" s="1411" customFormat="1" x14ac:dyDescent="0.25">
      <c r="A1258" s="929" t="s">
        <v>1257</v>
      </c>
      <c r="B1258" s="857" t="str">
        <f ca="1">_xlfn.CONCAT(IFERROR(SUBSTITUTE(ADDRESS(1,MATCH(A1258,INDIRECT("'"&amp;E1258&amp;"'"&amp;"!A9:Z9"),0),4),1,""),""),27)</f>
        <v>D27</v>
      </c>
      <c r="C1258" s="857" t="str">
        <f t="shared" ca="1" si="244"/>
        <v>D</v>
      </c>
      <c r="D1258" s="1418" t="s">
        <v>1374</v>
      </c>
      <c r="E1258" s="859" t="s">
        <v>208</v>
      </c>
      <c r="F1258" s="1418"/>
      <c r="G1258" s="1418"/>
      <c r="H1258" s="1418"/>
      <c r="I1258" s="857" t="str">
        <f t="shared" si="242"/>
        <v>Per</v>
      </c>
      <c r="J1258" s="1418" t="str">
        <f>IFERROR(Q$1&amp;M484,"")</f>
        <v>F453</v>
      </c>
      <c r="K1258" s="1418" t="str">
        <f t="shared" si="240"/>
        <v>PIM Model</v>
      </c>
      <c r="L1258" s="1418"/>
      <c r="M1258" s="1418"/>
      <c r="N1258" s="1418"/>
    </row>
    <row r="1259" spans="1:14" s="1411" customFormat="1" x14ac:dyDescent="0.25">
      <c r="A1259" s="926" t="s">
        <v>1257</v>
      </c>
      <c r="B1259" s="857" t="str">
        <f ca="1">_xlfn.CONCAT(IFERROR(SUBSTITUTE(ADDRESS(1,MATCH(A1259,INDIRECT("'"&amp;E1259&amp;"'"&amp;"!A9:Z9"),0),4),1,""),""),28)</f>
        <v>D28</v>
      </c>
      <c r="C1259" s="857" t="str">
        <f t="shared" ca="1" si="244"/>
        <v>D</v>
      </c>
      <c r="D1259" s="1418" t="s">
        <v>1374</v>
      </c>
      <c r="E1259" s="859" t="s">
        <v>208</v>
      </c>
      <c r="F1259" s="1418"/>
      <c r="G1259" s="1418"/>
      <c r="H1259" s="1418"/>
      <c r="I1259" s="857" t="str">
        <f t="shared" si="242"/>
        <v>Per</v>
      </c>
      <c r="J1259" s="1418" t="str">
        <f>IFERROR(Q$1&amp;M496,"")</f>
        <v>F465</v>
      </c>
      <c r="K1259" s="1418" t="str">
        <f t="shared" si="240"/>
        <v>PIM Model</v>
      </c>
      <c r="L1259" s="1418"/>
      <c r="M1259" s="1418"/>
      <c r="N1259" s="1418"/>
    </row>
    <row r="1260" spans="1:14" s="1411" customFormat="1" x14ac:dyDescent="0.25">
      <c r="A1260" s="929" t="s">
        <v>1257</v>
      </c>
      <c r="B1260" s="857" t="str">
        <f ca="1">_xlfn.CONCAT(IFERROR(SUBSTITUTE(ADDRESS(1,MATCH(A1260,INDIRECT("'"&amp;E1260&amp;"'"&amp;"!A9:Z9"),0),4),1,""),""),29)</f>
        <v>D29</v>
      </c>
      <c r="C1260" s="857" t="str">
        <f t="shared" ca="1" si="244"/>
        <v>D</v>
      </c>
      <c r="D1260" s="1418" t="s">
        <v>1374</v>
      </c>
      <c r="E1260" s="859" t="s">
        <v>208</v>
      </c>
      <c r="F1260" s="1418"/>
      <c r="G1260" s="1418"/>
      <c r="H1260" s="1418"/>
      <c r="I1260" s="857" t="str">
        <f t="shared" si="242"/>
        <v>Per</v>
      </c>
      <c r="J1260" s="1418" t="str">
        <f>IFERROR(Q$1&amp;M508,"")</f>
        <v>F477</v>
      </c>
      <c r="K1260" s="1418" t="str">
        <f t="shared" si="240"/>
        <v>PIM Model</v>
      </c>
      <c r="L1260" s="1418"/>
      <c r="M1260" s="1418"/>
      <c r="N1260" s="1418"/>
    </row>
    <row r="1261" spans="1:14" s="1411" customFormat="1" x14ac:dyDescent="0.25">
      <c r="A1261" s="926" t="s">
        <v>1257</v>
      </c>
      <c r="B1261" s="857" t="str">
        <f ca="1">_xlfn.CONCAT(IFERROR(SUBSTITUTE(ADDRESS(1,MATCH(A1261,INDIRECT("'"&amp;E1261&amp;"'"&amp;"!A9:Z9"),0),4),1,""),""),30)</f>
        <v>D30</v>
      </c>
      <c r="C1261" s="857" t="str">
        <f t="shared" ca="1" si="244"/>
        <v>D</v>
      </c>
      <c r="D1261" s="1418" t="s">
        <v>1374</v>
      </c>
      <c r="E1261" s="859" t="s">
        <v>208</v>
      </c>
      <c r="F1261" s="1418"/>
      <c r="G1261" s="1418"/>
      <c r="H1261" s="1418"/>
      <c r="I1261" s="857" t="str">
        <f t="shared" si="242"/>
        <v>Per</v>
      </c>
      <c r="J1261" s="1418" t="str">
        <f>IFERROR(Q$1&amp;M520,"")</f>
        <v>F489</v>
      </c>
      <c r="K1261" s="1418" t="str">
        <f t="shared" si="240"/>
        <v>PIM Model</v>
      </c>
      <c r="L1261" s="1418"/>
      <c r="M1261" s="1418"/>
      <c r="N1261" s="1418"/>
    </row>
    <row r="1262" spans="1:14" s="1411" customFormat="1" x14ac:dyDescent="0.25">
      <c r="A1262" s="926" t="s">
        <v>225</v>
      </c>
      <c r="B1262" s="857" t="str">
        <f ca="1">_xlfn.CONCAT(IFERROR(SUBSTITUTE(ADDRESS(1,MATCH(A1262,INDIRECT("'"&amp;E1262&amp;"'"&amp;"!A9:Z9"),0),4),1,""),""),10)</f>
        <v>K10</v>
      </c>
      <c r="C1262" s="857" t="str">
        <f ca="1">_xlfn.CONCAT(IFERROR(SUBSTITUTE(ADDRESS(1,MATCH(A1262,INDIRECT("'"&amp;E1262&amp;"'"&amp;"!A9:Z9"),0),4),1,""),""))</f>
        <v>K</v>
      </c>
      <c r="D1262" s="1418" t="s">
        <v>1374</v>
      </c>
      <c r="E1262" s="859" t="s">
        <v>208</v>
      </c>
      <c r="F1262" s="1418"/>
      <c r="G1262" s="1418"/>
      <c r="H1262" s="1418"/>
      <c r="I1262" s="857" t="str">
        <f t="shared" si="242"/>
        <v>Enter Margin</v>
      </c>
      <c r="J1262" s="1418" t="str">
        <f>IFERROR(Q$1&amp;M281,"")</f>
        <v>F250</v>
      </c>
      <c r="K1262" s="1418" t="str">
        <f t="shared" si="240"/>
        <v>PIM Model</v>
      </c>
      <c r="L1262" s="1418"/>
      <c r="M1262" s="1418"/>
      <c r="N1262" s="1418"/>
    </row>
    <row r="1263" spans="1:14" s="1411" customFormat="1" x14ac:dyDescent="0.25">
      <c r="A1263" s="929" t="s">
        <v>225</v>
      </c>
      <c r="B1263" s="857" t="str">
        <f ca="1">_xlfn.CONCAT(IFERROR(SUBSTITUTE(ADDRESS(1,MATCH(A1263,INDIRECT("'"&amp;E1263&amp;"'"&amp;"!A9:Z9"),0),4),1,""),""),11)</f>
        <v>K11</v>
      </c>
      <c r="C1263" s="857" t="str">
        <f t="shared" ref="C1263:C1282" ca="1" si="245">_xlfn.CONCAT(IFERROR(SUBSTITUTE(ADDRESS(1,MATCH(A1263,INDIRECT("'"&amp;E1263&amp;"'"&amp;"!A9:Z9"),0),4),1,""),""))</f>
        <v>K</v>
      </c>
      <c r="D1263" s="1418" t="s">
        <v>1374</v>
      </c>
      <c r="E1263" s="859" t="s">
        <v>208</v>
      </c>
      <c r="F1263" s="1418"/>
      <c r="G1263" s="1418"/>
      <c r="H1263" s="1418"/>
      <c r="I1263" s="857" t="str">
        <f t="shared" si="242"/>
        <v>Enter Margin</v>
      </c>
      <c r="J1263" s="1418" t="str">
        <f>IFERROR(Q$1&amp;M293,"")</f>
        <v>F262</v>
      </c>
      <c r="K1263" s="1418" t="str">
        <f t="shared" si="240"/>
        <v>PIM Model</v>
      </c>
      <c r="L1263" s="1418"/>
      <c r="M1263" s="1418"/>
      <c r="N1263" s="1418"/>
    </row>
    <row r="1264" spans="1:14" s="1411" customFormat="1" x14ac:dyDescent="0.25">
      <c r="A1264" s="926" t="s">
        <v>225</v>
      </c>
      <c r="B1264" s="857" t="str">
        <f ca="1">_xlfn.CONCAT(IFERROR(SUBSTITUTE(ADDRESS(1,MATCH(A1264,INDIRECT("'"&amp;E1264&amp;"'"&amp;"!A9:Z9"),0),4),1,""),""),12)</f>
        <v>K12</v>
      </c>
      <c r="C1264" s="857" t="str">
        <f t="shared" ca="1" si="245"/>
        <v>K</v>
      </c>
      <c r="D1264" s="1418" t="s">
        <v>1374</v>
      </c>
      <c r="E1264" s="859" t="s">
        <v>208</v>
      </c>
      <c r="F1264" s="1418"/>
      <c r="G1264" s="1418"/>
      <c r="H1264" s="1418"/>
      <c r="I1264" s="857" t="str">
        <f t="shared" si="242"/>
        <v>Enter Margin</v>
      </c>
      <c r="J1264" s="1418" t="str">
        <f>IFERROR(Q$1&amp;M305,"")</f>
        <v>F274</v>
      </c>
      <c r="K1264" s="1418" t="str">
        <f t="shared" si="240"/>
        <v>PIM Model</v>
      </c>
      <c r="L1264" s="1418"/>
      <c r="M1264" s="1418"/>
      <c r="N1264" s="1418"/>
    </row>
    <row r="1265" spans="1:14" s="1411" customFormat="1" x14ac:dyDescent="0.25">
      <c r="A1265" s="929" t="s">
        <v>225</v>
      </c>
      <c r="B1265" s="857" t="str">
        <f ca="1">_xlfn.CONCAT(IFERROR(SUBSTITUTE(ADDRESS(1,MATCH(A1265,INDIRECT("'"&amp;E1265&amp;"'"&amp;"!A9:Z9"),0),4),1,""),""),13)</f>
        <v>K13</v>
      </c>
      <c r="C1265" s="857" t="str">
        <f t="shared" ca="1" si="245"/>
        <v>K</v>
      </c>
      <c r="D1265" s="1418" t="s">
        <v>1374</v>
      </c>
      <c r="E1265" s="859" t="s">
        <v>208</v>
      </c>
      <c r="F1265" s="1418"/>
      <c r="G1265" s="1418"/>
      <c r="H1265" s="1418"/>
      <c r="I1265" s="857" t="str">
        <f t="shared" si="242"/>
        <v>Enter Margin</v>
      </c>
      <c r="J1265" s="1418" t="str">
        <f>IFERROR(Q$1&amp;M317,"")</f>
        <v>F286</v>
      </c>
      <c r="K1265" s="1418" t="str">
        <f t="shared" si="240"/>
        <v>PIM Model</v>
      </c>
      <c r="L1265" s="1418"/>
      <c r="M1265" s="1418"/>
      <c r="N1265" s="1418"/>
    </row>
    <row r="1266" spans="1:14" s="1411" customFormat="1" x14ac:dyDescent="0.25">
      <c r="A1266" s="926" t="s">
        <v>225</v>
      </c>
      <c r="B1266" s="857" t="str">
        <f ca="1">_xlfn.CONCAT(IFERROR(SUBSTITUTE(ADDRESS(1,MATCH(A1266,INDIRECT("'"&amp;E1266&amp;"'"&amp;"!A9:Z9"),0),4),1,""),""),14)</f>
        <v>K14</v>
      </c>
      <c r="C1266" s="857" t="str">
        <f t="shared" ca="1" si="245"/>
        <v>K</v>
      </c>
      <c r="D1266" s="1418" t="s">
        <v>1374</v>
      </c>
      <c r="E1266" s="859" t="s">
        <v>208</v>
      </c>
      <c r="F1266" s="1418"/>
      <c r="G1266" s="1418"/>
      <c r="H1266" s="1418"/>
      <c r="I1266" s="857" t="str">
        <f t="shared" si="242"/>
        <v>Enter Margin</v>
      </c>
      <c r="J1266" s="1418" t="str">
        <f>IFERROR(Q$1&amp;M329,"")</f>
        <v>F298</v>
      </c>
      <c r="K1266" s="1418" t="str">
        <f t="shared" si="240"/>
        <v>PIM Model</v>
      </c>
      <c r="L1266" s="1418"/>
      <c r="M1266" s="1418"/>
      <c r="N1266" s="1418"/>
    </row>
    <row r="1267" spans="1:14" s="1411" customFormat="1" x14ac:dyDescent="0.25">
      <c r="A1267" s="929" t="s">
        <v>225</v>
      </c>
      <c r="B1267" s="857" t="str">
        <f ca="1">_xlfn.CONCAT(IFERROR(SUBSTITUTE(ADDRESS(1,MATCH(A1267,INDIRECT("'"&amp;E1267&amp;"'"&amp;"!A9:Z9"),0),4),1,""),""),15)</f>
        <v>K15</v>
      </c>
      <c r="C1267" s="857" t="str">
        <f t="shared" ca="1" si="245"/>
        <v>K</v>
      </c>
      <c r="D1267" s="1418" t="s">
        <v>1374</v>
      </c>
      <c r="E1267" s="859" t="s">
        <v>208</v>
      </c>
      <c r="F1267" s="1418"/>
      <c r="G1267" s="1418"/>
      <c r="H1267" s="1418"/>
      <c r="I1267" s="857" t="str">
        <f t="shared" si="242"/>
        <v>Enter Margin</v>
      </c>
      <c r="J1267" s="1418" t="str">
        <f>IFERROR(Q$1&amp;M341,"")</f>
        <v>F310</v>
      </c>
      <c r="K1267" s="1418" t="str">
        <f t="shared" si="240"/>
        <v>PIM Model</v>
      </c>
      <c r="L1267" s="1418"/>
      <c r="M1267" s="1418"/>
      <c r="N1267" s="1418"/>
    </row>
    <row r="1268" spans="1:14" s="1411" customFormat="1" x14ac:dyDescent="0.25">
      <c r="A1268" s="926" t="s">
        <v>225</v>
      </c>
      <c r="B1268" s="857" t="str">
        <f ca="1">_xlfn.CONCAT(IFERROR(SUBSTITUTE(ADDRESS(1,MATCH(A1268,INDIRECT("'"&amp;E1268&amp;"'"&amp;"!A9:Z9"),0),4),1,""),""),16)</f>
        <v>K16</v>
      </c>
      <c r="C1268" s="857" t="str">
        <f t="shared" ca="1" si="245"/>
        <v>K</v>
      </c>
      <c r="D1268" s="1418" t="s">
        <v>1374</v>
      </c>
      <c r="E1268" s="859" t="s">
        <v>208</v>
      </c>
      <c r="F1268" s="1418"/>
      <c r="G1268" s="1418"/>
      <c r="H1268" s="1418"/>
      <c r="I1268" s="857" t="str">
        <f t="shared" si="242"/>
        <v>Enter Margin</v>
      </c>
      <c r="J1268" s="1418" t="str">
        <f>IFERROR(Q$1&amp;M353,"")</f>
        <v>F322</v>
      </c>
      <c r="K1268" s="1418" t="str">
        <f t="shared" si="240"/>
        <v>PIM Model</v>
      </c>
      <c r="L1268" s="1418"/>
      <c r="M1268" s="1418"/>
      <c r="N1268" s="1418"/>
    </row>
    <row r="1269" spans="1:14" s="1411" customFormat="1" x14ac:dyDescent="0.25">
      <c r="A1269" s="929" t="s">
        <v>225</v>
      </c>
      <c r="B1269" s="857" t="str">
        <f ca="1">_xlfn.CONCAT(IFERROR(SUBSTITUTE(ADDRESS(1,MATCH(A1269,INDIRECT("'"&amp;E1269&amp;"'"&amp;"!A9:Z9"),0),4),1,""),""),17)</f>
        <v>K17</v>
      </c>
      <c r="C1269" s="857" t="str">
        <f t="shared" ca="1" si="245"/>
        <v>K</v>
      </c>
      <c r="D1269" s="1418" t="s">
        <v>1374</v>
      </c>
      <c r="E1269" s="859" t="s">
        <v>208</v>
      </c>
      <c r="F1269" s="1418"/>
      <c r="G1269" s="1418"/>
      <c r="H1269" s="1418"/>
      <c r="I1269" s="857" t="str">
        <f t="shared" si="242"/>
        <v>Enter Margin</v>
      </c>
      <c r="J1269" s="1418" t="str">
        <f>IFERROR(Q$1&amp;M365,"")</f>
        <v>F334</v>
      </c>
      <c r="K1269" s="1418" t="str">
        <f t="shared" si="240"/>
        <v>PIM Model</v>
      </c>
      <c r="L1269" s="1418"/>
      <c r="M1269" s="1418"/>
      <c r="N1269" s="1418"/>
    </row>
    <row r="1270" spans="1:14" s="1411" customFormat="1" x14ac:dyDescent="0.25">
      <c r="A1270" s="926" t="s">
        <v>225</v>
      </c>
      <c r="B1270" s="857" t="str">
        <f ca="1">_xlfn.CONCAT(IFERROR(SUBSTITUTE(ADDRESS(1,MATCH(A1270,INDIRECT("'"&amp;E1270&amp;"'"&amp;"!A9:Z9"),0),4),1,""),""),18)</f>
        <v>K18</v>
      </c>
      <c r="C1270" s="857" t="str">
        <f t="shared" ca="1" si="245"/>
        <v>K</v>
      </c>
      <c r="D1270" s="1418" t="s">
        <v>1374</v>
      </c>
      <c r="E1270" s="859" t="s">
        <v>208</v>
      </c>
      <c r="F1270" s="1418"/>
      <c r="G1270" s="1418"/>
      <c r="H1270" s="1418"/>
      <c r="I1270" s="857" t="str">
        <f t="shared" si="242"/>
        <v>Enter Margin</v>
      </c>
      <c r="J1270" s="1418" t="str">
        <f>IFERROR(Q$1&amp;M377,"")</f>
        <v>F346</v>
      </c>
      <c r="K1270" s="1418" t="str">
        <f t="shared" si="240"/>
        <v>PIM Model</v>
      </c>
      <c r="L1270" s="1418"/>
      <c r="M1270" s="1418"/>
      <c r="N1270" s="1418"/>
    </row>
    <row r="1271" spans="1:14" s="1411" customFormat="1" x14ac:dyDescent="0.25">
      <c r="A1271" s="929" t="s">
        <v>225</v>
      </c>
      <c r="B1271" s="857" t="str">
        <f ca="1">_xlfn.CONCAT(IFERROR(SUBSTITUTE(ADDRESS(1,MATCH(A1271,INDIRECT("'"&amp;E1271&amp;"'"&amp;"!A9:Z9"),0),4),1,""),""),19)</f>
        <v>K19</v>
      </c>
      <c r="C1271" s="857" t="str">
        <f t="shared" ca="1" si="245"/>
        <v>K</v>
      </c>
      <c r="D1271" s="1418" t="s">
        <v>1374</v>
      </c>
      <c r="E1271" s="859" t="s">
        <v>208</v>
      </c>
      <c r="F1271" s="1418"/>
      <c r="G1271" s="1418"/>
      <c r="H1271" s="1418"/>
      <c r="I1271" s="857" t="str">
        <f t="shared" si="242"/>
        <v>Enter Margin</v>
      </c>
      <c r="J1271" s="1418" t="str">
        <f>IFERROR(Q$1&amp;M389,"")</f>
        <v>F358</v>
      </c>
      <c r="K1271" s="1418" t="str">
        <f t="shared" si="240"/>
        <v>PIM Model</v>
      </c>
      <c r="L1271" s="1418"/>
      <c r="M1271" s="1418"/>
      <c r="N1271" s="1418"/>
    </row>
    <row r="1272" spans="1:14" s="1411" customFormat="1" x14ac:dyDescent="0.25">
      <c r="A1272" s="926" t="s">
        <v>225</v>
      </c>
      <c r="B1272" s="857" t="str">
        <f ca="1">_xlfn.CONCAT(IFERROR(SUBSTITUTE(ADDRESS(1,MATCH(A1272,INDIRECT("'"&amp;E1272&amp;"'"&amp;"!A9:Z9"),0),4),1,""),""),20)</f>
        <v>K20</v>
      </c>
      <c r="C1272" s="857" t="str">
        <f t="shared" ca="1" si="245"/>
        <v>K</v>
      </c>
      <c r="D1272" s="1418" t="s">
        <v>1374</v>
      </c>
      <c r="E1272" s="859" t="s">
        <v>208</v>
      </c>
      <c r="F1272" s="1418"/>
      <c r="G1272" s="1418"/>
      <c r="H1272" s="1418"/>
      <c r="I1272" s="857" t="str">
        <f t="shared" si="242"/>
        <v>Enter Margin</v>
      </c>
      <c r="J1272" s="1418" t="str">
        <f>IFERROR(Q$1&amp;M401,"")</f>
        <v>F370</v>
      </c>
      <c r="K1272" s="1418" t="str">
        <f t="shared" si="240"/>
        <v>PIM Model</v>
      </c>
      <c r="L1272" s="1418"/>
      <c r="M1272" s="1418"/>
      <c r="N1272" s="1418"/>
    </row>
    <row r="1273" spans="1:14" s="1411" customFormat="1" x14ac:dyDescent="0.25">
      <c r="A1273" s="929" t="s">
        <v>225</v>
      </c>
      <c r="B1273" s="857" t="str">
        <f ca="1">_xlfn.CONCAT(IFERROR(SUBSTITUTE(ADDRESS(1,MATCH(A1273,INDIRECT("'"&amp;E1273&amp;"'"&amp;"!A9:Z9"),0),4),1,""),""),21)</f>
        <v>K21</v>
      </c>
      <c r="C1273" s="857" t="str">
        <f t="shared" ca="1" si="245"/>
        <v>K</v>
      </c>
      <c r="D1273" s="1418" t="s">
        <v>1374</v>
      </c>
      <c r="E1273" s="859" t="s">
        <v>208</v>
      </c>
      <c r="F1273" s="1418"/>
      <c r="G1273" s="1418"/>
      <c r="H1273" s="1418"/>
      <c r="I1273" s="857" t="str">
        <f t="shared" si="242"/>
        <v>Enter Margin</v>
      </c>
      <c r="J1273" s="1418" t="str">
        <f>IFERROR(Q$1&amp;M413,"")</f>
        <v>F382</v>
      </c>
      <c r="K1273" s="1418" t="str">
        <f t="shared" si="240"/>
        <v>PIM Model</v>
      </c>
      <c r="L1273" s="1418"/>
      <c r="M1273" s="1418"/>
      <c r="N1273" s="1418"/>
    </row>
    <row r="1274" spans="1:14" s="1411" customFormat="1" x14ac:dyDescent="0.25">
      <c r="A1274" s="926" t="s">
        <v>225</v>
      </c>
      <c r="B1274" s="857" t="str">
        <f ca="1">_xlfn.CONCAT(IFERROR(SUBSTITUTE(ADDRESS(1,MATCH(A1274,INDIRECT("'"&amp;E1274&amp;"'"&amp;"!A9:Z9"),0),4),1,""),""),22)</f>
        <v>K22</v>
      </c>
      <c r="C1274" s="857" t="str">
        <f t="shared" ca="1" si="245"/>
        <v>K</v>
      </c>
      <c r="D1274" s="1418" t="s">
        <v>1374</v>
      </c>
      <c r="E1274" s="859" t="s">
        <v>208</v>
      </c>
      <c r="F1274" s="1418"/>
      <c r="G1274" s="1418"/>
      <c r="H1274" s="1418"/>
      <c r="I1274" s="857" t="str">
        <f t="shared" si="242"/>
        <v>Enter Margin</v>
      </c>
      <c r="J1274" s="1418" t="str">
        <f>IFERROR(Q$1&amp;M425,"")</f>
        <v>F394</v>
      </c>
      <c r="K1274" s="1418" t="str">
        <f t="shared" si="240"/>
        <v>PIM Model</v>
      </c>
      <c r="L1274" s="1418"/>
      <c r="M1274" s="1418"/>
      <c r="N1274" s="1418"/>
    </row>
    <row r="1275" spans="1:14" s="1411" customFormat="1" x14ac:dyDescent="0.25">
      <c r="A1275" s="929" t="s">
        <v>225</v>
      </c>
      <c r="B1275" s="857" t="str">
        <f ca="1">_xlfn.CONCAT(IFERROR(SUBSTITUTE(ADDRESS(1,MATCH(A1275,INDIRECT("'"&amp;E1275&amp;"'"&amp;"!A9:Z9"),0),4),1,""),""),23)</f>
        <v>K23</v>
      </c>
      <c r="C1275" s="857" t="str">
        <f t="shared" ca="1" si="245"/>
        <v>K</v>
      </c>
      <c r="D1275" s="1418" t="s">
        <v>1374</v>
      </c>
      <c r="E1275" s="859" t="s">
        <v>208</v>
      </c>
      <c r="F1275" s="1418"/>
      <c r="G1275" s="1418"/>
      <c r="H1275" s="1418"/>
      <c r="I1275" s="857" t="str">
        <f t="shared" si="242"/>
        <v>Enter Margin</v>
      </c>
      <c r="J1275" s="1418" t="str">
        <f>IFERROR(Q$1&amp;M437,"")</f>
        <v>F406</v>
      </c>
      <c r="K1275" s="1418" t="str">
        <f t="shared" si="240"/>
        <v>PIM Model</v>
      </c>
      <c r="L1275" s="1418"/>
      <c r="M1275" s="1418"/>
      <c r="N1275" s="1418"/>
    </row>
    <row r="1276" spans="1:14" s="1411" customFormat="1" x14ac:dyDescent="0.25">
      <c r="A1276" s="926" t="s">
        <v>225</v>
      </c>
      <c r="B1276" s="857" t="str">
        <f ca="1">_xlfn.CONCAT(IFERROR(SUBSTITUTE(ADDRESS(1,MATCH(A1276,INDIRECT("'"&amp;E1276&amp;"'"&amp;"!A9:Z9"),0),4),1,""),""),24)</f>
        <v>K24</v>
      </c>
      <c r="C1276" s="857" t="str">
        <f t="shared" ca="1" si="245"/>
        <v>K</v>
      </c>
      <c r="D1276" s="1418" t="s">
        <v>1374</v>
      </c>
      <c r="E1276" s="859" t="s">
        <v>208</v>
      </c>
      <c r="F1276" s="1418"/>
      <c r="G1276" s="1418"/>
      <c r="H1276" s="1418"/>
      <c r="I1276" s="857" t="str">
        <f t="shared" si="242"/>
        <v>Enter Margin</v>
      </c>
      <c r="J1276" s="1418" t="str">
        <f>IFERROR(Q$1&amp;M449,"")</f>
        <v>F418</v>
      </c>
      <c r="K1276" s="1418" t="str">
        <f t="shared" si="240"/>
        <v>PIM Model</v>
      </c>
      <c r="L1276" s="1418"/>
      <c r="M1276" s="1418"/>
      <c r="N1276" s="1418"/>
    </row>
    <row r="1277" spans="1:14" s="1411" customFormat="1" x14ac:dyDescent="0.25">
      <c r="A1277" s="929" t="s">
        <v>225</v>
      </c>
      <c r="B1277" s="857" t="str">
        <f ca="1">_xlfn.CONCAT(IFERROR(SUBSTITUTE(ADDRESS(1,MATCH(A1277,INDIRECT("'"&amp;E1277&amp;"'"&amp;"!A9:Z9"),0),4),1,""),""),25)</f>
        <v>K25</v>
      </c>
      <c r="C1277" s="857" t="str">
        <f t="shared" ca="1" si="245"/>
        <v>K</v>
      </c>
      <c r="D1277" s="1418" t="s">
        <v>1374</v>
      </c>
      <c r="E1277" s="859" t="s">
        <v>208</v>
      </c>
      <c r="F1277" s="1418"/>
      <c r="G1277" s="1418"/>
      <c r="H1277" s="1418"/>
      <c r="I1277" s="857" t="str">
        <f t="shared" si="242"/>
        <v>Enter Margin</v>
      </c>
      <c r="J1277" s="1418" t="str">
        <f>IFERROR(Q$1&amp;M461,"")</f>
        <v>F430</v>
      </c>
      <c r="K1277" s="1418" t="str">
        <f t="shared" si="240"/>
        <v>PIM Model</v>
      </c>
      <c r="L1277" s="1418"/>
      <c r="M1277" s="1418"/>
      <c r="N1277" s="1418"/>
    </row>
    <row r="1278" spans="1:14" s="1411" customFormat="1" x14ac:dyDescent="0.25">
      <c r="A1278" s="926" t="s">
        <v>225</v>
      </c>
      <c r="B1278" s="857" t="str">
        <f ca="1">_xlfn.CONCAT(IFERROR(SUBSTITUTE(ADDRESS(1,MATCH(A1278,INDIRECT("'"&amp;E1278&amp;"'"&amp;"!A9:Z9"),0),4),1,""),""),26)</f>
        <v>K26</v>
      </c>
      <c r="C1278" s="857" t="str">
        <f t="shared" ca="1" si="245"/>
        <v>K</v>
      </c>
      <c r="D1278" s="1418" t="s">
        <v>1374</v>
      </c>
      <c r="E1278" s="859" t="s">
        <v>208</v>
      </c>
      <c r="F1278" s="1418"/>
      <c r="G1278" s="1418"/>
      <c r="H1278" s="1418"/>
      <c r="I1278" s="857" t="str">
        <f t="shared" si="242"/>
        <v>Enter Margin</v>
      </c>
      <c r="J1278" s="1418" t="str">
        <f>IFERROR(Q$1&amp;M473,"")</f>
        <v>F442</v>
      </c>
      <c r="K1278" s="1418" t="str">
        <f t="shared" si="240"/>
        <v>PIM Model</v>
      </c>
      <c r="L1278" s="1418"/>
      <c r="M1278" s="1418"/>
      <c r="N1278" s="1418"/>
    </row>
    <row r="1279" spans="1:14" s="1411" customFormat="1" x14ac:dyDescent="0.25">
      <c r="A1279" s="929" t="s">
        <v>225</v>
      </c>
      <c r="B1279" s="857" t="str">
        <f ca="1">_xlfn.CONCAT(IFERROR(SUBSTITUTE(ADDRESS(1,MATCH(A1279,INDIRECT("'"&amp;E1279&amp;"'"&amp;"!A9:Z9"),0),4),1,""),""),27)</f>
        <v>K27</v>
      </c>
      <c r="C1279" s="857" t="str">
        <f t="shared" ca="1" si="245"/>
        <v>K</v>
      </c>
      <c r="D1279" s="1418" t="s">
        <v>1374</v>
      </c>
      <c r="E1279" s="859" t="s">
        <v>208</v>
      </c>
      <c r="F1279" s="1418"/>
      <c r="G1279" s="1418"/>
      <c r="H1279" s="1418"/>
      <c r="I1279" s="857" t="str">
        <f t="shared" si="242"/>
        <v>Enter Margin</v>
      </c>
      <c r="J1279" s="1418" t="str">
        <f>IFERROR(Q$1&amp;M485,"")</f>
        <v>F454</v>
      </c>
      <c r="K1279" s="1418" t="str">
        <f t="shared" si="240"/>
        <v>PIM Model</v>
      </c>
      <c r="L1279" s="1418"/>
      <c r="M1279" s="1418"/>
      <c r="N1279" s="1418"/>
    </row>
    <row r="1280" spans="1:14" s="1411" customFormat="1" x14ac:dyDescent="0.25">
      <c r="A1280" s="926" t="s">
        <v>225</v>
      </c>
      <c r="B1280" s="857" t="str">
        <f ca="1">_xlfn.CONCAT(IFERROR(SUBSTITUTE(ADDRESS(1,MATCH(A1280,INDIRECT("'"&amp;E1280&amp;"'"&amp;"!A9:Z9"),0),4),1,""),""),28)</f>
        <v>K28</v>
      </c>
      <c r="C1280" s="857" t="str">
        <f t="shared" ca="1" si="245"/>
        <v>K</v>
      </c>
      <c r="D1280" s="1418" t="s">
        <v>1374</v>
      </c>
      <c r="E1280" s="859" t="s">
        <v>208</v>
      </c>
      <c r="F1280" s="1418"/>
      <c r="G1280" s="1418"/>
      <c r="H1280" s="1418"/>
      <c r="I1280" s="857" t="str">
        <f t="shared" si="242"/>
        <v>Enter Margin</v>
      </c>
      <c r="J1280" s="1418" t="str">
        <f>IFERROR(Q$1&amp;M497,"")</f>
        <v>F466</v>
      </c>
      <c r="K1280" s="1418" t="str">
        <f t="shared" si="240"/>
        <v>PIM Model</v>
      </c>
      <c r="L1280" s="1418"/>
      <c r="M1280" s="1418"/>
      <c r="N1280" s="1418"/>
    </row>
    <row r="1281" spans="1:22" s="1411" customFormat="1" x14ac:dyDescent="0.25">
      <c r="A1281" s="929" t="s">
        <v>225</v>
      </c>
      <c r="B1281" s="857" t="str">
        <f ca="1">_xlfn.CONCAT(IFERROR(SUBSTITUTE(ADDRESS(1,MATCH(A1281,INDIRECT("'"&amp;E1281&amp;"'"&amp;"!A9:Z9"),0),4),1,""),""),29)</f>
        <v>K29</v>
      </c>
      <c r="C1281" s="857" t="str">
        <f t="shared" ca="1" si="245"/>
        <v>K</v>
      </c>
      <c r="D1281" s="1418" t="s">
        <v>1374</v>
      </c>
      <c r="E1281" s="859" t="s">
        <v>208</v>
      </c>
      <c r="F1281" s="1418"/>
      <c r="G1281" s="1418"/>
      <c r="H1281" s="1418"/>
      <c r="I1281" s="857" t="str">
        <f t="shared" si="242"/>
        <v>Enter Margin</v>
      </c>
      <c r="J1281" s="1418" t="str">
        <f>IFERROR(Q$1&amp;M509,"")</f>
        <v>F478</v>
      </c>
      <c r="K1281" s="1418" t="str">
        <f t="shared" si="240"/>
        <v>PIM Model</v>
      </c>
      <c r="L1281" s="1418"/>
      <c r="M1281" s="1418"/>
      <c r="N1281" s="1418"/>
    </row>
    <row r="1282" spans="1:22" s="1411" customFormat="1" x14ac:dyDescent="0.25">
      <c r="A1282" s="926" t="s">
        <v>225</v>
      </c>
      <c r="B1282" s="857" t="str">
        <f ca="1">_xlfn.CONCAT(IFERROR(SUBSTITUTE(ADDRESS(1,MATCH(A1282,INDIRECT("'"&amp;E1282&amp;"'"&amp;"!A9:Z9"),0),4),1,""),""),30)</f>
        <v>K30</v>
      </c>
      <c r="C1282" s="857" t="str">
        <f t="shared" ca="1" si="245"/>
        <v>K</v>
      </c>
      <c r="D1282" s="1418" t="s">
        <v>1374</v>
      </c>
      <c r="E1282" s="859" t="s">
        <v>208</v>
      </c>
      <c r="F1282" s="1418"/>
      <c r="G1282" s="1418"/>
      <c r="H1282" s="1418"/>
      <c r="I1282" s="857" t="str">
        <f t="shared" si="242"/>
        <v>Enter Margin</v>
      </c>
      <c r="J1282" s="1418" t="str">
        <f>IFERROR(Q$1&amp;M521,"")</f>
        <v>F490</v>
      </c>
      <c r="K1282" s="1418" t="str">
        <f t="shared" si="240"/>
        <v>PIM Model</v>
      </c>
      <c r="L1282" s="1418"/>
      <c r="M1282" s="1418"/>
      <c r="N1282" s="1418"/>
    </row>
    <row r="1283" spans="1:22" s="1411" customFormat="1" x14ac:dyDescent="0.25">
      <c r="A1283" s="52" t="s">
        <v>1491</v>
      </c>
      <c r="B1283" s="859" t="str">
        <f>IFERROR(_xlfn.CONCAT("D",MATCH(A1283,Incentives!D$1:D$60,0)),"")</f>
        <v>D4</v>
      </c>
      <c r="C1283" s="859" t="str">
        <f>IFERROR(_xlfn.CONCAT("E",MATCH(A1283,Incentives!D$1:D$60,0)),"")</f>
        <v>E4</v>
      </c>
      <c r="D1283" s="52" t="s">
        <v>1367</v>
      </c>
      <c r="E1283" s="859" t="s">
        <v>1936</v>
      </c>
      <c r="F1283" s="52" t="s">
        <v>1832</v>
      </c>
      <c r="G1283" s="52" t="s">
        <v>1381</v>
      </c>
      <c r="H1283" s="52" t="s">
        <v>1912</v>
      </c>
      <c r="I1283" s="1418" t="s">
        <v>1937</v>
      </c>
      <c r="J1283" s="1418" t="str">
        <f>IFERROR(Q$1&amp;M1283,"")</f>
        <v>F1203</v>
      </c>
      <c r="K1283" s="1418" t="str">
        <f t="shared" si="240"/>
        <v>Incentives</v>
      </c>
      <c r="L1283" s="1418" t="s">
        <v>1832</v>
      </c>
      <c r="M1283" s="1418">
        <v>1203</v>
      </c>
      <c r="N1283" s="1418"/>
      <c r="R1283" s="1418" t="s">
        <v>1163</v>
      </c>
    </row>
    <row r="1284" spans="1:22" s="1411" customFormat="1" x14ac:dyDescent="0.25">
      <c r="A1284" s="52" t="s">
        <v>1902</v>
      </c>
      <c r="B1284" s="859" t="str">
        <f>IFERROR(_xlfn.CONCAT("D",MATCH(A1284,Incentives!D$1:D$60,0)),"")</f>
        <v>D6</v>
      </c>
      <c r="C1284" s="859" t="str">
        <f>IFERROR(_xlfn.CONCAT("E",MATCH(A1284,Incentives!D$1:D$60,0)),"")</f>
        <v>E6</v>
      </c>
      <c r="D1284" s="52" t="s">
        <v>1367</v>
      </c>
      <c r="E1284" s="859" t="s">
        <v>1936</v>
      </c>
      <c r="F1284" s="52" t="s">
        <v>1938</v>
      </c>
      <c r="G1284" s="52" t="s">
        <v>1939</v>
      </c>
      <c r="H1284" s="52" t="s">
        <v>1912</v>
      </c>
      <c r="I1284" s="1418" t="s">
        <v>1902</v>
      </c>
      <c r="J1284" s="1418" t="str">
        <f>IFERROR(Q$1&amp;M1284,"")</f>
        <v>F1204</v>
      </c>
      <c r="K1284" s="1418" t="str">
        <f t="shared" ref="K1284:K1348" si="246">IF(J1284&lt;&gt;"",E1284,"")</f>
        <v>Incentives</v>
      </c>
      <c r="L1284" s="1418" t="s">
        <v>1940</v>
      </c>
      <c r="M1284" s="1418">
        <v>1204</v>
      </c>
      <c r="N1284" s="1418"/>
      <c r="R1284" s="1418" t="s">
        <v>1163</v>
      </c>
    </row>
    <row r="1285" spans="1:22" s="1411" customFormat="1" x14ac:dyDescent="0.25">
      <c r="A1285" s="1418" t="s">
        <v>1941</v>
      </c>
      <c r="B1285" s="857" t="str">
        <f>IFERROR(_xlfn.CONCAT("D",MATCH(A1285,Incentives!D$1:D$60,0)),"")</f>
        <v/>
      </c>
      <c r="C1285" s="857" t="str">
        <f>IFERROR(_xlfn.CONCAT("E",MATCH(A1285,Incentives!D$1:D$60,0)),"")</f>
        <v/>
      </c>
      <c r="D1285" s="1418" t="s">
        <v>1367</v>
      </c>
      <c r="E1285" s="859" t="s">
        <v>1936</v>
      </c>
      <c r="F1285" s="1418" t="s">
        <v>1942</v>
      </c>
      <c r="G1285" s="1418" t="s">
        <v>239</v>
      </c>
      <c r="H1285" s="1418" t="s">
        <v>1248</v>
      </c>
      <c r="I1285" s="1418" t="s">
        <v>1943</v>
      </c>
      <c r="J1285" s="1418" t="str">
        <f>IFERROR(Q$1&amp;M1285,"")</f>
        <v>F</v>
      </c>
      <c r="K1285" s="1418" t="str">
        <f t="shared" si="246"/>
        <v>Incentives</v>
      </c>
      <c r="L1285" s="1418"/>
      <c r="M1285" s="1418"/>
      <c r="N1285" s="1418"/>
      <c r="R1285" s="1418" t="s">
        <v>1163</v>
      </c>
    </row>
    <row r="1286" spans="1:22" s="1411" customFormat="1" x14ac:dyDescent="0.25">
      <c r="A1286" s="1102" t="s">
        <v>524</v>
      </c>
      <c r="B1286" s="857" t="str">
        <f>IFERROR(_xlfn.CONCAT("D",('Configurable Tab'!$C$3+1)),"")</f>
        <v>D13</v>
      </c>
      <c r="C1286" s="857" t="str">
        <f>IFERROR(_xlfn.CONCAT("E",('Configurable Tab'!$C$3+1)),"")</f>
        <v>E13</v>
      </c>
      <c r="D1286" s="1418" t="s">
        <v>1367</v>
      </c>
      <c r="E1286" s="859" t="s">
        <v>1936</v>
      </c>
      <c r="F1286" s="1418"/>
      <c r="G1286" s="1418"/>
      <c r="H1286" s="1418"/>
      <c r="I1286" s="857" t="str">
        <f t="shared" ref="I1286:I1349" si="247">IF(J1286&lt;&gt;"",A1286,"")</f>
        <v>Offer this Incentive?</v>
      </c>
      <c r="J1286" s="1418" t="str">
        <f>$Q$1&amp;IF(T$1286&lt;&gt;0,U1286,IF(T$1304&lt;&gt;0,U1304,IF(T$1322&lt;&gt;0,U1322,"")))</f>
        <v>F</v>
      </c>
      <c r="K1286" s="1418" t="str">
        <f t="shared" si="246"/>
        <v>Incentives</v>
      </c>
      <c r="L1286" s="1418"/>
      <c r="M1286" s="1418"/>
      <c r="N1286" s="1418"/>
      <c r="O1286" s="1411" t="s">
        <v>1944</v>
      </c>
      <c r="P1286" s="1411">
        <f>'Configurable Tab'!E3</f>
        <v>0</v>
      </c>
      <c r="Q1286" s="857" t="str">
        <f>IFERROR(_xlfn.CONCAT("C",('Configurable Tab'!$C3+1)),"")</f>
        <v>C13</v>
      </c>
      <c r="R1286" s="1418" t="s">
        <v>855</v>
      </c>
      <c r="S1286" s="1418" t="s">
        <v>1945</v>
      </c>
      <c r="T1286" s="1415">
        <f>IF(Q$540="Yes",IF(Q$555="Yes",2,1),0)</f>
        <v>0</v>
      </c>
      <c r="U1286" s="1418" t="str">
        <f>IF(Q$540="Yes",M540,"")</f>
        <v/>
      </c>
      <c r="V1286" s="1418" t="str">
        <f>IF(Q$555="Yes",M555,"")</f>
        <v/>
      </c>
    </row>
    <row r="1287" spans="1:22" s="1411" customFormat="1" x14ac:dyDescent="0.25">
      <c r="A1287" s="1103" t="s">
        <v>1400</v>
      </c>
      <c r="B1287" s="857" t="str">
        <f>IFERROR(_xlfn.CONCAT("D",('Configurable Tab'!$C$3+2)),"")</f>
        <v>D14</v>
      </c>
      <c r="C1287" s="857" t="str">
        <f>IFERROR(_xlfn.CONCAT("E",('Configurable Tab'!$C$3+2)),"")</f>
        <v>E14</v>
      </c>
      <c r="D1287" s="1418" t="s">
        <v>1367</v>
      </c>
      <c r="E1287" s="859" t="s">
        <v>1936</v>
      </c>
      <c r="F1287" s="1418"/>
      <c r="G1287" s="1418"/>
      <c r="H1287" s="1418"/>
      <c r="I1287" s="857" t="str">
        <f t="shared" si="247"/>
        <v>Incentive Type</v>
      </c>
      <c r="J1287" s="1418" t="str">
        <f t="shared" ref="J1287:J1303" si="248">$Q$1&amp;IF(T$1286&lt;&gt;0,U1287,IF(T$1304&lt;&gt;0,U1305,IF(T$1322&lt;&gt;0,U1323,"")))</f>
        <v>F</v>
      </c>
      <c r="K1287" s="1418" t="str">
        <f t="shared" si="246"/>
        <v>Incentives</v>
      </c>
      <c r="L1287" s="1418"/>
      <c r="M1287" s="1418"/>
      <c r="N1287" s="1418"/>
      <c r="R1287" s="1418" t="s">
        <v>855</v>
      </c>
      <c r="S1287" s="1418" t="s">
        <v>1945</v>
      </c>
      <c r="U1287" s="1418" t="str">
        <f>IF(Q$540="Yes",M541,"")</f>
        <v/>
      </c>
      <c r="V1287" s="1418" t="str">
        <f>IF(Q$555="Yes",M556,"")</f>
        <v/>
      </c>
    </row>
    <row r="1288" spans="1:22" s="1411" customFormat="1" x14ac:dyDescent="0.25">
      <c r="A1288" s="1103" t="s">
        <v>1402</v>
      </c>
      <c r="B1288" s="857" t="str">
        <f>IFERROR(_xlfn.CONCAT("D",('Configurable Tab'!$C$3+4)),"")</f>
        <v>D16</v>
      </c>
      <c r="C1288" s="857" t="str">
        <f>IFERROR(_xlfn.CONCAT("E",('Configurable Tab'!$C$3+4)),"")</f>
        <v>E16</v>
      </c>
      <c r="D1288" s="1418" t="s">
        <v>1367</v>
      </c>
      <c r="E1288" s="859" t="s">
        <v>1936</v>
      </c>
      <c r="F1288" s="1418"/>
      <c r="G1288" s="1418"/>
      <c r="H1288" s="1418"/>
      <c r="I1288" s="857" t="str">
        <f t="shared" si="247"/>
        <v>Incentive Effective Date</v>
      </c>
      <c r="J1288" s="1418" t="str">
        <f t="shared" si="248"/>
        <v>F</v>
      </c>
      <c r="K1288" s="1418" t="str">
        <f t="shared" si="246"/>
        <v>Incentives</v>
      </c>
      <c r="L1288" s="1418"/>
      <c r="M1288" s="1418"/>
      <c r="N1288" s="1418"/>
      <c r="R1288" s="1418" t="s">
        <v>855</v>
      </c>
      <c r="S1288" s="1418" t="s">
        <v>1945</v>
      </c>
      <c r="U1288" s="1418" t="str">
        <f>IF(Q$540="Yes",M549,"")</f>
        <v/>
      </c>
      <c r="V1288" s="1418" t="str">
        <f>IF(Q$555="Yes",M564,"")</f>
        <v/>
      </c>
    </row>
    <row r="1289" spans="1:22" s="1411" customFormat="1" x14ac:dyDescent="0.25">
      <c r="A1289" s="1103" t="s">
        <v>1403</v>
      </c>
      <c r="B1289" s="857" t="str">
        <f>IFERROR(_xlfn.CONCAT("D",('Configurable Tab'!$C$3+5)),"")</f>
        <v>D17</v>
      </c>
      <c r="C1289" s="857" t="str">
        <f>IFERROR(_xlfn.CONCAT("E",('Configurable Tab'!$C$3+5)),"")</f>
        <v>E17</v>
      </c>
      <c r="D1289" s="1418" t="s">
        <v>1367</v>
      </c>
      <c r="E1289" s="859" t="s">
        <v>1936</v>
      </c>
      <c r="F1289" s="1418"/>
      <c r="G1289" s="1418"/>
      <c r="H1289" s="1418"/>
      <c r="I1289" s="857" t="str">
        <f t="shared" si="247"/>
        <v>Incentive Expiration Date</v>
      </c>
      <c r="J1289" s="1418" t="str">
        <f t="shared" si="248"/>
        <v>F</v>
      </c>
      <c r="K1289" s="1418" t="str">
        <f t="shared" si="246"/>
        <v>Incentives</v>
      </c>
      <c r="L1289" s="1418"/>
      <c r="M1289" s="1418"/>
      <c r="N1289" s="1418"/>
      <c r="R1289" s="1418" t="s">
        <v>855</v>
      </c>
      <c r="S1289" s="1418" t="s">
        <v>1945</v>
      </c>
      <c r="U1289" s="1418" t="str">
        <f>IF(Q$540="Yes",M550,"")</f>
        <v/>
      </c>
      <c r="V1289" s="1418" t="str">
        <f>IF(Q$555="Yes",M565,"")</f>
        <v/>
      </c>
    </row>
    <row r="1290" spans="1:22" s="1411" customFormat="1" x14ac:dyDescent="0.25">
      <c r="A1290" s="1103" t="s">
        <v>1397</v>
      </c>
      <c r="B1290" s="857" t="str">
        <f>IFERROR(_xlfn.CONCAT("G",('Configurable Tab'!$C$3+1)),"")</f>
        <v>G13</v>
      </c>
      <c r="C1290" s="857" t="str">
        <f>IFERROR(_xlfn.CONCAT("G",('Configurable Tab'!$C$3+2)),"")</f>
        <v>G14</v>
      </c>
      <c r="D1290" s="1418" t="s">
        <v>1367</v>
      </c>
      <c r="E1290" s="859" t="s">
        <v>1936</v>
      </c>
      <c r="F1290" s="1412"/>
      <c r="G1290" s="1428"/>
      <c r="H1290" s="1418"/>
      <c r="I1290" s="857" t="str">
        <f t="shared" si="247"/>
        <v>Incentive Period</v>
      </c>
      <c r="J1290" s="1418" t="str">
        <f t="shared" si="248"/>
        <v>F</v>
      </c>
      <c r="K1290" s="1418" t="str">
        <f t="shared" si="246"/>
        <v>Incentives</v>
      </c>
      <c r="L1290" s="1418"/>
      <c r="M1290" s="1418"/>
      <c r="N1290" s="1418"/>
      <c r="R1290" s="1418" t="s">
        <v>855</v>
      </c>
      <c r="S1290" s="1416" t="s">
        <v>1945</v>
      </c>
      <c r="U1290" s="1418" t="str">
        <f>IF(Q$540="Yes",M542,"")</f>
        <v/>
      </c>
      <c r="V1290" s="1418" t="str">
        <f>IF(Q$555="Yes",M557,"")</f>
        <v/>
      </c>
    </row>
    <row r="1291" spans="1:22" s="1411" customFormat="1" x14ac:dyDescent="0.25">
      <c r="A1291" s="1103" t="s">
        <v>1398</v>
      </c>
      <c r="B1291" s="857" t="str">
        <f>IFERROR(_xlfn.CONCAT("I",('Configurable Tab'!$C$3+1)),"")</f>
        <v>I13</v>
      </c>
      <c r="C1291" s="857" t="str">
        <f>IFERROR(_xlfn.CONCAT("I",('Configurable Tab'!$C$3+2)),"")</f>
        <v>I14</v>
      </c>
      <c r="D1291" s="1418" t="s">
        <v>1367</v>
      </c>
      <c r="E1291" s="859" t="s">
        <v>1936</v>
      </c>
      <c r="F1291" s="1418"/>
      <c r="G1291" s="1418"/>
      <c r="H1291" s="1418"/>
      <c r="I1291" s="857" t="str">
        <f t="shared" si="247"/>
        <v>Payment Method</v>
      </c>
      <c r="J1291" s="1418" t="str">
        <f t="shared" si="248"/>
        <v>F</v>
      </c>
      <c r="K1291" s="1418" t="str">
        <f t="shared" si="246"/>
        <v>Incentives</v>
      </c>
      <c r="L1291" s="1418"/>
      <c r="M1291" s="1418"/>
      <c r="N1291" s="1418"/>
      <c r="R1291" s="1418" t="s">
        <v>855</v>
      </c>
      <c r="S1291" s="1416" t="s">
        <v>1945</v>
      </c>
      <c r="U1291" s="1418" t="str">
        <f>IF(Q$540="Yes",M543,"")</f>
        <v/>
      </c>
      <c r="V1291" s="1418" t="str">
        <f>IF(Q$555="Yes",M558,"")</f>
        <v/>
      </c>
    </row>
    <row r="1292" spans="1:22" s="1411" customFormat="1" x14ac:dyDescent="0.25">
      <c r="A1292" s="1103" t="s">
        <v>837</v>
      </c>
      <c r="B1292" s="857" t="str">
        <f>IFERROR(_xlfn.CONCAT("K",('Configurable Tab'!$C$3+1)),"")</f>
        <v>K13</v>
      </c>
      <c r="C1292" s="857" t="str">
        <f>IFERROR(_xlfn.CONCAT("K",('Configurable Tab'!$C$3+2)),"")</f>
        <v>K14</v>
      </c>
      <c r="D1292" s="1418" t="s">
        <v>1367</v>
      </c>
      <c r="E1292" s="859" t="s">
        <v>1936</v>
      </c>
      <c r="F1292" s="1418"/>
      <c r="G1292" s="1418"/>
      <c r="H1292" s="1418"/>
      <c r="I1292" s="857" t="str">
        <f t="shared" si="247"/>
        <v>Paid to:</v>
      </c>
      <c r="J1292" s="1418" t="str">
        <f t="shared" si="248"/>
        <v>F</v>
      </c>
      <c r="K1292" s="1418" t="str">
        <f t="shared" si="246"/>
        <v>Incentives</v>
      </c>
      <c r="L1292" s="1418"/>
      <c r="M1292" s="1418"/>
      <c r="N1292" s="1418"/>
      <c r="R1292" s="1418" t="s">
        <v>855</v>
      </c>
      <c r="S1292" s="1416" t="s">
        <v>1945</v>
      </c>
      <c r="U1292" s="1418" t="str">
        <f>IF(Q$540="Yes",M544,"")</f>
        <v/>
      </c>
      <c r="V1292" s="1418" t="str">
        <f>IF(Q$555="Yes",M559,"")</f>
        <v/>
      </c>
    </row>
    <row r="1293" spans="1:22" s="1411" customFormat="1" x14ac:dyDescent="0.25">
      <c r="A1293" s="1103" t="s">
        <v>1399</v>
      </c>
      <c r="B1293" s="857" t="str">
        <f>IFERROR(_xlfn.CONCAT("M",('Configurable Tab'!$C$3+1)),"")</f>
        <v>M13</v>
      </c>
      <c r="C1293" s="857" t="str">
        <f>IFERROR(_xlfn.CONCAT("M",('Configurable Tab'!$C$3+2)),"")</f>
        <v>M14</v>
      </c>
      <c r="D1293" s="1418" t="s">
        <v>1367</v>
      </c>
      <c r="E1293" s="859" t="s">
        <v>1936</v>
      </c>
      <c r="F1293" s="1418"/>
      <c r="G1293" s="1418"/>
      <c r="H1293" s="1418"/>
      <c r="I1293" s="857" t="str">
        <f t="shared" si="247"/>
        <v>AP/AR Vendor Number</v>
      </c>
      <c r="J1293" s="1418" t="str">
        <f t="shared" si="248"/>
        <v>F</v>
      </c>
      <c r="K1293" s="1418" t="str">
        <f t="shared" si="246"/>
        <v>Incentives</v>
      </c>
      <c r="L1293" s="1418"/>
      <c r="M1293" s="1418"/>
      <c r="N1293" s="1418"/>
      <c r="R1293" s="1418" t="s">
        <v>855</v>
      </c>
      <c r="S1293" s="1416" t="s">
        <v>1945</v>
      </c>
      <c r="U1293" s="1418" t="str">
        <f>IF(Q$540="Yes",M545,"")</f>
        <v/>
      </c>
      <c r="V1293" s="1418" t="str">
        <f>IF(Q$555="Yes",M560,"")</f>
        <v/>
      </c>
    </row>
    <row r="1294" spans="1:22" s="1411" customFormat="1" x14ac:dyDescent="0.25">
      <c r="A1294" s="1103" t="s">
        <v>1404</v>
      </c>
      <c r="B1294" s="857" t="str">
        <f>IFERROR(_xlfn.CONCAT("G",('Configurable Tab'!$C$3+6)),"")</f>
        <v>G18</v>
      </c>
      <c r="C1294" s="857" t="str">
        <f>IFERROR(_xlfn.CONCAT("G",('Configurable Tab'!$C$3+7)),"")</f>
        <v>G19</v>
      </c>
      <c r="D1294" s="1418" t="s">
        <v>1367</v>
      </c>
      <c r="E1294" s="859" t="s">
        <v>1936</v>
      </c>
      <c r="F1294" s="1418"/>
      <c r="G1294" s="1418"/>
      <c r="H1294" s="1418"/>
      <c r="I1294" s="857" t="str">
        <f t="shared" si="247"/>
        <v>Minimum Units</v>
      </c>
      <c r="J1294" s="1418" t="str">
        <f t="shared" si="248"/>
        <v>F</v>
      </c>
      <c r="K1294" s="1418" t="str">
        <f t="shared" si="246"/>
        <v>Incentives</v>
      </c>
      <c r="L1294" s="1418"/>
      <c r="M1294" s="1418"/>
      <c r="N1294" s="1418"/>
      <c r="R1294" s="1418" t="s">
        <v>855</v>
      </c>
    </row>
    <row r="1295" spans="1:22" s="1411" customFormat="1" x14ac:dyDescent="0.25">
      <c r="A1295" s="1103" t="s">
        <v>1404</v>
      </c>
      <c r="B1295" s="857" t="str">
        <f>IFERROR(_xlfn.CONCAT("G",('Configurable Tab'!$C$3+6)),"")</f>
        <v>G18</v>
      </c>
      <c r="C1295" s="857" t="str">
        <f>IFERROR(_xlfn.CONCAT("G",('Configurable Tab'!$C$3+8)),"")</f>
        <v>G20</v>
      </c>
      <c r="D1295" s="1418" t="s">
        <v>1367</v>
      </c>
      <c r="E1295" s="859" t="s">
        <v>1936</v>
      </c>
      <c r="F1295" s="1418"/>
      <c r="G1295" s="1418"/>
      <c r="H1295" s="1418"/>
      <c r="I1295" s="857" t="str">
        <f t="shared" si="247"/>
        <v>Minimum Units</v>
      </c>
      <c r="J1295" s="1418" t="str">
        <f t="shared" si="248"/>
        <v>F</v>
      </c>
      <c r="K1295" s="1418" t="str">
        <f t="shared" si="246"/>
        <v>Incentives</v>
      </c>
      <c r="L1295" s="1418"/>
      <c r="M1295" s="1418"/>
      <c r="N1295" s="1418"/>
      <c r="R1295" s="1418" t="s">
        <v>855</v>
      </c>
    </row>
    <row r="1296" spans="1:22" s="1411" customFormat="1" x14ac:dyDescent="0.25">
      <c r="A1296" s="1103" t="s">
        <v>1404</v>
      </c>
      <c r="B1296" s="857" t="str">
        <f>IFERROR(_xlfn.CONCAT("G",('Configurable Tab'!$C$3+6)),"")</f>
        <v>G18</v>
      </c>
      <c r="C1296" s="857" t="str">
        <f>IFERROR(_xlfn.CONCAT("G",('Configurable Tab'!$C$3+9)),"")</f>
        <v>G21</v>
      </c>
      <c r="D1296" s="1418" t="s">
        <v>1367</v>
      </c>
      <c r="E1296" s="859" t="s">
        <v>1936</v>
      </c>
      <c r="F1296" s="1418"/>
      <c r="G1296" s="1418"/>
      <c r="H1296" s="1418"/>
      <c r="I1296" s="857" t="str">
        <f t="shared" si="247"/>
        <v>Minimum Units</v>
      </c>
      <c r="J1296" s="1418" t="str">
        <f t="shared" si="248"/>
        <v>F</v>
      </c>
      <c r="K1296" s="1418" t="str">
        <f t="shared" si="246"/>
        <v>Incentives</v>
      </c>
      <c r="L1296" s="1418"/>
      <c r="M1296" s="1418"/>
      <c r="N1296" s="1418"/>
      <c r="R1296" s="1418" t="s">
        <v>855</v>
      </c>
    </row>
    <row r="1297" spans="1:22" s="1411" customFormat="1" x14ac:dyDescent="0.25">
      <c r="A1297" s="1103" t="s">
        <v>1404</v>
      </c>
      <c r="B1297" s="857" t="str">
        <f>IFERROR(_xlfn.CONCAT("G",('Configurable Tab'!$C$3+6)),"")</f>
        <v>G18</v>
      </c>
      <c r="C1297" s="857" t="str">
        <f>IFERROR(_xlfn.CONCAT("G",('Configurable Tab'!$C$3+10)),"")</f>
        <v>G22</v>
      </c>
      <c r="D1297" s="1418" t="s">
        <v>1367</v>
      </c>
      <c r="E1297" s="859" t="s">
        <v>1936</v>
      </c>
      <c r="F1297" s="1418"/>
      <c r="G1297" s="1418"/>
      <c r="H1297" s="1418"/>
      <c r="I1297" s="857" t="str">
        <f t="shared" si="247"/>
        <v>Minimum Units</v>
      </c>
      <c r="J1297" s="1418" t="str">
        <f t="shared" si="248"/>
        <v>F</v>
      </c>
      <c r="K1297" s="1418" t="str">
        <f t="shared" si="246"/>
        <v>Incentives</v>
      </c>
      <c r="L1297" s="1418"/>
      <c r="M1297" s="1418"/>
      <c r="N1297" s="1418"/>
      <c r="R1297" s="1418" t="s">
        <v>855</v>
      </c>
    </row>
    <row r="1298" spans="1:22" s="1411" customFormat="1" x14ac:dyDescent="0.25">
      <c r="A1298" s="1103" t="s">
        <v>1404</v>
      </c>
      <c r="B1298" s="857" t="str">
        <f>IFERROR(_xlfn.CONCAT("G",('Configurable Tab'!$C$3+6)),"")</f>
        <v>G18</v>
      </c>
      <c r="C1298" s="857" t="str">
        <f>IFERROR(_xlfn.CONCAT("G",('Configurable Tab'!$C$3+11)),"")</f>
        <v>G23</v>
      </c>
      <c r="D1298" s="1418" t="s">
        <v>1367</v>
      </c>
      <c r="E1298" s="859" t="s">
        <v>1936</v>
      </c>
      <c r="F1298" s="1418"/>
      <c r="G1298" s="1418"/>
      <c r="H1298" s="1418"/>
      <c r="I1298" s="857" t="str">
        <f t="shared" si="247"/>
        <v>Minimum Units</v>
      </c>
      <c r="J1298" s="1418" t="str">
        <f t="shared" si="248"/>
        <v>F</v>
      </c>
      <c r="K1298" s="1418" t="str">
        <f t="shared" si="246"/>
        <v>Incentives</v>
      </c>
      <c r="L1298" s="1418"/>
      <c r="M1298" s="1418"/>
      <c r="N1298" s="1418"/>
      <c r="R1298" s="1418" t="s">
        <v>855</v>
      </c>
    </row>
    <row r="1299" spans="1:22" s="1411" customFormat="1" x14ac:dyDescent="0.25">
      <c r="A1299" s="1103" t="s">
        <v>1406</v>
      </c>
      <c r="B1299" s="857" t="str">
        <f>IFERROR(_xlfn.CONCAT("K",('Configurable Tab'!$C$3+6)),"")</f>
        <v>K18</v>
      </c>
      <c r="C1299" s="857" t="str">
        <f>IFERROR(_xlfn.CONCAT("K",('Configurable Tab'!$C$3+7)),"")</f>
        <v>K19</v>
      </c>
      <c r="D1299" s="1418" t="s">
        <v>1367</v>
      </c>
      <c r="E1299" s="859" t="s">
        <v>1936</v>
      </c>
      <c r="F1299" s="1418"/>
      <c r="G1299" s="1418"/>
      <c r="H1299" s="1418"/>
      <c r="I1299" s="857" t="str">
        <f t="shared" si="247"/>
        <v>Rate % of Sales</v>
      </c>
      <c r="J1299" s="1418" t="str">
        <f t="shared" si="248"/>
        <v>F</v>
      </c>
      <c r="K1299" s="1418" t="str">
        <f t="shared" si="246"/>
        <v>Incentives</v>
      </c>
      <c r="L1299" s="1418"/>
      <c r="M1299" s="1418"/>
      <c r="N1299" s="1418"/>
      <c r="R1299" s="1418" t="s">
        <v>855</v>
      </c>
    </row>
    <row r="1300" spans="1:22" s="1411" customFormat="1" x14ac:dyDescent="0.25">
      <c r="A1300" s="1103" t="s">
        <v>1406</v>
      </c>
      <c r="B1300" s="857" t="str">
        <f>IFERROR(_xlfn.CONCAT("K",('Configurable Tab'!$C$3+6)),"")</f>
        <v>K18</v>
      </c>
      <c r="C1300" s="857" t="str">
        <f>IFERROR(_xlfn.CONCAT("K",('Configurable Tab'!$C$3+8)),"")</f>
        <v>K20</v>
      </c>
      <c r="D1300" s="1418" t="s">
        <v>1367</v>
      </c>
      <c r="E1300" s="859" t="s">
        <v>1936</v>
      </c>
      <c r="F1300" s="1418"/>
      <c r="G1300" s="1418"/>
      <c r="H1300" s="1418"/>
      <c r="I1300" s="857" t="str">
        <f t="shared" si="247"/>
        <v>Rate % of Sales</v>
      </c>
      <c r="J1300" s="1418" t="str">
        <f t="shared" si="248"/>
        <v>F</v>
      </c>
      <c r="K1300" s="1418" t="str">
        <f t="shared" si="246"/>
        <v>Incentives</v>
      </c>
      <c r="L1300" s="1418"/>
      <c r="M1300" s="1418"/>
      <c r="N1300" s="1418"/>
      <c r="R1300" s="1418" t="s">
        <v>855</v>
      </c>
    </row>
    <row r="1301" spans="1:22" s="1411" customFormat="1" x14ac:dyDescent="0.25">
      <c r="A1301" s="1103" t="s">
        <v>1406</v>
      </c>
      <c r="B1301" s="857" t="str">
        <f>IFERROR(_xlfn.CONCAT("K",('Configurable Tab'!$C$3+6)),"")</f>
        <v>K18</v>
      </c>
      <c r="C1301" s="857" t="str">
        <f>IFERROR(_xlfn.CONCAT("K",('Configurable Tab'!$C$3+9)),"")</f>
        <v>K21</v>
      </c>
      <c r="D1301" s="1418" t="s">
        <v>1367</v>
      </c>
      <c r="E1301" s="859" t="s">
        <v>1936</v>
      </c>
      <c r="F1301" s="1418"/>
      <c r="G1301" s="1418"/>
      <c r="H1301" s="1418"/>
      <c r="I1301" s="857" t="str">
        <f t="shared" si="247"/>
        <v>Rate % of Sales</v>
      </c>
      <c r="J1301" s="1418" t="str">
        <f t="shared" si="248"/>
        <v>F</v>
      </c>
      <c r="K1301" s="1418" t="str">
        <f t="shared" si="246"/>
        <v>Incentives</v>
      </c>
      <c r="L1301" s="1418"/>
      <c r="M1301" s="1418"/>
      <c r="N1301" s="1418"/>
      <c r="R1301" s="1418" t="s">
        <v>855</v>
      </c>
    </row>
    <row r="1302" spans="1:22" s="1411" customFormat="1" x14ac:dyDescent="0.25">
      <c r="A1302" s="1103" t="s">
        <v>1406</v>
      </c>
      <c r="B1302" s="857" t="str">
        <f>IFERROR(_xlfn.CONCAT("K",('Configurable Tab'!$C$3+6)),"")</f>
        <v>K18</v>
      </c>
      <c r="C1302" s="857" t="str">
        <f>IFERROR(_xlfn.CONCAT("K",('Configurable Tab'!$C$3+10)),"")</f>
        <v>K22</v>
      </c>
      <c r="D1302" s="1418" t="s">
        <v>1367</v>
      </c>
      <c r="E1302" s="859" t="s">
        <v>1936</v>
      </c>
      <c r="F1302" s="1418"/>
      <c r="G1302" s="1418"/>
      <c r="H1302" s="1418"/>
      <c r="I1302" s="857" t="str">
        <f t="shared" si="247"/>
        <v>Rate % of Sales</v>
      </c>
      <c r="J1302" s="1418" t="str">
        <f t="shared" si="248"/>
        <v>F</v>
      </c>
      <c r="K1302" s="1418" t="str">
        <f t="shared" si="246"/>
        <v>Incentives</v>
      </c>
      <c r="L1302" s="1418"/>
      <c r="M1302" s="1418"/>
      <c r="N1302" s="1418"/>
      <c r="R1302" s="1418" t="s">
        <v>855</v>
      </c>
    </row>
    <row r="1303" spans="1:22" s="1411" customFormat="1" x14ac:dyDescent="0.25">
      <c r="A1303" s="1103" t="s">
        <v>1406</v>
      </c>
      <c r="B1303" s="857" t="str">
        <f>IFERROR(_xlfn.CONCAT("K",('Configurable Tab'!$C$3+6)),"")</f>
        <v>K18</v>
      </c>
      <c r="C1303" s="857" t="str">
        <f>IFERROR(_xlfn.CONCAT("K",('Configurable Tab'!$C$3+11)),"")</f>
        <v>K23</v>
      </c>
      <c r="D1303" s="1418" t="s">
        <v>1367</v>
      </c>
      <c r="E1303" s="859" t="s">
        <v>1936</v>
      </c>
      <c r="F1303" s="1418"/>
      <c r="G1303" s="1418"/>
      <c r="H1303" s="1418"/>
      <c r="I1303" s="857" t="str">
        <f t="shared" si="247"/>
        <v>Rate % of Sales</v>
      </c>
      <c r="J1303" s="1418" t="str">
        <f t="shared" si="248"/>
        <v>F</v>
      </c>
      <c r="K1303" s="1418" t="str">
        <f t="shared" si="246"/>
        <v>Incentives</v>
      </c>
      <c r="L1303" s="1418"/>
      <c r="M1303" s="1418"/>
      <c r="N1303" s="1418"/>
      <c r="R1303" s="1418" t="s">
        <v>855</v>
      </c>
    </row>
    <row r="1304" spans="1:22" s="1411" customFormat="1" x14ac:dyDescent="0.25">
      <c r="A1304" s="926" t="s">
        <v>524</v>
      </c>
      <c r="B1304" s="857" t="str">
        <f>IFERROR(_xlfn.CONCAT("D",('Configurable Tab'!$C$4+1)),"")</f>
        <v>D27</v>
      </c>
      <c r="C1304" s="857" t="str">
        <f>IFERROR(_xlfn.CONCAT("E",('Configurable Tab'!$C$4+1)),"")</f>
        <v>E27</v>
      </c>
      <c r="D1304" s="1418" t="s">
        <v>1367</v>
      </c>
      <c r="E1304" s="859" t="s">
        <v>1936</v>
      </c>
      <c r="F1304" s="1418"/>
      <c r="G1304" s="1418"/>
      <c r="H1304" s="1418"/>
      <c r="I1304" s="857" t="str">
        <f t="shared" si="247"/>
        <v>Offer this Incentive?</v>
      </c>
      <c r="J1304" s="1418" t="str">
        <f>$Q$1&amp;IF(T$1286=2,V1286,IF(T$1286=1,IF(T$1304&lt;&gt;0,U1304,IF(T$1322&lt;&gt;0,U1322,"")),IF(T$1304=2,V1304,IF(T$1304=1,IF(T$1322&lt;&gt;0,U1322,""),IF(T$1322=2,V1322,"")))))</f>
        <v>F</v>
      </c>
      <c r="K1304" s="1418" t="str">
        <f t="shared" si="246"/>
        <v>Incentives</v>
      </c>
      <c r="L1304" s="1418"/>
      <c r="M1304" s="1418"/>
      <c r="N1304" s="1418"/>
      <c r="O1304" s="1411" t="s">
        <v>1946</v>
      </c>
      <c r="P1304" s="1411">
        <f>'Configurable Tab'!E4</f>
        <v>0</v>
      </c>
      <c r="Q1304" s="857" t="str">
        <f>IFERROR(_xlfn.CONCAT("C",('Configurable Tab'!$C4+1)),"")</f>
        <v>C27</v>
      </c>
      <c r="R1304" s="1418" t="s">
        <v>855</v>
      </c>
      <c r="S1304" s="1418" t="s">
        <v>1947</v>
      </c>
      <c r="T1304" s="1418">
        <f>IF(Q$570="Yes",IF(Q$589="Yes",2,1),0)</f>
        <v>0</v>
      </c>
      <c r="U1304" s="1418" t="str">
        <f>IF(Q$570="Yes",M570,"")</f>
        <v/>
      </c>
      <c r="V1304" s="1418" t="str">
        <f>IF(Q$589="Yes",M589,"")</f>
        <v/>
      </c>
    </row>
    <row r="1305" spans="1:22" s="1411" customFormat="1" x14ac:dyDescent="0.25">
      <c r="A1305" s="920" t="s">
        <v>1400</v>
      </c>
      <c r="B1305" s="857" t="str">
        <f>IFERROR(_xlfn.CONCAT("D",('Configurable Tab'!$C$4+2)),"")</f>
        <v>D28</v>
      </c>
      <c r="C1305" s="857" t="str">
        <f>IFERROR(_xlfn.CONCAT("E",('Configurable Tab'!$C$4+2)),"")</f>
        <v>E28</v>
      </c>
      <c r="D1305" s="1418" t="s">
        <v>1367</v>
      </c>
      <c r="E1305" s="859" t="s">
        <v>1936</v>
      </c>
      <c r="F1305" s="1418"/>
      <c r="G1305" s="1418"/>
      <c r="H1305" s="1418"/>
      <c r="I1305" s="857" t="str">
        <f t="shared" si="247"/>
        <v>Incentive Type</v>
      </c>
      <c r="J1305" s="1418" t="str">
        <f t="shared" ref="J1305:J1321" si="249">$Q$1&amp;IF(T$1286=2,V1287,IF(T$1286=1,IF(T$1304&lt;&gt;0,U1305,IF(T$1322&lt;&gt;0,U1323,"")),IF(T$1304=2,V1305,IF(T$1304=1,IF(T$1322&lt;&gt;0,U1323,""),IF(T$1322=2,V1323,"")))))</f>
        <v>F</v>
      </c>
      <c r="K1305" s="1418" t="str">
        <f t="shared" si="246"/>
        <v>Incentives</v>
      </c>
      <c r="L1305" s="1418"/>
      <c r="M1305" s="1418"/>
      <c r="N1305" s="1418"/>
      <c r="R1305" s="1418" t="s">
        <v>855</v>
      </c>
      <c r="S1305" s="1418" t="s">
        <v>1947</v>
      </c>
      <c r="U1305" s="1418" t="str">
        <f>IF(Q$570="Yes",M571,"")</f>
        <v/>
      </c>
      <c r="V1305" s="1418" t="str">
        <f>IF(Q$589="Yes",M590,"")</f>
        <v/>
      </c>
    </row>
    <row r="1306" spans="1:22" s="1411" customFormat="1" x14ac:dyDescent="0.25">
      <c r="A1306" s="920" t="s">
        <v>1402</v>
      </c>
      <c r="B1306" s="857" t="str">
        <f>IFERROR(_xlfn.CONCAT("D",('Configurable Tab'!$C$4+4)),"")</f>
        <v>D30</v>
      </c>
      <c r="C1306" s="857" t="str">
        <f>IFERROR(_xlfn.CONCAT("E",('Configurable Tab'!$C$4+4)),"")</f>
        <v>E30</v>
      </c>
      <c r="D1306" s="1418" t="s">
        <v>1367</v>
      </c>
      <c r="E1306" s="859" t="s">
        <v>1936</v>
      </c>
      <c r="F1306" s="1418"/>
      <c r="G1306" s="1418"/>
      <c r="H1306" s="1418"/>
      <c r="I1306" s="857" t="str">
        <f t="shared" si="247"/>
        <v>Incentive Effective Date</v>
      </c>
      <c r="J1306" s="1418" t="str">
        <f t="shared" si="249"/>
        <v>F</v>
      </c>
      <c r="K1306" s="1418" t="str">
        <f t="shared" si="246"/>
        <v>Incentives</v>
      </c>
      <c r="L1306" s="1418"/>
      <c r="M1306" s="1418"/>
      <c r="N1306" s="1418"/>
      <c r="R1306" s="1418" t="s">
        <v>855</v>
      </c>
      <c r="S1306" s="1418" t="s">
        <v>1947</v>
      </c>
      <c r="U1306" s="1418" t="str">
        <f>IF(Q$570="Yes",M579,"")</f>
        <v/>
      </c>
      <c r="V1306" s="1418" t="str">
        <f>IF(Q$589="Yes",M598,"")</f>
        <v/>
      </c>
    </row>
    <row r="1307" spans="1:22" s="1411" customFormat="1" x14ac:dyDescent="0.25">
      <c r="A1307" s="920" t="s">
        <v>1403</v>
      </c>
      <c r="B1307" s="857" t="str">
        <f>IFERROR(_xlfn.CONCAT("D",('Configurable Tab'!$C$4+5)),"")</f>
        <v>D31</v>
      </c>
      <c r="C1307" s="857" t="str">
        <f>IFERROR(_xlfn.CONCAT("E",('Configurable Tab'!$C$4+5)),"")</f>
        <v>E31</v>
      </c>
      <c r="D1307" s="1418" t="s">
        <v>1367</v>
      </c>
      <c r="E1307" s="859" t="s">
        <v>1936</v>
      </c>
      <c r="F1307" s="1418"/>
      <c r="G1307" s="1418"/>
      <c r="H1307" s="1418"/>
      <c r="I1307" s="857" t="str">
        <f t="shared" si="247"/>
        <v>Incentive Expiration Date</v>
      </c>
      <c r="J1307" s="1418" t="str">
        <f t="shared" si="249"/>
        <v>F</v>
      </c>
      <c r="K1307" s="1418" t="str">
        <f t="shared" si="246"/>
        <v>Incentives</v>
      </c>
      <c r="L1307" s="1418"/>
      <c r="M1307" s="1418"/>
      <c r="N1307" s="1418"/>
      <c r="R1307" s="1418" t="s">
        <v>855</v>
      </c>
      <c r="S1307" s="1418" t="s">
        <v>1947</v>
      </c>
      <c r="U1307" s="1418" t="str">
        <f>IF(Q$570="Yes",M580,"")</f>
        <v/>
      </c>
      <c r="V1307" s="1418" t="str">
        <f>IF(Q$589="Yes",M599,"")</f>
        <v/>
      </c>
    </row>
    <row r="1308" spans="1:22" s="1411" customFormat="1" x14ac:dyDescent="0.25">
      <c r="A1308" s="920" t="s">
        <v>1397</v>
      </c>
      <c r="B1308" s="857" t="str">
        <f>IFERROR(_xlfn.CONCAT("G",('Configurable Tab'!$C$4+1)),"")</f>
        <v>G27</v>
      </c>
      <c r="C1308" s="857" t="str">
        <f>IFERROR(_xlfn.CONCAT("G",('Configurable Tab'!$C$4+2)),"")</f>
        <v>G28</v>
      </c>
      <c r="D1308" s="1418" t="s">
        <v>1367</v>
      </c>
      <c r="E1308" s="859" t="s">
        <v>1936</v>
      </c>
      <c r="F1308" s="1418"/>
      <c r="G1308" s="1418"/>
      <c r="H1308" s="1418"/>
      <c r="I1308" s="857" t="str">
        <f t="shared" si="247"/>
        <v>Incentive Period</v>
      </c>
      <c r="J1308" s="1418" t="str">
        <f t="shared" si="249"/>
        <v>F</v>
      </c>
      <c r="K1308" s="1418" t="str">
        <f t="shared" si="246"/>
        <v>Incentives</v>
      </c>
      <c r="L1308" s="1418"/>
      <c r="M1308" s="1418"/>
      <c r="N1308" s="1418"/>
      <c r="R1308" s="1418" t="s">
        <v>855</v>
      </c>
      <c r="S1308" s="1418" t="s">
        <v>1947</v>
      </c>
      <c r="U1308" s="1418" t="str">
        <f>IF(Q$570="Yes",M572,"")</f>
        <v/>
      </c>
      <c r="V1308" s="1418" t="str">
        <f>IF(Q$589="Yes",M591,"")</f>
        <v/>
      </c>
    </row>
    <row r="1309" spans="1:22" s="1411" customFormat="1" x14ac:dyDescent="0.25">
      <c r="A1309" s="920" t="s">
        <v>1398</v>
      </c>
      <c r="B1309" s="857" t="str">
        <f>IFERROR(_xlfn.CONCAT("I",('Configurable Tab'!$C$4+1)),"")</f>
        <v>I27</v>
      </c>
      <c r="C1309" s="857" t="str">
        <f>IFERROR(_xlfn.CONCAT("I",('Configurable Tab'!$C$4+2)),"")</f>
        <v>I28</v>
      </c>
      <c r="D1309" s="1418" t="s">
        <v>1367</v>
      </c>
      <c r="E1309" s="859" t="s">
        <v>1936</v>
      </c>
      <c r="F1309" s="1418"/>
      <c r="G1309" s="1418"/>
      <c r="H1309" s="1418"/>
      <c r="I1309" s="857" t="str">
        <f t="shared" si="247"/>
        <v>Payment Method</v>
      </c>
      <c r="J1309" s="1418" t="str">
        <f t="shared" si="249"/>
        <v>F</v>
      </c>
      <c r="K1309" s="1418" t="str">
        <f t="shared" si="246"/>
        <v>Incentives</v>
      </c>
      <c r="L1309" s="1418"/>
      <c r="M1309" s="1418"/>
      <c r="N1309" s="1418"/>
      <c r="R1309" s="1418" t="s">
        <v>855</v>
      </c>
      <c r="S1309" s="1418" t="s">
        <v>1947</v>
      </c>
      <c r="U1309" s="1418" t="str">
        <f>IF(Q$570="Yes",M573,"")</f>
        <v/>
      </c>
      <c r="V1309" s="1418" t="str">
        <f>IF(Q$589="Yes",M592,"")</f>
        <v/>
      </c>
    </row>
    <row r="1310" spans="1:22" s="1411" customFormat="1" x14ac:dyDescent="0.25">
      <c r="A1310" s="920" t="s">
        <v>837</v>
      </c>
      <c r="B1310" s="857" t="str">
        <f>IFERROR(_xlfn.CONCAT("K",('Configurable Tab'!$C$4+1)),"")</f>
        <v>K27</v>
      </c>
      <c r="C1310" s="857" t="str">
        <f>IFERROR(_xlfn.CONCAT("K",('Configurable Tab'!$C$4+2)),"")</f>
        <v>K28</v>
      </c>
      <c r="D1310" s="1418" t="s">
        <v>1367</v>
      </c>
      <c r="E1310" s="859" t="s">
        <v>1936</v>
      </c>
      <c r="F1310" s="1418"/>
      <c r="G1310" s="1418"/>
      <c r="H1310" s="1418"/>
      <c r="I1310" s="857" t="str">
        <f t="shared" si="247"/>
        <v>Paid to:</v>
      </c>
      <c r="J1310" s="1418" t="str">
        <f t="shared" si="249"/>
        <v>F</v>
      </c>
      <c r="K1310" s="1418" t="str">
        <f t="shared" si="246"/>
        <v>Incentives</v>
      </c>
      <c r="L1310" s="1418"/>
      <c r="M1310" s="1418"/>
      <c r="N1310" s="1418"/>
      <c r="R1310" s="1418" t="s">
        <v>855</v>
      </c>
      <c r="S1310" s="1418" t="s">
        <v>1947</v>
      </c>
      <c r="U1310" s="1418" t="str">
        <f>IF(Q$570="Yes",M574,"")</f>
        <v/>
      </c>
      <c r="V1310" s="1418" t="str">
        <f>IF(Q$589="Yes",M593,"")</f>
        <v/>
      </c>
    </row>
    <row r="1311" spans="1:22" s="1411" customFormat="1" x14ac:dyDescent="0.25">
      <c r="A1311" s="920" t="s">
        <v>1399</v>
      </c>
      <c r="B1311" s="857" t="str">
        <f>IFERROR(_xlfn.CONCAT("M",('Configurable Tab'!$C$4+1)),"")</f>
        <v>M27</v>
      </c>
      <c r="C1311" s="857" t="str">
        <f>IFERROR(_xlfn.CONCAT("M",('Configurable Tab'!$C$4+2)),"")</f>
        <v>M28</v>
      </c>
      <c r="D1311" s="1418" t="s">
        <v>1367</v>
      </c>
      <c r="E1311" s="859" t="s">
        <v>1936</v>
      </c>
      <c r="F1311" s="1418"/>
      <c r="G1311" s="1418"/>
      <c r="H1311" s="1418"/>
      <c r="I1311" s="857" t="str">
        <f t="shared" si="247"/>
        <v>AP/AR Vendor Number</v>
      </c>
      <c r="J1311" s="1418" t="str">
        <f t="shared" si="249"/>
        <v>F</v>
      </c>
      <c r="K1311" s="1418" t="str">
        <f t="shared" si="246"/>
        <v>Incentives</v>
      </c>
      <c r="L1311" s="1418"/>
      <c r="M1311" s="1418"/>
      <c r="N1311" s="1418"/>
      <c r="R1311" s="1418" t="s">
        <v>855</v>
      </c>
      <c r="S1311" s="1418" t="s">
        <v>1947</v>
      </c>
      <c r="U1311" s="1418" t="str">
        <f>IF(Q$570="Yes",M575,"")</f>
        <v/>
      </c>
      <c r="V1311" s="1418" t="str">
        <f>IF(Q$589="Yes",M594,"")</f>
        <v/>
      </c>
    </row>
    <row r="1312" spans="1:22" s="1411" customFormat="1" x14ac:dyDescent="0.25">
      <c r="A1312" s="920" t="s">
        <v>1404</v>
      </c>
      <c r="B1312" s="857" t="str">
        <f>IFERROR(_xlfn.CONCAT("G",('Configurable Tab'!$C$4+6)),"")</f>
        <v>G32</v>
      </c>
      <c r="C1312" s="857" t="str">
        <f>IFERROR(_xlfn.CONCAT("G",('Configurable Tab'!$C$4+7)),"")</f>
        <v>G33</v>
      </c>
      <c r="D1312" s="1418" t="s">
        <v>1367</v>
      </c>
      <c r="E1312" s="859" t="s">
        <v>1936</v>
      </c>
      <c r="F1312" s="1418"/>
      <c r="G1312" s="1418"/>
      <c r="H1312" s="1418"/>
      <c r="I1312" s="857" t="str">
        <f t="shared" si="247"/>
        <v>Minimum Units</v>
      </c>
      <c r="J1312" s="1418" t="str">
        <f t="shared" si="249"/>
        <v>F</v>
      </c>
      <c r="K1312" s="1418" t="str">
        <f t="shared" si="246"/>
        <v>Incentives</v>
      </c>
      <c r="L1312" s="1418"/>
      <c r="M1312" s="1418"/>
      <c r="N1312" s="1418"/>
      <c r="R1312" s="1418" t="s">
        <v>855</v>
      </c>
      <c r="S1312" s="1418" t="s">
        <v>1947</v>
      </c>
      <c r="U1312" s="1418" t="str">
        <f>IF(Q$570="Yes",M584,"")</f>
        <v/>
      </c>
      <c r="V1312" s="1418" t="str">
        <f>IF(Q$589="Yes",M603,"")</f>
        <v/>
      </c>
    </row>
    <row r="1313" spans="1:22" s="1411" customFormat="1" x14ac:dyDescent="0.25">
      <c r="A1313" s="920" t="s">
        <v>1404</v>
      </c>
      <c r="B1313" s="857" t="str">
        <f>IFERROR(_xlfn.CONCAT("G",('Configurable Tab'!$C$4+6)),"")</f>
        <v>G32</v>
      </c>
      <c r="C1313" s="857" t="str">
        <f>IFERROR(_xlfn.CONCAT("G",('Configurable Tab'!$C$4+8)),"")</f>
        <v>G34</v>
      </c>
      <c r="D1313" s="1418" t="s">
        <v>1367</v>
      </c>
      <c r="E1313" s="859" t="s">
        <v>1936</v>
      </c>
      <c r="F1313" s="1418"/>
      <c r="G1313" s="1418"/>
      <c r="H1313" s="1418"/>
      <c r="I1313" s="857" t="str">
        <f t="shared" si="247"/>
        <v>Minimum Units</v>
      </c>
      <c r="J1313" s="1418" t="str">
        <f t="shared" si="249"/>
        <v>F</v>
      </c>
      <c r="K1313" s="1418" t="str">
        <f t="shared" si="246"/>
        <v>Incentives</v>
      </c>
      <c r="L1313" s="1418"/>
      <c r="M1313" s="1418"/>
      <c r="N1313" s="1418"/>
      <c r="R1313" s="1418" t="s">
        <v>855</v>
      </c>
    </row>
    <row r="1314" spans="1:22" s="1411" customFormat="1" x14ac:dyDescent="0.25">
      <c r="A1314" s="920" t="s">
        <v>1404</v>
      </c>
      <c r="B1314" s="857" t="str">
        <f>IFERROR(_xlfn.CONCAT("G",('Configurable Tab'!$C$4+6)),"")</f>
        <v>G32</v>
      </c>
      <c r="C1314" s="857" t="str">
        <f>IFERROR(_xlfn.CONCAT("G",('Configurable Tab'!$C$4+9)),"")</f>
        <v>G35</v>
      </c>
      <c r="D1314" s="1418" t="s">
        <v>1367</v>
      </c>
      <c r="E1314" s="859" t="s">
        <v>1936</v>
      </c>
      <c r="F1314" s="1418"/>
      <c r="G1314" s="1418"/>
      <c r="H1314" s="1418"/>
      <c r="I1314" s="857" t="str">
        <f t="shared" si="247"/>
        <v>Minimum Units</v>
      </c>
      <c r="J1314" s="1418" t="str">
        <f t="shared" si="249"/>
        <v>F</v>
      </c>
      <c r="K1314" s="1418" t="str">
        <f t="shared" si="246"/>
        <v>Incentives</v>
      </c>
      <c r="L1314" s="1418"/>
      <c r="M1314" s="1418"/>
      <c r="N1314" s="1418"/>
      <c r="R1314" s="1418" t="s">
        <v>855</v>
      </c>
    </row>
    <row r="1315" spans="1:22" s="1411" customFormat="1" x14ac:dyDescent="0.25">
      <c r="A1315" s="920" t="s">
        <v>1404</v>
      </c>
      <c r="B1315" s="857" t="str">
        <f>IFERROR(_xlfn.CONCAT("G",('Configurable Tab'!$C$4+6)),"")</f>
        <v>G32</v>
      </c>
      <c r="C1315" s="857" t="str">
        <f>IFERROR(_xlfn.CONCAT("G",('Configurable Tab'!$C$4+10)),"")</f>
        <v>G36</v>
      </c>
      <c r="D1315" s="1418" t="s">
        <v>1367</v>
      </c>
      <c r="E1315" s="859" t="s">
        <v>1936</v>
      </c>
      <c r="F1315" s="1418"/>
      <c r="G1315" s="1418"/>
      <c r="H1315" s="1418"/>
      <c r="I1315" s="857" t="str">
        <f t="shared" si="247"/>
        <v>Minimum Units</v>
      </c>
      <c r="J1315" s="1418" t="str">
        <f t="shared" si="249"/>
        <v>F</v>
      </c>
      <c r="K1315" s="1418" t="str">
        <f t="shared" si="246"/>
        <v>Incentives</v>
      </c>
      <c r="L1315" s="1418"/>
      <c r="M1315" s="1418"/>
      <c r="N1315" s="1418"/>
      <c r="R1315" s="1418" t="s">
        <v>855</v>
      </c>
    </row>
    <row r="1316" spans="1:22" s="1411" customFormat="1" x14ac:dyDescent="0.25">
      <c r="A1316" s="920" t="s">
        <v>1404</v>
      </c>
      <c r="B1316" s="857" t="str">
        <f>IFERROR(_xlfn.CONCAT("G",('Configurable Tab'!$C$4+6)),"")</f>
        <v>G32</v>
      </c>
      <c r="C1316" s="857" t="str">
        <f>IFERROR(_xlfn.CONCAT("G",('Configurable Tab'!$C$4+11)),"")</f>
        <v>G37</v>
      </c>
      <c r="D1316" s="1418" t="s">
        <v>1367</v>
      </c>
      <c r="E1316" s="859" t="s">
        <v>1936</v>
      </c>
      <c r="F1316" s="1418"/>
      <c r="G1316" s="1418"/>
      <c r="H1316" s="1418"/>
      <c r="I1316" s="857" t="str">
        <f t="shared" si="247"/>
        <v>Minimum Units</v>
      </c>
      <c r="J1316" s="1418" t="str">
        <f t="shared" si="249"/>
        <v>F</v>
      </c>
      <c r="K1316" s="1418" t="str">
        <f t="shared" si="246"/>
        <v>Incentives</v>
      </c>
      <c r="L1316" s="1418"/>
      <c r="M1316" s="1418"/>
      <c r="N1316" s="1418"/>
      <c r="R1316" s="1418" t="s">
        <v>855</v>
      </c>
    </row>
    <row r="1317" spans="1:22" s="1411" customFormat="1" x14ac:dyDescent="0.25">
      <c r="A1317" s="920" t="s">
        <v>1406</v>
      </c>
      <c r="B1317" s="857" t="str">
        <f>IFERROR(_xlfn.CONCAT("K",('Configurable Tab'!$C$4+6)),"")</f>
        <v>K32</v>
      </c>
      <c r="C1317" s="857" t="str">
        <f>IFERROR(_xlfn.CONCAT("K",('Configurable Tab'!$C$4+7)),"")</f>
        <v>K33</v>
      </c>
      <c r="D1317" s="1418" t="s">
        <v>1367</v>
      </c>
      <c r="E1317" s="859" t="s">
        <v>1936</v>
      </c>
      <c r="F1317" s="1418"/>
      <c r="G1317" s="1418"/>
      <c r="H1317" s="1418"/>
      <c r="I1317" s="857" t="str">
        <f t="shared" si="247"/>
        <v>Rate % of Sales</v>
      </c>
      <c r="J1317" s="1418" t="str">
        <f t="shared" si="249"/>
        <v>F</v>
      </c>
      <c r="K1317" s="1418" t="str">
        <f t="shared" si="246"/>
        <v>Incentives</v>
      </c>
      <c r="L1317" s="1418"/>
      <c r="M1317" s="1418"/>
      <c r="N1317" s="1418"/>
      <c r="R1317" s="1418" t="s">
        <v>855</v>
      </c>
      <c r="S1317" s="1418" t="s">
        <v>1947</v>
      </c>
      <c r="U1317" s="1418" t="str">
        <f>IF(Q$570="Yes",M586,"")</f>
        <v/>
      </c>
      <c r="V1317" s="1418" t="str">
        <f>IF(Q$589="Yes",M605,"")</f>
        <v/>
      </c>
    </row>
    <row r="1318" spans="1:22" s="1411" customFormat="1" x14ac:dyDescent="0.25">
      <c r="A1318" s="920" t="s">
        <v>1406</v>
      </c>
      <c r="B1318" s="857" t="str">
        <f>IFERROR(_xlfn.CONCAT("K",('Configurable Tab'!$C$4+6)),"")</f>
        <v>K32</v>
      </c>
      <c r="C1318" s="857" t="str">
        <f>IFERROR(_xlfn.CONCAT("K",('Configurable Tab'!$C$4+8)),"")</f>
        <v>K34</v>
      </c>
      <c r="D1318" s="1418" t="s">
        <v>1367</v>
      </c>
      <c r="E1318" s="859" t="s">
        <v>1936</v>
      </c>
      <c r="F1318" s="1418"/>
      <c r="G1318" s="1418"/>
      <c r="H1318" s="1418"/>
      <c r="I1318" s="857" t="str">
        <f t="shared" si="247"/>
        <v>Rate % of Sales</v>
      </c>
      <c r="J1318" s="1418" t="str">
        <f t="shared" si="249"/>
        <v>F</v>
      </c>
      <c r="K1318" s="1418" t="str">
        <f t="shared" si="246"/>
        <v>Incentives</v>
      </c>
      <c r="L1318" s="1418"/>
      <c r="M1318" s="1418"/>
      <c r="N1318" s="1418"/>
      <c r="R1318" s="1418" t="s">
        <v>855</v>
      </c>
    </row>
    <row r="1319" spans="1:22" s="1411" customFormat="1" x14ac:dyDescent="0.25">
      <c r="A1319" s="920" t="s">
        <v>1406</v>
      </c>
      <c r="B1319" s="857" t="str">
        <f>IFERROR(_xlfn.CONCAT("K",('Configurable Tab'!$C$4+6)),"")</f>
        <v>K32</v>
      </c>
      <c r="C1319" s="857" t="str">
        <f>IFERROR(_xlfn.CONCAT("K",('Configurable Tab'!$C$4+9)),"")</f>
        <v>K35</v>
      </c>
      <c r="D1319" s="1418" t="s">
        <v>1367</v>
      </c>
      <c r="E1319" s="859" t="s">
        <v>1936</v>
      </c>
      <c r="F1319" s="1418"/>
      <c r="G1319" s="1418"/>
      <c r="H1319" s="1418"/>
      <c r="I1319" s="857" t="str">
        <f t="shared" si="247"/>
        <v>Rate % of Sales</v>
      </c>
      <c r="J1319" s="1418" t="str">
        <f t="shared" si="249"/>
        <v>F</v>
      </c>
      <c r="K1319" s="1418" t="str">
        <f t="shared" si="246"/>
        <v>Incentives</v>
      </c>
      <c r="L1319" s="1418"/>
      <c r="M1319" s="1418"/>
      <c r="N1319" s="1418"/>
      <c r="R1319" s="1418" t="s">
        <v>855</v>
      </c>
    </row>
    <row r="1320" spans="1:22" s="1411" customFormat="1" x14ac:dyDescent="0.25">
      <c r="A1320" s="920" t="s">
        <v>1406</v>
      </c>
      <c r="B1320" s="857" t="str">
        <f>IFERROR(_xlfn.CONCAT("K",('Configurable Tab'!$C$4+6)),"")</f>
        <v>K32</v>
      </c>
      <c r="C1320" s="857" t="str">
        <f>IFERROR(_xlfn.CONCAT("K",('Configurable Tab'!$C$4+10)),"")</f>
        <v>K36</v>
      </c>
      <c r="D1320" s="1418" t="s">
        <v>1367</v>
      </c>
      <c r="E1320" s="859" t="s">
        <v>1936</v>
      </c>
      <c r="F1320" s="1418"/>
      <c r="G1320" s="1418"/>
      <c r="H1320" s="1418"/>
      <c r="I1320" s="857" t="str">
        <f t="shared" si="247"/>
        <v>Rate % of Sales</v>
      </c>
      <c r="J1320" s="1418" t="str">
        <f t="shared" si="249"/>
        <v>F</v>
      </c>
      <c r="K1320" s="1418" t="str">
        <f t="shared" si="246"/>
        <v>Incentives</v>
      </c>
      <c r="L1320" s="1418"/>
      <c r="M1320" s="1418"/>
      <c r="N1320" s="1418"/>
      <c r="R1320" s="1418" t="s">
        <v>855</v>
      </c>
    </row>
    <row r="1321" spans="1:22" s="1411" customFormat="1" x14ac:dyDescent="0.25">
      <c r="A1321" s="920" t="s">
        <v>1406</v>
      </c>
      <c r="B1321" s="857" t="str">
        <f>IFERROR(_xlfn.CONCAT("K",('Configurable Tab'!$C$4+6)),"")</f>
        <v>K32</v>
      </c>
      <c r="C1321" s="857" t="str">
        <f>IFERROR(_xlfn.CONCAT("K",('Configurable Tab'!$C$4+11)),"")</f>
        <v>K37</v>
      </c>
      <c r="D1321" s="1418" t="s">
        <v>1367</v>
      </c>
      <c r="E1321" s="859" t="s">
        <v>1936</v>
      </c>
      <c r="F1321" s="1418"/>
      <c r="G1321" s="1418"/>
      <c r="H1321" s="1418"/>
      <c r="I1321" s="857" t="str">
        <f t="shared" si="247"/>
        <v>Rate % of Sales</v>
      </c>
      <c r="J1321" s="1418" t="str">
        <f t="shared" si="249"/>
        <v>F</v>
      </c>
      <c r="K1321" s="1418" t="str">
        <f t="shared" si="246"/>
        <v>Incentives</v>
      </c>
      <c r="L1321" s="1418"/>
      <c r="M1321" s="1418"/>
      <c r="N1321" s="1418"/>
      <c r="R1321" s="1418" t="s">
        <v>855</v>
      </c>
    </row>
    <row r="1322" spans="1:22" s="1411" customFormat="1" x14ac:dyDescent="0.25">
      <c r="A1322" s="1102" t="s">
        <v>524</v>
      </c>
      <c r="B1322" s="857" t="str">
        <f>IFERROR(_xlfn.CONCAT("D",('Configurable Tab'!$C$5+1)),"")</f>
        <v>D41</v>
      </c>
      <c r="C1322" s="857" t="str">
        <f>IFERROR(_xlfn.CONCAT("E",('Configurable Tab'!$C$5+1)),"")</f>
        <v>E41</v>
      </c>
      <c r="D1322" s="1418" t="s">
        <v>1367</v>
      </c>
      <c r="E1322" s="859" t="s">
        <v>1936</v>
      </c>
      <c r="F1322" s="1418"/>
      <c r="G1322" s="1418"/>
      <c r="H1322" s="1418"/>
      <c r="I1322" s="857" t="str">
        <f t="shared" si="247"/>
        <v>Offer this Incentive?</v>
      </c>
      <c r="J1322" s="1418" t="str">
        <f>$Q$1&amp;IF(T$1286 = 2,IF(AND(T$1304=1,T$1304&lt;&gt;0),U1304,IF(AND(T$1322=1,T$1322&lt;&gt;0),U1322,"")),IF(T$1286=1,IF(T$1304=2,V1304,IF(T$1304=1,IF(AND(T$1322=1,T$1322&lt;&gt;0),U1322,""),IF(T$1322=2,V1322,""))),IF(T$1304=2,IF(AND(T$1322=1,T$1322&lt;&gt;0),U1322,""),IF(T$1304=1,IF(T$1322 = 2,V1322,""),""))))</f>
        <v>F</v>
      </c>
      <c r="K1322" s="1418" t="str">
        <f t="shared" si="246"/>
        <v>Incentives</v>
      </c>
      <c r="L1322" s="1418"/>
      <c r="M1322" s="1418"/>
      <c r="N1322" s="1418"/>
      <c r="O1322" s="1411" t="s">
        <v>1948</v>
      </c>
      <c r="P1322" s="1411">
        <f>'Configurable Tab'!E5</f>
        <v>0</v>
      </c>
      <c r="Q1322" s="857" t="str">
        <f>IFERROR(_xlfn.CONCAT("C",('Configurable Tab'!$C5+1)),"")</f>
        <v>C41</v>
      </c>
      <c r="R1322" s="1418" t="s">
        <v>855</v>
      </c>
      <c r="S1322" s="1416" t="s">
        <v>1949</v>
      </c>
      <c r="T1322" s="1418">
        <f>IF(Q$608="Yes",IF(Q$639="Yes",2,1),0)</f>
        <v>0</v>
      </c>
      <c r="U1322" s="1418" t="str">
        <f>IF(Q$608="Yes",M608,"")</f>
        <v/>
      </c>
      <c r="V1322" s="1418" t="str">
        <f>IF(Q$639="Yes",M639,"")</f>
        <v/>
      </c>
    </row>
    <row r="1323" spans="1:22" s="1411" customFormat="1" x14ac:dyDescent="0.25">
      <c r="A1323" s="1103" t="s">
        <v>1400</v>
      </c>
      <c r="B1323" s="857" t="str">
        <f>IFERROR(_xlfn.CONCAT("D",('Configurable Tab'!$C$5+2)),"")</f>
        <v>D42</v>
      </c>
      <c r="C1323" s="857" t="str">
        <f>IFERROR(_xlfn.CONCAT("E",('Configurable Tab'!$C$5+2)),"")</f>
        <v>E42</v>
      </c>
      <c r="D1323" s="1418" t="s">
        <v>1367</v>
      </c>
      <c r="E1323" s="859" t="s">
        <v>1936</v>
      </c>
      <c r="F1323" s="1418"/>
      <c r="G1323" s="1418"/>
      <c r="H1323" s="1418"/>
      <c r="I1323" s="857" t="str">
        <f t="shared" si="247"/>
        <v>Incentive Type</v>
      </c>
      <c r="J1323" s="1418" t="str">
        <f t="shared" ref="J1323:J1339" si="250">$Q$1&amp;IF(T$1286 = 2,IF(AND(T$1304=1,T$1304&lt;&gt;0),U1305,IF(AND(T$1322=1,T$1322&lt;&gt;0),U1323,"")),IF(T$1286=1,IF(T$1304=2,V1305,IF(T$1304=1,IF(AND(T$1322=1,T$1322&lt;&gt;0),U1323,""),IF(T$1322=2,V1323,""))),IF(T$1304=2,IF(AND(T$1322=1,T$1322&lt;&gt;0),U1323,""),IF(T$1304=1,IF(T$1322 = 2,V1323,""),""))))</f>
        <v>F</v>
      </c>
      <c r="K1323" s="1418" t="str">
        <f t="shared" si="246"/>
        <v>Incentives</v>
      </c>
      <c r="L1323" s="1418"/>
      <c r="M1323" s="1418"/>
      <c r="N1323" s="1418"/>
      <c r="R1323" s="1418" t="s">
        <v>855</v>
      </c>
      <c r="S1323" s="1416" t="s">
        <v>1949</v>
      </c>
      <c r="U1323" s="1418" t="str">
        <f>IF(Q$608="Yes",M609,"")</f>
        <v/>
      </c>
      <c r="V1323" s="1418" t="str">
        <f>IF(Q$639="Yes",M640,"")</f>
        <v/>
      </c>
    </row>
    <row r="1324" spans="1:22" s="1411" customFormat="1" x14ac:dyDescent="0.25">
      <c r="A1324" s="1103" t="s">
        <v>1402</v>
      </c>
      <c r="B1324" s="857" t="str">
        <f>IFERROR(_xlfn.CONCAT("D",('Configurable Tab'!$C$5+4)),"")</f>
        <v>D44</v>
      </c>
      <c r="C1324" s="857" t="str">
        <f>IFERROR(_xlfn.CONCAT("E",('Configurable Tab'!$C$5+4)),"")</f>
        <v>E44</v>
      </c>
      <c r="D1324" s="1418" t="s">
        <v>1367</v>
      </c>
      <c r="E1324" s="859" t="s">
        <v>1936</v>
      </c>
      <c r="F1324" s="1418"/>
      <c r="G1324" s="1418"/>
      <c r="H1324" s="1418"/>
      <c r="I1324" s="857" t="str">
        <f t="shared" si="247"/>
        <v>Incentive Effective Date</v>
      </c>
      <c r="J1324" s="1418" t="str">
        <f t="shared" si="250"/>
        <v>F</v>
      </c>
      <c r="K1324" s="1418" t="str">
        <f t="shared" si="246"/>
        <v>Incentives</v>
      </c>
      <c r="L1324" s="1418"/>
      <c r="M1324" s="1418"/>
      <c r="N1324" s="1418"/>
      <c r="R1324" s="1418" t="s">
        <v>855</v>
      </c>
      <c r="S1324" s="1416" t="s">
        <v>1949</v>
      </c>
      <c r="U1324" s="1418" t="str">
        <f>IF(Q$608="Yes",M617,"")</f>
        <v/>
      </c>
      <c r="V1324" s="1418" t="str">
        <f>IF(Q$639="Yes",M648,"")</f>
        <v/>
      </c>
    </row>
    <row r="1325" spans="1:22" s="1411" customFormat="1" x14ac:dyDescent="0.25">
      <c r="A1325" s="1103" t="s">
        <v>1403</v>
      </c>
      <c r="B1325" s="857" t="str">
        <f>IFERROR(_xlfn.CONCAT("D",('Configurable Tab'!$C$5+5)),"")</f>
        <v>D45</v>
      </c>
      <c r="C1325" s="857" t="str">
        <f>IFERROR(_xlfn.CONCAT("E",('Configurable Tab'!$C$5+5)),"")</f>
        <v>E45</v>
      </c>
      <c r="D1325" s="1418" t="s">
        <v>1367</v>
      </c>
      <c r="E1325" s="859" t="s">
        <v>1936</v>
      </c>
      <c r="F1325" s="1418"/>
      <c r="G1325" s="1418"/>
      <c r="H1325" s="1418"/>
      <c r="I1325" s="857" t="str">
        <f t="shared" si="247"/>
        <v>Incentive Expiration Date</v>
      </c>
      <c r="J1325" s="1418" t="str">
        <f t="shared" si="250"/>
        <v>F</v>
      </c>
      <c r="K1325" s="1418" t="str">
        <f t="shared" si="246"/>
        <v>Incentives</v>
      </c>
      <c r="L1325" s="1418"/>
      <c r="M1325" s="1418"/>
      <c r="N1325" s="1418"/>
      <c r="R1325" s="1418" t="s">
        <v>855</v>
      </c>
      <c r="S1325" s="1416" t="s">
        <v>1949</v>
      </c>
      <c r="U1325" s="1418" t="str">
        <f>IF(Q$608="Yes",M618,"")</f>
        <v/>
      </c>
      <c r="V1325" s="1418" t="str">
        <f>IF(Q$639="Yes",M649,"")</f>
        <v/>
      </c>
    </row>
    <row r="1326" spans="1:22" s="1411" customFormat="1" x14ac:dyDescent="0.25">
      <c r="A1326" s="1103" t="s">
        <v>1397</v>
      </c>
      <c r="B1326" s="857" t="str">
        <f>IFERROR(_xlfn.CONCAT("G",('Configurable Tab'!$C$5+1)),"")</f>
        <v>G41</v>
      </c>
      <c r="C1326" s="857" t="str">
        <f>IFERROR(_xlfn.CONCAT("G",('Configurable Tab'!$C$5+2)),"")</f>
        <v>G42</v>
      </c>
      <c r="D1326" s="1418" t="s">
        <v>1367</v>
      </c>
      <c r="E1326" s="859" t="s">
        <v>1936</v>
      </c>
      <c r="F1326" s="1418"/>
      <c r="G1326" s="1418"/>
      <c r="H1326" s="1418"/>
      <c r="I1326" s="857" t="str">
        <f t="shared" si="247"/>
        <v>Incentive Period</v>
      </c>
      <c r="J1326" s="1418" t="str">
        <f t="shared" si="250"/>
        <v>F</v>
      </c>
      <c r="K1326" s="1418" t="str">
        <f t="shared" si="246"/>
        <v>Incentives</v>
      </c>
      <c r="L1326" s="1418"/>
      <c r="M1326" s="1418"/>
      <c r="N1326" s="1418"/>
      <c r="R1326" s="1418" t="s">
        <v>855</v>
      </c>
      <c r="S1326" s="1416" t="s">
        <v>1949</v>
      </c>
      <c r="U1326" s="1418" t="str">
        <f>IF(Q$608="Yes",M610,"")</f>
        <v/>
      </c>
      <c r="V1326" s="1418" t="str">
        <f>IF(Q$639="Yes",M641,"")</f>
        <v/>
      </c>
    </row>
    <row r="1327" spans="1:22" s="1411" customFormat="1" x14ac:dyDescent="0.25">
      <c r="A1327" s="1103" t="s">
        <v>1398</v>
      </c>
      <c r="B1327" s="857" t="str">
        <f>IFERROR(_xlfn.CONCAT("I",('Configurable Tab'!$C$5+1)),"")</f>
        <v>I41</v>
      </c>
      <c r="C1327" s="857" t="str">
        <f>IFERROR(_xlfn.CONCAT("I",('Configurable Tab'!$C$5+2)),"")</f>
        <v>I42</v>
      </c>
      <c r="D1327" s="1418" t="s">
        <v>1367</v>
      </c>
      <c r="E1327" s="859" t="s">
        <v>1936</v>
      </c>
      <c r="F1327" s="1418"/>
      <c r="G1327" s="1418"/>
      <c r="H1327" s="1418"/>
      <c r="I1327" s="857" t="str">
        <f t="shared" si="247"/>
        <v>Payment Method</v>
      </c>
      <c r="J1327" s="1418" t="str">
        <f t="shared" si="250"/>
        <v>F</v>
      </c>
      <c r="K1327" s="1418" t="str">
        <f t="shared" si="246"/>
        <v>Incentives</v>
      </c>
      <c r="L1327" s="1418"/>
      <c r="M1327" s="1418"/>
      <c r="N1327" s="1418"/>
      <c r="R1327" s="1418" t="s">
        <v>855</v>
      </c>
      <c r="S1327" s="1416" t="s">
        <v>1949</v>
      </c>
      <c r="U1327" s="1418" t="str">
        <f>IF(Q$608="Yes",M611,"")</f>
        <v/>
      </c>
      <c r="V1327" s="1418" t="str">
        <f>IF(Q$639="Yes",M642,"")</f>
        <v/>
      </c>
    </row>
    <row r="1328" spans="1:22" s="1411" customFormat="1" x14ac:dyDescent="0.25">
      <c r="A1328" s="1103" t="s">
        <v>837</v>
      </c>
      <c r="B1328" s="857" t="str">
        <f>IFERROR(_xlfn.CONCAT("K",('Configurable Tab'!$C$5+1)),"")</f>
        <v>K41</v>
      </c>
      <c r="C1328" s="857" t="str">
        <f>IFERROR(_xlfn.CONCAT("K",('Configurable Tab'!$C$5+2)),"")</f>
        <v>K42</v>
      </c>
      <c r="D1328" s="1418" t="s">
        <v>1367</v>
      </c>
      <c r="E1328" s="859" t="s">
        <v>1936</v>
      </c>
      <c r="F1328" s="1418"/>
      <c r="G1328" s="1418"/>
      <c r="H1328" s="1418"/>
      <c r="I1328" s="857" t="str">
        <f t="shared" si="247"/>
        <v>Paid to:</v>
      </c>
      <c r="J1328" s="1418" t="str">
        <f t="shared" si="250"/>
        <v>F</v>
      </c>
      <c r="K1328" s="1418" t="str">
        <f t="shared" si="246"/>
        <v>Incentives</v>
      </c>
      <c r="L1328" s="1418"/>
      <c r="M1328" s="1418"/>
      <c r="N1328" s="1418"/>
      <c r="R1328" s="1418" t="s">
        <v>855</v>
      </c>
      <c r="S1328" s="1416" t="s">
        <v>1949</v>
      </c>
      <c r="U1328" s="1418" t="str">
        <f>IF(Q$608="Yes",M612,"")</f>
        <v/>
      </c>
      <c r="V1328" s="1418" t="str">
        <f>IF(Q$639="Yes",M643,"")</f>
        <v/>
      </c>
    </row>
    <row r="1329" spans="1:22" s="1411" customFormat="1" x14ac:dyDescent="0.25">
      <c r="A1329" s="1103" t="s">
        <v>1399</v>
      </c>
      <c r="B1329" s="857" t="str">
        <f>IFERROR(_xlfn.CONCAT("M",('Configurable Tab'!$C$5+1)),"")</f>
        <v>M41</v>
      </c>
      <c r="C1329" s="857" t="str">
        <f>IFERROR(_xlfn.CONCAT("M",('Configurable Tab'!$C$5+2)),"")</f>
        <v>M42</v>
      </c>
      <c r="D1329" s="1418" t="s">
        <v>1367</v>
      </c>
      <c r="E1329" s="859" t="s">
        <v>1936</v>
      </c>
      <c r="F1329" s="1418"/>
      <c r="G1329" s="1418"/>
      <c r="H1329" s="1418"/>
      <c r="I1329" s="857" t="str">
        <f t="shared" si="247"/>
        <v>AP/AR Vendor Number</v>
      </c>
      <c r="J1329" s="1418" t="str">
        <f t="shared" si="250"/>
        <v>F</v>
      </c>
      <c r="K1329" s="1418" t="str">
        <f t="shared" si="246"/>
        <v>Incentives</v>
      </c>
      <c r="L1329" s="1418"/>
      <c r="M1329" s="1418"/>
      <c r="N1329" s="1418"/>
      <c r="R1329" s="1418" t="s">
        <v>855</v>
      </c>
      <c r="S1329" s="1416" t="s">
        <v>1949</v>
      </c>
      <c r="U1329" s="1418" t="str">
        <f>IF(Q$608="Yes",M613,"")</f>
        <v/>
      </c>
      <c r="V1329" s="1418" t="str">
        <f>IF(Q$639="Yes",M644,"")</f>
        <v/>
      </c>
    </row>
    <row r="1330" spans="1:22" s="1411" customFormat="1" x14ac:dyDescent="0.25">
      <c r="A1330" s="1103" t="s">
        <v>1404</v>
      </c>
      <c r="B1330" s="857" t="str">
        <f>IFERROR(_xlfn.CONCAT("G",('Configurable Tab'!$C$5+6)),"")</f>
        <v>G46</v>
      </c>
      <c r="C1330" s="857" t="str">
        <f>IFERROR(_xlfn.CONCAT("G",('Configurable Tab'!$C$5+7)),"")</f>
        <v>G47</v>
      </c>
      <c r="D1330" s="1418" t="s">
        <v>1367</v>
      </c>
      <c r="E1330" s="859" t="s">
        <v>1936</v>
      </c>
      <c r="F1330" s="1418"/>
      <c r="G1330" s="1418"/>
      <c r="H1330" s="1418"/>
      <c r="I1330" s="857" t="str">
        <f t="shared" si="247"/>
        <v>Minimum Units</v>
      </c>
      <c r="J1330" s="1418" t="str">
        <f t="shared" si="250"/>
        <v>F</v>
      </c>
      <c r="K1330" s="1418" t="str">
        <f t="shared" si="246"/>
        <v>Incentives</v>
      </c>
      <c r="L1330" s="1418"/>
      <c r="M1330" s="1418"/>
      <c r="N1330" s="1418"/>
      <c r="R1330" s="1418" t="s">
        <v>855</v>
      </c>
      <c r="S1330" s="1416" t="s">
        <v>1949</v>
      </c>
      <c r="U1330" s="1418" t="str">
        <f>IF(Q$608="Yes",M622,"")</f>
        <v/>
      </c>
      <c r="V1330" s="1418" t="str">
        <f>IF(Q$639="Yes",M653,"")</f>
        <v/>
      </c>
    </row>
    <row r="1331" spans="1:22" s="1411" customFormat="1" x14ac:dyDescent="0.25">
      <c r="A1331" s="1103" t="s">
        <v>1404</v>
      </c>
      <c r="B1331" s="857" t="str">
        <f>IFERROR(_xlfn.CONCAT("G",('Configurable Tab'!$C$5+6)),"")</f>
        <v>G46</v>
      </c>
      <c r="C1331" s="857" t="str">
        <f>IFERROR(_xlfn.CONCAT("G",('Configurable Tab'!$C$5+8)),"")</f>
        <v>G48</v>
      </c>
      <c r="D1331" s="1418" t="s">
        <v>1367</v>
      </c>
      <c r="E1331" s="859" t="s">
        <v>1936</v>
      </c>
      <c r="F1331" s="1418"/>
      <c r="G1331" s="1418"/>
      <c r="H1331" s="1418"/>
      <c r="I1331" s="857" t="str">
        <f t="shared" si="247"/>
        <v>Minimum Units</v>
      </c>
      <c r="J1331" s="1418" t="str">
        <f t="shared" si="250"/>
        <v>F</v>
      </c>
      <c r="K1331" s="1418" t="str">
        <f t="shared" si="246"/>
        <v>Incentives</v>
      </c>
      <c r="L1331" s="1418"/>
      <c r="M1331" s="1418"/>
      <c r="N1331" s="1418"/>
      <c r="R1331" s="1418" t="s">
        <v>855</v>
      </c>
      <c r="S1331" s="1416" t="s">
        <v>1949</v>
      </c>
      <c r="U1331" s="1418" t="str">
        <f>IF(Q$608="Yes",M625,"")</f>
        <v/>
      </c>
      <c r="V1331" s="1418" t="str">
        <f>IF(Q$639="Yes",M656,"")</f>
        <v/>
      </c>
    </row>
    <row r="1332" spans="1:22" s="1411" customFormat="1" x14ac:dyDescent="0.25">
      <c r="A1332" s="1103" t="s">
        <v>1404</v>
      </c>
      <c r="B1332" s="857" t="str">
        <f>IFERROR(_xlfn.CONCAT("G",('Configurable Tab'!$C$5+6)),"")</f>
        <v>G46</v>
      </c>
      <c r="C1332" s="857" t="str">
        <f>IFERROR(_xlfn.CONCAT("G",('Configurable Tab'!$C$5+9)),"")</f>
        <v>G49</v>
      </c>
      <c r="D1332" s="1418" t="s">
        <v>1367</v>
      </c>
      <c r="E1332" s="859" t="s">
        <v>1936</v>
      </c>
      <c r="F1332" s="1418"/>
      <c r="G1332" s="1418"/>
      <c r="H1332" s="1418"/>
      <c r="I1332" s="857" t="str">
        <f t="shared" si="247"/>
        <v>Minimum Units</v>
      </c>
      <c r="J1332" s="1418" t="str">
        <f t="shared" si="250"/>
        <v>F</v>
      </c>
      <c r="K1332" s="1418" t="str">
        <f t="shared" si="246"/>
        <v>Incentives</v>
      </c>
      <c r="L1332" s="1418"/>
      <c r="M1332" s="1418"/>
      <c r="N1332" s="1418"/>
      <c r="R1332" s="1418" t="s">
        <v>855</v>
      </c>
      <c r="S1332" s="1416" t="s">
        <v>1949</v>
      </c>
      <c r="U1332" s="1418" t="str">
        <f>IF(Q$608="Yes",M628,"")</f>
        <v/>
      </c>
      <c r="V1332" s="1418" t="str">
        <f>IF(Q$639="Yes",M659,"")</f>
        <v/>
      </c>
    </row>
    <row r="1333" spans="1:22" s="1411" customFormat="1" x14ac:dyDescent="0.25">
      <c r="A1333" s="1103" t="s">
        <v>1404</v>
      </c>
      <c r="B1333" s="857" t="str">
        <f>IFERROR(_xlfn.CONCAT("G",('Configurable Tab'!$C$5+6)),"")</f>
        <v>G46</v>
      </c>
      <c r="C1333" s="857" t="str">
        <f>IFERROR(_xlfn.CONCAT("G",('Configurable Tab'!$C$5+10)),"")</f>
        <v>G50</v>
      </c>
      <c r="D1333" s="1418" t="s">
        <v>1367</v>
      </c>
      <c r="E1333" s="859" t="s">
        <v>1936</v>
      </c>
      <c r="F1333" s="1418"/>
      <c r="G1333" s="1418"/>
      <c r="H1333" s="1418"/>
      <c r="I1333" s="857" t="str">
        <f t="shared" si="247"/>
        <v>Minimum Units</v>
      </c>
      <c r="J1333" s="1418" t="str">
        <f t="shared" si="250"/>
        <v>F</v>
      </c>
      <c r="K1333" s="1418" t="str">
        <f t="shared" si="246"/>
        <v>Incentives</v>
      </c>
      <c r="L1333" s="1418"/>
      <c r="M1333" s="1418"/>
      <c r="N1333" s="1418"/>
      <c r="R1333" s="1418" t="s">
        <v>855</v>
      </c>
      <c r="S1333" s="1416" t="s">
        <v>1949</v>
      </c>
      <c r="U1333" s="1418" t="str">
        <f>IF(Q$608="Yes",M631,"")</f>
        <v/>
      </c>
      <c r="V1333" s="1418" t="str">
        <f>IF(Q$639="Yes",M662,"")</f>
        <v/>
      </c>
    </row>
    <row r="1334" spans="1:22" s="1411" customFormat="1" x14ac:dyDescent="0.25">
      <c r="A1334" s="1103" t="s">
        <v>1404</v>
      </c>
      <c r="B1334" s="857" t="str">
        <f>IFERROR(_xlfn.CONCAT("G",('Configurable Tab'!$C$5+6)),"")</f>
        <v>G46</v>
      </c>
      <c r="C1334" s="857" t="str">
        <f>IFERROR(_xlfn.CONCAT("G",('Configurable Tab'!$C$5+11)),"")</f>
        <v>G51</v>
      </c>
      <c r="D1334" s="1418" t="s">
        <v>1367</v>
      </c>
      <c r="E1334" s="859" t="s">
        <v>1936</v>
      </c>
      <c r="F1334" s="1418"/>
      <c r="G1334" s="1418"/>
      <c r="H1334" s="1418"/>
      <c r="I1334" s="857" t="str">
        <f t="shared" si="247"/>
        <v>Minimum Units</v>
      </c>
      <c r="J1334" s="1418" t="str">
        <f t="shared" si="250"/>
        <v>F</v>
      </c>
      <c r="K1334" s="1418" t="str">
        <f t="shared" si="246"/>
        <v>Incentives</v>
      </c>
      <c r="L1334" s="1418"/>
      <c r="M1334" s="1418"/>
      <c r="N1334" s="1418"/>
      <c r="R1334" s="1418" t="s">
        <v>855</v>
      </c>
      <c r="S1334" s="1416" t="s">
        <v>1949</v>
      </c>
      <c r="U1334" s="1418" t="str">
        <f>IF(Q$608="Yes",M634,"")</f>
        <v/>
      </c>
      <c r="V1334" s="1418" t="str">
        <f>IF(Q$639="Yes",M665,"")</f>
        <v/>
      </c>
    </row>
    <row r="1335" spans="1:22" s="1411" customFormat="1" x14ac:dyDescent="0.25">
      <c r="A1335" s="1103" t="s">
        <v>1406</v>
      </c>
      <c r="B1335" s="857" t="str">
        <f>IFERROR(_xlfn.CONCAT("K",('Configurable Tab'!$C$5+6)),"")</f>
        <v>K46</v>
      </c>
      <c r="C1335" s="857" t="str">
        <f>IFERROR(_xlfn.CONCAT("K",('Configurable Tab'!$C$5+7)),"")</f>
        <v>K47</v>
      </c>
      <c r="D1335" s="1418" t="s">
        <v>1367</v>
      </c>
      <c r="E1335" s="859" t="s">
        <v>1936</v>
      </c>
      <c r="F1335" s="1418"/>
      <c r="G1335" s="1418"/>
      <c r="H1335" s="1418"/>
      <c r="I1335" s="857" t="str">
        <f t="shared" si="247"/>
        <v>Rate % of Sales</v>
      </c>
      <c r="J1335" s="1418" t="str">
        <f t="shared" si="250"/>
        <v>F</v>
      </c>
      <c r="K1335" s="1418" t="str">
        <f t="shared" si="246"/>
        <v>Incentives</v>
      </c>
      <c r="L1335" s="1418"/>
      <c r="M1335" s="1418"/>
      <c r="N1335" s="1418"/>
      <c r="R1335" s="1418" t="s">
        <v>855</v>
      </c>
      <c r="S1335" s="1416" t="s">
        <v>1949</v>
      </c>
      <c r="U1335" s="1418" t="str">
        <f>IF(Q$608="Yes",M624,"")</f>
        <v/>
      </c>
      <c r="V1335" s="1418" t="str">
        <f>IF(Q$639="Yes",M655,"")</f>
        <v/>
      </c>
    </row>
    <row r="1336" spans="1:22" s="1411" customFormat="1" x14ac:dyDescent="0.25">
      <c r="A1336" s="1103" t="s">
        <v>1406</v>
      </c>
      <c r="B1336" s="857" t="str">
        <f>IFERROR(_xlfn.CONCAT("K",('Configurable Tab'!$C$5+6)),"")</f>
        <v>K46</v>
      </c>
      <c r="C1336" s="857" t="str">
        <f>IFERROR(_xlfn.CONCAT("K",('Configurable Tab'!$C$5+8)),"")</f>
        <v>K48</v>
      </c>
      <c r="D1336" s="1418" t="s">
        <v>1367</v>
      </c>
      <c r="E1336" s="859" t="s">
        <v>1936</v>
      </c>
      <c r="F1336" s="1418"/>
      <c r="G1336" s="1418"/>
      <c r="H1336" s="1418"/>
      <c r="I1336" s="857" t="str">
        <f t="shared" si="247"/>
        <v>Rate % of Sales</v>
      </c>
      <c r="J1336" s="1418" t="str">
        <f t="shared" si="250"/>
        <v>F</v>
      </c>
      <c r="K1336" s="1418" t="str">
        <f t="shared" si="246"/>
        <v>Incentives</v>
      </c>
      <c r="L1336" s="1418"/>
      <c r="M1336" s="1418"/>
      <c r="N1336" s="1418"/>
      <c r="R1336" s="1418" t="s">
        <v>855</v>
      </c>
      <c r="S1336" s="1416" t="s">
        <v>1949</v>
      </c>
      <c r="U1336" s="1418" t="str">
        <f>IF(Q$608="Yes",M627,"")</f>
        <v/>
      </c>
      <c r="V1336" s="1418" t="str">
        <f>IF(Q$639="Yes",M658,"")</f>
        <v/>
      </c>
    </row>
    <row r="1337" spans="1:22" s="1411" customFormat="1" x14ac:dyDescent="0.25">
      <c r="A1337" s="1103" t="s">
        <v>1406</v>
      </c>
      <c r="B1337" s="857" t="str">
        <f>IFERROR(_xlfn.CONCAT("K",('Configurable Tab'!$C$5+6)),"")</f>
        <v>K46</v>
      </c>
      <c r="C1337" s="857" t="str">
        <f>IFERROR(_xlfn.CONCAT("K",('Configurable Tab'!$C$5+9)),"")</f>
        <v>K49</v>
      </c>
      <c r="D1337" s="1418" t="s">
        <v>1367</v>
      </c>
      <c r="E1337" s="859" t="s">
        <v>1936</v>
      </c>
      <c r="F1337" s="1418"/>
      <c r="G1337" s="1418"/>
      <c r="H1337" s="1418"/>
      <c r="I1337" s="857" t="str">
        <f t="shared" si="247"/>
        <v>Rate % of Sales</v>
      </c>
      <c r="J1337" s="1418" t="str">
        <f t="shared" si="250"/>
        <v>F</v>
      </c>
      <c r="K1337" s="1418" t="str">
        <f t="shared" si="246"/>
        <v>Incentives</v>
      </c>
      <c r="L1337" s="1418"/>
      <c r="M1337" s="1418"/>
      <c r="N1337" s="1418"/>
      <c r="R1337" s="1418" t="s">
        <v>855</v>
      </c>
      <c r="S1337" s="1416" t="s">
        <v>1949</v>
      </c>
      <c r="U1337" s="1418" t="str">
        <f>IF(Q$608="Yes",M630,"")</f>
        <v/>
      </c>
      <c r="V1337" s="1418" t="str">
        <f>IF(Q$639="Yes",M661,"")</f>
        <v/>
      </c>
    </row>
    <row r="1338" spans="1:22" s="1411" customFormat="1" x14ac:dyDescent="0.25">
      <c r="A1338" s="1103" t="s">
        <v>1406</v>
      </c>
      <c r="B1338" s="857" t="str">
        <f>IFERROR(_xlfn.CONCAT("K",('Configurable Tab'!$C$5+6)),"")</f>
        <v>K46</v>
      </c>
      <c r="C1338" s="857" t="str">
        <f>IFERROR(_xlfn.CONCAT("K",('Configurable Tab'!$C$5+10)),"")</f>
        <v>K50</v>
      </c>
      <c r="D1338" s="1418" t="s">
        <v>1367</v>
      </c>
      <c r="E1338" s="859" t="s">
        <v>1936</v>
      </c>
      <c r="F1338" s="1418"/>
      <c r="G1338" s="1418"/>
      <c r="H1338" s="1418"/>
      <c r="I1338" s="857" t="str">
        <f t="shared" si="247"/>
        <v>Rate % of Sales</v>
      </c>
      <c r="J1338" s="1418" t="str">
        <f t="shared" si="250"/>
        <v>F</v>
      </c>
      <c r="K1338" s="1418" t="str">
        <f t="shared" si="246"/>
        <v>Incentives</v>
      </c>
      <c r="L1338" s="1418"/>
      <c r="M1338" s="1418"/>
      <c r="N1338" s="1418"/>
      <c r="R1338" s="1418" t="s">
        <v>855</v>
      </c>
      <c r="S1338" s="1416" t="s">
        <v>1949</v>
      </c>
      <c r="U1338" s="1418" t="str">
        <f>IF(Q$608="Yes",M633,"")</f>
        <v/>
      </c>
      <c r="V1338" s="1418" t="str">
        <f>IF(Q$639="Yes",M664,"")</f>
        <v/>
      </c>
    </row>
    <row r="1339" spans="1:22" s="1411" customFormat="1" x14ac:dyDescent="0.25">
      <c r="A1339" s="1103" t="s">
        <v>1406</v>
      </c>
      <c r="B1339" s="857" t="str">
        <f>IFERROR(_xlfn.CONCAT("K",('Configurable Tab'!$C$5+6)),"")</f>
        <v>K46</v>
      </c>
      <c r="C1339" s="857" t="str">
        <f>IFERROR(_xlfn.CONCAT("K",('Configurable Tab'!$C$5+11)),"")</f>
        <v>K51</v>
      </c>
      <c r="D1339" s="1418" t="s">
        <v>1367</v>
      </c>
      <c r="E1339" s="859" t="s">
        <v>1936</v>
      </c>
      <c r="F1339" s="1418"/>
      <c r="G1339" s="1418"/>
      <c r="H1339" s="1418"/>
      <c r="I1339" s="857" t="str">
        <f t="shared" si="247"/>
        <v>Rate % of Sales</v>
      </c>
      <c r="J1339" s="1418" t="str">
        <f t="shared" si="250"/>
        <v>F</v>
      </c>
      <c r="K1339" s="1418" t="str">
        <f t="shared" si="246"/>
        <v>Incentives</v>
      </c>
      <c r="L1339" s="1418"/>
      <c r="M1339" s="1418"/>
      <c r="N1339" s="1418"/>
      <c r="R1339" s="1418" t="s">
        <v>855</v>
      </c>
      <c r="S1339" s="1416" t="s">
        <v>1949</v>
      </c>
      <c r="U1339" s="1418" t="str">
        <f>IF(Q$608="Yes",M636,"")</f>
        <v/>
      </c>
      <c r="V1339" s="1418" t="str">
        <f>IF(Q$639="Yes",M667,"")</f>
        <v/>
      </c>
    </row>
    <row r="1340" spans="1:22" s="1411" customFormat="1" x14ac:dyDescent="0.25">
      <c r="A1340" s="1429" t="s">
        <v>524</v>
      </c>
      <c r="B1340" s="857" t="str">
        <f>IFERROR(_xlfn.CONCAT("D",('Configurable Tab'!$C$6+1)),"")</f>
        <v>D55</v>
      </c>
      <c r="C1340" s="857" t="str">
        <f>IFERROR(_xlfn.CONCAT("E",('Configurable Tab'!$C$6+1)),"")</f>
        <v>E55</v>
      </c>
      <c r="D1340" s="1418" t="s">
        <v>1367</v>
      </c>
      <c r="E1340" s="859" t="s">
        <v>1936</v>
      </c>
      <c r="F1340" s="1418"/>
      <c r="G1340" s="1418"/>
      <c r="H1340" s="1418"/>
      <c r="I1340" s="857" t="str">
        <f t="shared" si="247"/>
        <v>Offer this Incentive?</v>
      </c>
      <c r="J1340" s="1418" t="str">
        <f>$Q$1&amp;IF(T$1340&lt;&gt;0,U1340,IF(T$1358&lt;&gt;0,U1358,""))</f>
        <v>F</v>
      </c>
      <c r="K1340" s="1418" t="str">
        <f t="shared" si="246"/>
        <v>Incentives</v>
      </c>
      <c r="L1340" s="1418"/>
      <c r="M1340" s="1418"/>
      <c r="N1340" s="1418"/>
      <c r="O1340" s="1411" t="s">
        <v>1706</v>
      </c>
      <c r="P1340" s="1411">
        <f>'Configurable Tab'!E6</f>
        <v>0</v>
      </c>
      <c r="Q1340" s="857" t="str">
        <f>IFERROR(_xlfn.CONCAT("C",('Configurable Tab'!$C6+1)),"")</f>
        <v>C55</v>
      </c>
      <c r="R1340" s="1418" t="s">
        <v>1544</v>
      </c>
      <c r="S1340" s="1416" t="s">
        <v>1950</v>
      </c>
      <c r="T1340" s="1418">
        <f>IF(Q$670="Yes",IF(Q$688="Yes",2,1),0)</f>
        <v>0</v>
      </c>
      <c r="U1340" s="1418" t="str">
        <f>IF(Q$670="Yes",M670,"")</f>
        <v/>
      </c>
      <c r="V1340" s="1418" t="str">
        <f>IF(Q$688="Yes",M688,"")</f>
        <v/>
      </c>
    </row>
    <row r="1341" spans="1:22" s="1411" customFormat="1" x14ac:dyDescent="0.25">
      <c r="A1341" s="1430" t="s">
        <v>1400</v>
      </c>
      <c r="B1341" s="857" t="str">
        <f>IFERROR(_xlfn.CONCAT("D",('Configurable Tab'!$C$6+2)),"")</f>
        <v>D56</v>
      </c>
      <c r="C1341" s="857" t="str">
        <f>IFERROR(_xlfn.CONCAT("E",('Configurable Tab'!$C$6+2)),"")</f>
        <v>E56</v>
      </c>
      <c r="D1341" s="1418" t="s">
        <v>1367</v>
      </c>
      <c r="E1341" s="859" t="s">
        <v>1936</v>
      </c>
      <c r="F1341" s="1418"/>
      <c r="G1341" s="1418"/>
      <c r="H1341" s="1418"/>
      <c r="I1341" s="857" t="str">
        <f t="shared" si="247"/>
        <v>Incentive Type</v>
      </c>
      <c r="J1341" s="1418" t="str">
        <f t="shared" ref="J1341:J1357" si="251">$Q$1&amp;IF(T$1340&lt;&gt;0,U1341,IF(T$1358&lt;&gt;0,U1359,""))</f>
        <v>F</v>
      </c>
      <c r="K1341" s="1418" t="str">
        <f t="shared" si="246"/>
        <v>Incentives</v>
      </c>
      <c r="L1341" s="1418"/>
      <c r="M1341" s="1418"/>
      <c r="N1341" s="1418"/>
      <c r="R1341" s="1418" t="s">
        <v>1544</v>
      </c>
      <c r="S1341" s="1416" t="s">
        <v>1950</v>
      </c>
      <c r="U1341" s="1418" t="str">
        <f>IF(Q$670="Yes",M671,"")</f>
        <v/>
      </c>
      <c r="V1341" s="1418" t="str">
        <f>IF(Q$688="Yes",M689,"")</f>
        <v/>
      </c>
    </row>
    <row r="1342" spans="1:22" s="1411" customFormat="1" x14ac:dyDescent="0.25">
      <c r="A1342" s="1430" t="s">
        <v>1402</v>
      </c>
      <c r="B1342" s="857" t="str">
        <f>IFERROR(_xlfn.CONCAT("D",('Configurable Tab'!$C$6+4)),"")</f>
        <v>D58</v>
      </c>
      <c r="C1342" s="857" t="str">
        <f>IFERROR(_xlfn.CONCAT("E",('Configurable Tab'!$C$6+4)),"")</f>
        <v>E58</v>
      </c>
      <c r="D1342" s="1418" t="s">
        <v>1367</v>
      </c>
      <c r="E1342" s="859" t="s">
        <v>1936</v>
      </c>
      <c r="F1342" s="1418"/>
      <c r="G1342" s="1418"/>
      <c r="H1342" s="1418"/>
      <c r="I1342" s="857" t="str">
        <f t="shared" si="247"/>
        <v>Incentive Effective Date</v>
      </c>
      <c r="J1342" s="1418" t="str">
        <f t="shared" si="251"/>
        <v>F</v>
      </c>
      <c r="K1342" s="1418" t="str">
        <f t="shared" si="246"/>
        <v>Incentives</v>
      </c>
      <c r="L1342" s="1418"/>
      <c r="M1342" s="1418"/>
      <c r="N1342" s="1418"/>
      <c r="R1342" s="1418" t="s">
        <v>1544</v>
      </c>
      <c r="S1342" s="1416" t="s">
        <v>1950</v>
      </c>
      <c r="U1342" s="1418" t="str">
        <f>IF(Q$670="Yes",M679,"")</f>
        <v/>
      </c>
      <c r="V1342" s="1418" t="str">
        <f>IF(Q$688="Yes",M697,"")</f>
        <v/>
      </c>
    </row>
    <row r="1343" spans="1:22" s="1411" customFormat="1" x14ac:dyDescent="0.25">
      <c r="A1343" s="1430" t="s">
        <v>1403</v>
      </c>
      <c r="B1343" s="857" t="str">
        <f>IFERROR(_xlfn.CONCAT("D",('Configurable Tab'!$C$6+5)),"")</f>
        <v>D59</v>
      </c>
      <c r="C1343" s="857" t="str">
        <f>IFERROR(_xlfn.CONCAT("E",('Configurable Tab'!$C$6+5)),"")</f>
        <v>E59</v>
      </c>
      <c r="D1343" s="1418" t="s">
        <v>1367</v>
      </c>
      <c r="E1343" s="859" t="s">
        <v>1936</v>
      </c>
      <c r="F1343" s="1418"/>
      <c r="G1343" s="1418"/>
      <c r="H1343" s="1418"/>
      <c r="I1343" s="857" t="str">
        <f t="shared" si="247"/>
        <v>Incentive Expiration Date</v>
      </c>
      <c r="J1343" s="1418" t="str">
        <f t="shared" si="251"/>
        <v>F</v>
      </c>
      <c r="K1343" s="1418" t="str">
        <f t="shared" si="246"/>
        <v>Incentives</v>
      </c>
      <c r="L1343" s="1418"/>
      <c r="M1343" s="1418"/>
      <c r="N1343" s="1418"/>
      <c r="R1343" s="1418" t="s">
        <v>1544</v>
      </c>
      <c r="S1343" s="1416" t="s">
        <v>1950</v>
      </c>
      <c r="U1343" s="1418" t="str">
        <f>IF(Q$670="Yes",M680,"")</f>
        <v/>
      </c>
      <c r="V1343" s="1418" t="str">
        <f>IF(Q$688="Yes",M698,"")</f>
        <v/>
      </c>
    </row>
    <row r="1344" spans="1:22" s="1411" customFormat="1" x14ac:dyDescent="0.25">
      <c r="A1344" s="1430" t="s">
        <v>1397</v>
      </c>
      <c r="B1344" s="857" t="str">
        <f>IFERROR(_xlfn.CONCAT("G",('Configurable Tab'!$C$6+1)),"")</f>
        <v>G55</v>
      </c>
      <c r="C1344" s="857" t="str">
        <f>IFERROR(_xlfn.CONCAT("G",('Configurable Tab'!$C$6+2)),"")</f>
        <v>G56</v>
      </c>
      <c r="D1344" s="1418" t="s">
        <v>1367</v>
      </c>
      <c r="E1344" s="859" t="s">
        <v>1936</v>
      </c>
      <c r="F1344" s="1412"/>
      <c r="G1344" s="1428"/>
      <c r="H1344" s="1418"/>
      <c r="I1344" s="857" t="str">
        <f t="shared" si="247"/>
        <v>Incentive Period</v>
      </c>
      <c r="J1344" s="1418" t="str">
        <f t="shared" si="251"/>
        <v>F</v>
      </c>
      <c r="K1344" s="1418" t="str">
        <f t="shared" si="246"/>
        <v>Incentives</v>
      </c>
      <c r="L1344" s="1418"/>
      <c r="M1344" s="1418"/>
      <c r="N1344" s="1418"/>
      <c r="R1344" s="1418" t="s">
        <v>1544</v>
      </c>
      <c r="S1344" s="1416" t="s">
        <v>1950</v>
      </c>
      <c r="U1344" s="1418" t="str">
        <f>IF(Q$670="Yes",M672,"")</f>
        <v/>
      </c>
      <c r="V1344" s="1418" t="str">
        <f>IF(Q$688="Yes",M690,"")</f>
        <v/>
      </c>
    </row>
    <row r="1345" spans="1:22" s="1411" customFormat="1" x14ac:dyDescent="0.25">
      <c r="A1345" s="1430" t="s">
        <v>1398</v>
      </c>
      <c r="B1345" s="857" t="str">
        <f>IFERROR(_xlfn.CONCAT("I",('Configurable Tab'!$C$6+1)),"")</f>
        <v>I55</v>
      </c>
      <c r="C1345" s="857" t="str">
        <f>IFERROR(_xlfn.CONCAT("I",('Configurable Tab'!$C$6+2)),"")</f>
        <v>I56</v>
      </c>
      <c r="D1345" s="1418" t="s">
        <v>1367</v>
      </c>
      <c r="E1345" s="859" t="s">
        <v>1936</v>
      </c>
      <c r="F1345" s="1418"/>
      <c r="G1345" s="1418"/>
      <c r="H1345" s="1418"/>
      <c r="I1345" s="857" t="str">
        <f t="shared" si="247"/>
        <v>Payment Method</v>
      </c>
      <c r="J1345" s="1418" t="str">
        <f t="shared" si="251"/>
        <v>F</v>
      </c>
      <c r="K1345" s="1418" t="str">
        <f t="shared" si="246"/>
        <v>Incentives</v>
      </c>
      <c r="L1345" s="1418"/>
      <c r="M1345" s="1418"/>
      <c r="N1345" s="1418"/>
      <c r="R1345" s="1418" t="s">
        <v>1544</v>
      </c>
      <c r="S1345" s="1416" t="s">
        <v>1950</v>
      </c>
      <c r="U1345" s="1418" t="str">
        <f>IF(Q$670="Yes",M673,"")</f>
        <v/>
      </c>
      <c r="V1345" s="1418" t="str">
        <f>IF(Q$688="Yes",M691,"")</f>
        <v/>
      </c>
    </row>
    <row r="1346" spans="1:22" s="1411" customFormat="1" x14ac:dyDescent="0.25">
      <c r="A1346" s="1430" t="s">
        <v>837</v>
      </c>
      <c r="B1346" s="857" t="str">
        <f>IFERROR(_xlfn.CONCAT("K",('Configurable Tab'!$C$6+1)),"")</f>
        <v>K55</v>
      </c>
      <c r="C1346" s="857" t="str">
        <f>IFERROR(_xlfn.CONCAT("K",('Configurable Tab'!$C$6+2)),"")</f>
        <v>K56</v>
      </c>
      <c r="D1346" s="1418" t="s">
        <v>1367</v>
      </c>
      <c r="E1346" s="859" t="s">
        <v>1936</v>
      </c>
      <c r="F1346" s="1418"/>
      <c r="G1346" s="1418"/>
      <c r="H1346" s="1418"/>
      <c r="I1346" s="857" t="str">
        <f t="shared" si="247"/>
        <v>Paid to:</v>
      </c>
      <c r="J1346" s="1418" t="str">
        <f t="shared" si="251"/>
        <v>F</v>
      </c>
      <c r="K1346" s="1418" t="str">
        <f t="shared" si="246"/>
        <v>Incentives</v>
      </c>
      <c r="L1346" s="1418"/>
      <c r="M1346" s="1418"/>
      <c r="N1346" s="1418"/>
      <c r="R1346" s="1418" t="s">
        <v>1544</v>
      </c>
      <c r="S1346" s="1416" t="s">
        <v>1950</v>
      </c>
      <c r="U1346" s="1418" t="str">
        <f>IF(Q$670="Yes",M674,"")</f>
        <v/>
      </c>
      <c r="V1346" s="1418" t="str">
        <f>IF(Q$688="Yes",M692,"")</f>
        <v/>
      </c>
    </row>
    <row r="1347" spans="1:22" s="1411" customFormat="1" x14ac:dyDescent="0.25">
      <c r="A1347" s="1430" t="s">
        <v>1399</v>
      </c>
      <c r="B1347" s="857" t="str">
        <f>IFERROR(_xlfn.CONCAT("M",('Configurable Tab'!$C$6+1)),"")</f>
        <v>M55</v>
      </c>
      <c r="C1347" s="857" t="str">
        <f>IFERROR(_xlfn.CONCAT("M",('Configurable Tab'!$C$6+2)),"")</f>
        <v>M56</v>
      </c>
      <c r="D1347" s="1418" t="s">
        <v>1367</v>
      </c>
      <c r="E1347" s="859" t="s">
        <v>1936</v>
      </c>
      <c r="F1347" s="1418"/>
      <c r="G1347" s="1418"/>
      <c r="H1347" s="1418"/>
      <c r="I1347" s="857" t="str">
        <f t="shared" si="247"/>
        <v>AP/AR Vendor Number</v>
      </c>
      <c r="J1347" s="1418" t="str">
        <f t="shared" si="251"/>
        <v>F</v>
      </c>
      <c r="K1347" s="1418" t="str">
        <f t="shared" si="246"/>
        <v>Incentives</v>
      </c>
      <c r="L1347" s="1418"/>
      <c r="M1347" s="1418"/>
      <c r="N1347" s="1418"/>
      <c r="R1347" s="1418" t="s">
        <v>1544</v>
      </c>
      <c r="S1347" s="1416" t="s">
        <v>1950</v>
      </c>
      <c r="U1347" s="1418" t="str">
        <f>IF(Q$670="Yes",M675,"")</f>
        <v/>
      </c>
      <c r="V1347" s="1418" t="str">
        <f>IF(Q$688="Yes",M693,"")</f>
        <v/>
      </c>
    </row>
    <row r="1348" spans="1:22" s="1411" customFormat="1" x14ac:dyDescent="0.25">
      <c r="A1348" s="1430" t="s">
        <v>1404</v>
      </c>
      <c r="B1348" s="857" t="str">
        <f>IFERROR(_xlfn.CONCAT("G",('Configurable Tab'!$C$6+6)),"")</f>
        <v>G60</v>
      </c>
      <c r="C1348" s="857" t="str">
        <f>IFERROR(_xlfn.CONCAT("G",('Configurable Tab'!$C$6+7)),"")</f>
        <v>G61</v>
      </c>
      <c r="D1348" s="1418" t="s">
        <v>1367</v>
      </c>
      <c r="E1348" s="859" t="s">
        <v>1936</v>
      </c>
      <c r="F1348" s="1418"/>
      <c r="G1348" s="1418"/>
      <c r="H1348" s="1418"/>
      <c r="I1348" s="857" t="str">
        <f t="shared" si="247"/>
        <v>Minimum Units</v>
      </c>
      <c r="J1348" s="1418" t="str">
        <f t="shared" si="251"/>
        <v>F</v>
      </c>
      <c r="K1348" s="1418" t="str">
        <f t="shared" si="246"/>
        <v>Incentives</v>
      </c>
      <c r="L1348" s="1418"/>
      <c r="M1348" s="1418"/>
      <c r="N1348" s="1418"/>
      <c r="R1348" s="1418" t="s">
        <v>1544</v>
      </c>
      <c r="S1348" s="1416" t="s">
        <v>1950</v>
      </c>
      <c r="U1348" s="1418" t="str">
        <f>IF(Q$670="Yes",M684,"")</f>
        <v/>
      </c>
      <c r="V1348" s="1418" t="str">
        <f>IF(Q$688="Yes",M702,"")</f>
        <v/>
      </c>
    </row>
    <row r="1349" spans="1:22" s="1411" customFormat="1" x14ac:dyDescent="0.25">
      <c r="A1349" s="1430" t="s">
        <v>1404</v>
      </c>
      <c r="B1349" s="857" t="str">
        <f>IFERROR(_xlfn.CONCAT("G",('Configurable Tab'!$C$6+6)),"")</f>
        <v>G60</v>
      </c>
      <c r="C1349" s="857" t="str">
        <f>IFERROR(_xlfn.CONCAT("G",('Configurable Tab'!$C$6+8)),"")</f>
        <v>G62</v>
      </c>
      <c r="D1349" s="1418" t="s">
        <v>1367</v>
      </c>
      <c r="E1349" s="859" t="s">
        <v>1936</v>
      </c>
      <c r="F1349" s="1418"/>
      <c r="G1349" s="1418"/>
      <c r="H1349" s="1418"/>
      <c r="I1349" s="857" t="str">
        <f t="shared" si="247"/>
        <v>Minimum Units</v>
      </c>
      <c r="J1349" s="1418" t="str">
        <f t="shared" si="251"/>
        <v>F</v>
      </c>
      <c r="K1349" s="1418" t="str">
        <f t="shared" ref="K1349:K1412" si="252">IF(J1349&lt;&gt;"",E1349,"")</f>
        <v>Incentives</v>
      </c>
      <c r="L1349" s="1418"/>
      <c r="M1349" s="1418"/>
      <c r="N1349" s="1418"/>
      <c r="R1349" s="1418" t="s">
        <v>1544</v>
      </c>
    </row>
    <row r="1350" spans="1:22" s="1411" customFormat="1" x14ac:dyDescent="0.25">
      <c r="A1350" s="1430" t="s">
        <v>1404</v>
      </c>
      <c r="B1350" s="857" t="str">
        <f>IFERROR(_xlfn.CONCAT("G",('Configurable Tab'!$C$6+6)),"")</f>
        <v>G60</v>
      </c>
      <c r="C1350" s="857" t="str">
        <f>IFERROR(_xlfn.CONCAT("G",('Configurable Tab'!$C$6+9)),"")</f>
        <v>G63</v>
      </c>
      <c r="D1350" s="1418" t="s">
        <v>1367</v>
      </c>
      <c r="E1350" s="859" t="s">
        <v>1936</v>
      </c>
      <c r="F1350" s="1418"/>
      <c r="G1350" s="1418"/>
      <c r="H1350" s="1418"/>
      <c r="I1350" s="857" t="str">
        <f t="shared" ref="I1350:I1413" si="253">IF(J1350&lt;&gt;"",A1350,"")</f>
        <v>Minimum Units</v>
      </c>
      <c r="J1350" s="1418" t="str">
        <f t="shared" si="251"/>
        <v>F</v>
      </c>
      <c r="K1350" s="1418" t="str">
        <f t="shared" si="252"/>
        <v>Incentives</v>
      </c>
      <c r="L1350" s="1418"/>
      <c r="M1350" s="1418"/>
      <c r="N1350" s="1418"/>
      <c r="R1350" s="1418" t="s">
        <v>1544</v>
      </c>
    </row>
    <row r="1351" spans="1:22" s="1411" customFormat="1" x14ac:dyDescent="0.25">
      <c r="A1351" s="1430" t="s">
        <v>1404</v>
      </c>
      <c r="B1351" s="857" t="str">
        <f>IFERROR(_xlfn.CONCAT("G",('Configurable Tab'!$C$6+6)),"")</f>
        <v>G60</v>
      </c>
      <c r="C1351" s="857" t="str">
        <f>IFERROR(_xlfn.CONCAT("G",('Configurable Tab'!$C$6+10)),"")</f>
        <v>G64</v>
      </c>
      <c r="D1351" s="1418" t="s">
        <v>1367</v>
      </c>
      <c r="E1351" s="859" t="s">
        <v>1936</v>
      </c>
      <c r="F1351" s="1418"/>
      <c r="G1351" s="1418"/>
      <c r="H1351" s="1418"/>
      <c r="I1351" s="857" t="str">
        <f t="shared" si="253"/>
        <v>Minimum Units</v>
      </c>
      <c r="J1351" s="1418" t="str">
        <f t="shared" si="251"/>
        <v>F</v>
      </c>
      <c r="K1351" s="1418" t="str">
        <f t="shared" si="252"/>
        <v>Incentives</v>
      </c>
      <c r="L1351" s="1418"/>
      <c r="M1351" s="1418"/>
      <c r="N1351" s="1418"/>
      <c r="R1351" s="1418" t="s">
        <v>1544</v>
      </c>
    </row>
    <row r="1352" spans="1:22" s="1411" customFormat="1" x14ac:dyDescent="0.25">
      <c r="A1352" s="1430" t="s">
        <v>1404</v>
      </c>
      <c r="B1352" s="857" t="str">
        <f>IFERROR(_xlfn.CONCAT("G",('Configurable Tab'!$C$6+6)),"")</f>
        <v>G60</v>
      </c>
      <c r="C1352" s="857" t="str">
        <f>IFERROR(_xlfn.CONCAT("G",('Configurable Tab'!$C$6+11)),"")</f>
        <v>G65</v>
      </c>
      <c r="D1352" s="1418" t="s">
        <v>1367</v>
      </c>
      <c r="E1352" s="859" t="s">
        <v>1936</v>
      </c>
      <c r="F1352" s="1418"/>
      <c r="G1352" s="1418"/>
      <c r="H1352" s="1418"/>
      <c r="I1352" s="857" t="str">
        <f t="shared" si="253"/>
        <v>Minimum Units</v>
      </c>
      <c r="J1352" s="1418" t="str">
        <f t="shared" si="251"/>
        <v>F</v>
      </c>
      <c r="K1352" s="1418" t="str">
        <f t="shared" si="252"/>
        <v>Incentives</v>
      </c>
      <c r="L1352" s="1418"/>
      <c r="M1352" s="1418"/>
      <c r="N1352" s="1418"/>
      <c r="R1352" s="1418" t="s">
        <v>1544</v>
      </c>
    </row>
    <row r="1353" spans="1:22" s="1411" customFormat="1" x14ac:dyDescent="0.25">
      <c r="A1353" s="1430" t="s">
        <v>1406</v>
      </c>
      <c r="B1353" s="857" t="str">
        <f>IFERROR(_xlfn.CONCAT("K",('Configurable Tab'!$C$6+6)),"")</f>
        <v>K60</v>
      </c>
      <c r="C1353" s="857" t="str">
        <f>IFERROR(_xlfn.CONCAT("K",('Configurable Tab'!$C$6+7)),"")</f>
        <v>K61</v>
      </c>
      <c r="D1353" s="1418" t="s">
        <v>1367</v>
      </c>
      <c r="E1353" s="859" t="s">
        <v>1936</v>
      </c>
      <c r="F1353" s="1418"/>
      <c r="G1353" s="1418"/>
      <c r="H1353" s="1418"/>
      <c r="I1353" s="857" t="str">
        <f t="shared" si="253"/>
        <v>Rate % of Sales</v>
      </c>
      <c r="J1353" s="1418" t="str">
        <f t="shared" si="251"/>
        <v>F</v>
      </c>
      <c r="K1353" s="1418" t="str">
        <f t="shared" si="252"/>
        <v>Incentives</v>
      </c>
      <c r="L1353" s="1418"/>
      <c r="M1353" s="1418"/>
      <c r="N1353" s="1418"/>
      <c r="R1353" s="1418" t="s">
        <v>1544</v>
      </c>
      <c r="S1353" s="1416" t="s">
        <v>1950</v>
      </c>
      <c r="U1353" s="1418" t="str">
        <f>IF(Q$670="Yes",M686,"")</f>
        <v/>
      </c>
      <c r="V1353" s="1418" t="str">
        <f>IF(Q$688="Yes",M704,"")</f>
        <v/>
      </c>
    </row>
    <row r="1354" spans="1:22" s="1411" customFormat="1" x14ac:dyDescent="0.25">
      <c r="A1354" s="1430" t="s">
        <v>1406</v>
      </c>
      <c r="B1354" s="857" t="str">
        <f>IFERROR(_xlfn.CONCAT("K",('Configurable Tab'!$C$6+6)),"")</f>
        <v>K60</v>
      </c>
      <c r="C1354" s="857" t="str">
        <f>IFERROR(_xlfn.CONCAT("K",('Configurable Tab'!$C$6+8)),"")</f>
        <v>K62</v>
      </c>
      <c r="D1354" s="1418" t="s">
        <v>1367</v>
      </c>
      <c r="E1354" s="859" t="s">
        <v>1936</v>
      </c>
      <c r="F1354" s="1418"/>
      <c r="G1354" s="1418"/>
      <c r="H1354" s="1418"/>
      <c r="I1354" s="857" t="str">
        <f t="shared" si="253"/>
        <v>Rate % of Sales</v>
      </c>
      <c r="J1354" s="1418" t="str">
        <f t="shared" si="251"/>
        <v>F</v>
      </c>
      <c r="K1354" s="1418" t="str">
        <f t="shared" si="252"/>
        <v>Incentives</v>
      </c>
      <c r="L1354" s="1418"/>
      <c r="M1354" s="1418"/>
      <c r="N1354" s="1418"/>
      <c r="R1354" s="1418" t="s">
        <v>1544</v>
      </c>
    </row>
    <row r="1355" spans="1:22" s="1411" customFormat="1" x14ac:dyDescent="0.25">
      <c r="A1355" s="1430" t="s">
        <v>1406</v>
      </c>
      <c r="B1355" s="857" t="str">
        <f>IFERROR(_xlfn.CONCAT("K",('Configurable Tab'!$C$6+6)),"")</f>
        <v>K60</v>
      </c>
      <c r="C1355" s="857" t="str">
        <f>IFERROR(_xlfn.CONCAT("K",('Configurable Tab'!$C$6+9)),"")</f>
        <v>K63</v>
      </c>
      <c r="D1355" s="1418" t="s">
        <v>1367</v>
      </c>
      <c r="E1355" s="859" t="s">
        <v>1936</v>
      </c>
      <c r="F1355" s="1418"/>
      <c r="G1355" s="1418"/>
      <c r="H1355" s="1418"/>
      <c r="I1355" s="857" t="str">
        <f t="shared" si="253"/>
        <v>Rate % of Sales</v>
      </c>
      <c r="J1355" s="1418" t="str">
        <f t="shared" si="251"/>
        <v>F</v>
      </c>
      <c r="K1355" s="1418" t="str">
        <f t="shared" si="252"/>
        <v>Incentives</v>
      </c>
      <c r="L1355" s="1418"/>
      <c r="M1355" s="1418"/>
      <c r="N1355" s="1418"/>
      <c r="R1355" s="1418" t="s">
        <v>1544</v>
      </c>
    </row>
    <row r="1356" spans="1:22" s="1411" customFormat="1" x14ac:dyDescent="0.25">
      <c r="A1356" s="1430" t="s">
        <v>1406</v>
      </c>
      <c r="B1356" s="857" t="str">
        <f>IFERROR(_xlfn.CONCAT("K",('Configurable Tab'!$C$6+6)),"")</f>
        <v>K60</v>
      </c>
      <c r="C1356" s="857" t="str">
        <f>IFERROR(_xlfn.CONCAT("K",('Configurable Tab'!$C$6+10)),"")</f>
        <v>K64</v>
      </c>
      <c r="D1356" s="1418" t="s">
        <v>1367</v>
      </c>
      <c r="E1356" s="859" t="s">
        <v>1936</v>
      </c>
      <c r="F1356" s="1418"/>
      <c r="G1356" s="1418"/>
      <c r="H1356" s="1418"/>
      <c r="I1356" s="857" t="str">
        <f t="shared" si="253"/>
        <v>Rate % of Sales</v>
      </c>
      <c r="J1356" s="1418" t="str">
        <f t="shared" si="251"/>
        <v>F</v>
      </c>
      <c r="K1356" s="1418" t="str">
        <f t="shared" si="252"/>
        <v>Incentives</v>
      </c>
      <c r="L1356" s="1418"/>
      <c r="M1356" s="1418"/>
      <c r="N1356" s="1418"/>
      <c r="R1356" s="1418" t="s">
        <v>1544</v>
      </c>
    </row>
    <row r="1357" spans="1:22" s="1411" customFormat="1" x14ac:dyDescent="0.25">
      <c r="A1357" s="1430" t="s">
        <v>1406</v>
      </c>
      <c r="B1357" s="857" t="str">
        <f>IFERROR(_xlfn.CONCAT("K",('Configurable Tab'!$C$6+6)),"")</f>
        <v>K60</v>
      </c>
      <c r="C1357" s="857" t="str">
        <f>IFERROR(_xlfn.CONCAT("K",('Configurable Tab'!$C$6+11)),"")</f>
        <v>K65</v>
      </c>
      <c r="D1357" s="1418" t="s">
        <v>1367</v>
      </c>
      <c r="E1357" s="859" t="s">
        <v>1936</v>
      </c>
      <c r="F1357" s="1418"/>
      <c r="G1357" s="1418"/>
      <c r="H1357" s="1418"/>
      <c r="I1357" s="857" t="str">
        <f t="shared" si="253"/>
        <v>Rate % of Sales</v>
      </c>
      <c r="J1357" s="1418" t="str">
        <f t="shared" si="251"/>
        <v>F</v>
      </c>
      <c r="K1357" s="1418" t="str">
        <f t="shared" si="252"/>
        <v>Incentives</v>
      </c>
      <c r="L1357" s="1418"/>
      <c r="M1357" s="1418"/>
      <c r="N1357" s="1418"/>
      <c r="R1357" s="1418" t="s">
        <v>1544</v>
      </c>
    </row>
    <row r="1358" spans="1:22" s="1411" customFormat="1" x14ac:dyDescent="0.25">
      <c r="A1358" s="1431" t="s">
        <v>524</v>
      </c>
      <c r="B1358" s="857" t="str">
        <f>IFERROR(_xlfn.CONCAT("D",('Configurable Tab'!$C$7+1)),"")</f>
        <v>D69</v>
      </c>
      <c r="C1358" s="857" t="str">
        <f>IFERROR(_xlfn.CONCAT("E",('Configurable Tab'!$C$7+1)),"")</f>
        <v>E69</v>
      </c>
      <c r="D1358" s="1418" t="s">
        <v>1367</v>
      </c>
      <c r="E1358" s="859" t="s">
        <v>1936</v>
      </c>
      <c r="F1358" s="1418"/>
      <c r="G1358" s="1418"/>
      <c r="H1358" s="1418"/>
      <c r="I1358" s="857" t="str">
        <f t="shared" si="253"/>
        <v>Offer this Incentive?</v>
      </c>
      <c r="J1358" s="1418" t="str">
        <f>$Q$1&amp;IF(T$1340=2,V1340,IF(T$1340=1,IF(AND(T$1358=1,T$1358&lt;&gt;0),U1358,""),IF(T$1358=2,V1358,"")))</f>
        <v>F</v>
      </c>
      <c r="K1358" s="1418" t="str">
        <f t="shared" si="252"/>
        <v>Incentives</v>
      </c>
      <c r="L1358" s="1418"/>
      <c r="M1358" s="1418"/>
      <c r="N1358" s="1418"/>
      <c r="O1358" s="1411" t="s">
        <v>1707</v>
      </c>
      <c r="P1358" s="1411">
        <f>'Configurable Tab'!E7</f>
        <v>0</v>
      </c>
      <c r="Q1358" s="857" t="str">
        <f>IFERROR(_xlfn.CONCAT("C",('Configurable Tab'!$C7+1)),"")</f>
        <v>C69</v>
      </c>
      <c r="R1358" s="1418" t="s">
        <v>1544</v>
      </c>
      <c r="S1358" s="1416" t="s">
        <v>1951</v>
      </c>
      <c r="T1358" s="1418">
        <f>IF(Q$706="Yes",IF(Q$736="Yes",2,1),0)</f>
        <v>0</v>
      </c>
      <c r="U1358" s="1418" t="str">
        <f>IF(Q$706="Yes",M706,"")</f>
        <v/>
      </c>
      <c r="V1358" s="1418" t="str">
        <f>IF(Q$736="Yes",M736,"")</f>
        <v/>
      </c>
    </row>
    <row r="1359" spans="1:22" s="1411" customFormat="1" x14ac:dyDescent="0.25">
      <c r="A1359" s="1432" t="s">
        <v>1400</v>
      </c>
      <c r="B1359" s="857" t="str">
        <f>IFERROR(_xlfn.CONCAT("D",('Configurable Tab'!$C$7+2)),"")</f>
        <v>D70</v>
      </c>
      <c r="C1359" s="857" t="str">
        <f>IFERROR(_xlfn.CONCAT("E",('Configurable Tab'!$C$7+2)),"")</f>
        <v>E70</v>
      </c>
      <c r="D1359" s="1418" t="s">
        <v>1367</v>
      </c>
      <c r="E1359" s="859" t="s">
        <v>1936</v>
      </c>
      <c r="F1359" s="1418"/>
      <c r="G1359" s="1418"/>
      <c r="H1359" s="1418"/>
      <c r="I1359" s="857" t="str">
        <f t="shared" si="253"/>
        <v>Incentive Type</v>
      </c>
      <c r="J1359" s="1418" t="str">
        <f t="shared" ref="J1359:J1375" si="254">$Q$1&amp;IF(T$1340=2,V1341,IF(T$1340=1,IF(AND(T$1358=1,T$1358&lt;&gt;0),U1359,""),IF(T$1358=2,V1359,"")))</f>
        <v>F</v>
      </c>
      <c r="K1359" s="1418" t="str">
        <f t="shared" si="252"/>
        <v>Incentives</v>
      </c>
      <c r="L1359" s="1418"/>
      <c r="M1359" s="1418"/>
      <c r="N1359" s="1418"/>
      <c r="R1359" s="1418" t="s">
        <v>1544</v>
      </c>
      <c r="S1359" s="1416" t="s">
        <v>1951</v>
      </c>
      <c r="U1359" s="1418" t="str">
        <f>IF(Q$706="Yes",M707,"")</f>
        <v/>
      </c>
      <c r="V1359" s="1418" t="str">
        <f>IF(Q$736="Yes",M737,"")</f>
        <v/>
      </c>
    </row>
    <row r="1360" spans="1:22" s="1411" customFormat="1" x14ac:dyDescent="0.25">
      <c r="A1360" s="1432" t="s">
        <v>1402</v>
      </c>
      <c r="B1360" s="857" t="str">
        <f>IFERROR(_xlfn.CONCAT("D",('Configurable Tab'!$C$7+4)),"")</f>
        <v>D72</v>
      </c>
      <c r="C1360" s="857" t="str">
        <f>IFERROR(_xlfn.CONCAT("E",('Configurable Tab'!$C$7+4)),"")</f>
        <v>E72</v>
      </c>
      <c r="D1360" s="1418" t="s">
        <v>1367</v>
      </c>
      <c r="E1360" s="859" t="s">
        <v>1936</v>
      </c>
      <c r="F1360" s="1418"/>
      <c r="G1360" s="1418"/>
      <c r="H1360" s="1418"/>
      <c r="I1360" s="857" t="str">
        <f t="shared" si="253"/>
        <v>Incentive Effective Date</v>
      </c>
      <c r="J1360" s="1418" t="str">
        <f t="shared" si="254"/>
        <v>F</v>
      </c>
      <c r="K1360" s="1418" t="str">
        <f t="shared" si="252"/>
        <v>Incentives</v>
      </c>
      <c r="L1360" s="1418"/>
      <c r="M1360" s="1418"/>
      <c r="N1360" s="1418"/>
      <c r="R1360" s="1418" t="s">
        <v>1544</v>
      </c>
      <c r="S1360" s="1416" t="s">
        <v>1951</v>
      </c>
      <c r="U1360" s="1418" t="str">
        <f>IF(Q$706="Yes",M715,"")</f>
        <v/>
      </c>
      <c r="V1360" s="1418" t="str">
        <f>IF(Q$736="Yes",M745,"")</f>
        <v/>
      </c>
    </row>
    <row r="1361" spans="1:22" s="1411" customFormat="1" x14ac:dyDescent="0.25">
      <c r="A1361" s="1432" t="s">
        <v>1403</v>
      </c>
      <c r="B1361" s="857" t="str">
        <f>IFERROR(_xlfn.CONCAT("D",('Configurable Tab'!$C$7+5)),"")</f>
        <v>D73</v>
      </c>
      <c r="C1361" s="857" t="str">
        <f>IFERROR(_xlfn.CONCAT("E",('Configurable Tab'!$C$7+5)),"")</f>
        <v>E73</v>
      </c>
      <c r="D1361" s="1418" t="s">
        <v>1367</v>
      </c>
      <c r="E1361" s="859" t="s">
        <v>1936</v>
      </c>
      <c r="F1361" s="1418"/>
      <c r="G1361" s="1418"/>
      <c r="H1361" s="1418"/>
      <c r="I1361" s="857" t="str">
        <f t="shared" si="253"/>
        <v>Incentive Expiration Date</v>
      </c>
      <c r="J1361" s="1418" t="str">
        <f t="shared" si="254"/>
        <v>F</v>
      </c>
      <c r="K1361" s="1418" t="str">
        <f t="shared" si="252"/>
        <v>Incentives</v>
      </c>
      <c r="L1361" s="1418"/>
      <c r="M1361" s="1418"/>
      <c r="N1361" s="1418"/>
      <c r="R1361" s="1418" t="s">
        <v>1544</v>
      </c>
      <c r="S1361" s="1416" t="s">
        <v>1951</v>
      </c>
      <c r="U1361" s="1418" t="str">
        <f>IF(Q$706="Yes",M716,"")</f>
        <v/>
      </c>
      <c r="V1361" s="1418" t="str">
        <f>IF(Q$736="Yes",M746,"")</f>
        <v/>
      </c>
    </row>
    <row r="1362" spans="1:22" s="1411" customFormat="1" x14ac:dyDescent="0.25">
      <c r="A1362" s="1432" t="s">
        <v>1397</v>
      </c>
      <c r="B1362" s="857" t="str">
        <f>IFERROR(_xlfn.CONCAT("G",('Configurable Tab'!$C$7+1)),"")</f>
        <v>G69</v>
      </c>
      <c r="C1362" s="857" t="str">
        <f>IFERROR(_xlfn.CONCAT("G",('Configurable Tab'!$C$7+2)),"")</f>
        <v>G70</v>
      </c>
      <c r="D1362" s="1418" t="s">
        <v>1367</v>
      </c>
      <c r="E1362" s="859" t="s">
        <v>1936</v>
      </c>
      <c r="F1362" s="1418"/>
      <c r="G1362" s="1418"/>
      <c r="H1362" s="1418"/>
      <c r="I1362" s="857" t="str">
        <f t="shared" si="253"/>
        <v>Incentive Period</v>
      </c>
      <c r="J1362" s="1418" t="str">
        <f t="shared" si="254"/>
        <v>F</v>
      </c>
      <c r="K1362" s="1418" t="str">
        <f t="shared" si="252"/>
        <v>Incentives</v>
      </c>
      <c r="L1362" s="1418"/>
      <c r="M1362" s="1418"/>
      <c r="N1362" s="1418"/>
      <c r="R1362" s="1418" t="s">
        <v>1544</v>
      </c>
      <c r="S1362" s="1416" t="s">
        <v>1951</v>
      </c>
      <c r="U1362" s="1418" t="str">
        <f>IF(Q$706="Yes",M708,"")</f>
        <v/>
      </c>
      <c r="V1362" s="1418" t="str">
        <f>IF(Q$736="Yes",M738,"")</f>
        <v/>
      </c>
    </row>
    <row r="1363" spans="1:22" s="1411" customFormat="1" x14ac:dyDescent="0.25">
      <c r="A1363" s="1432" t="s">
        <v>1398</v>
      </c>
      <c r="B1363" s="857" t="str">
        <f>IFERROR(_xlfn.CONCAT("I",('Configurable Tab'!$C$7+1)),"")</f>
        <v>I69</v>
      </c>
      <c r="C1363" s="857" t="str">
        <f>IFERROR(_xlfn.CONCAT("I",('Configurable Tab'!$C$7+2)),"")</f>
        <v>I70</v>
      </c>
      <c r="D1363" s="1418" t="s">
        <v>1367</v>
      </c>
      <c r="E1363" s="859" t="s">
        <v>1936</v>
      </c>
      <c r="F1363" s="1418"/>
      <c r="G1363" s="1418"/>
      <c r="H1363" s="1418"/>
      <c r="I1363" s="857" t="str">
        <f t="shared" si="253"/>
        <v>Payment Method</v>
      </c>
      <c r="J1363" s="1418" t="str">
        <f t="shared" si="254"/>
        <v>F</v>
      </c>
      <c r="K1363" s="1418" t="str">
        <f t="shared" si="252"/>
        <v>Incentives</v>
      </c>
      <c r="L1363" s="1418"/>
      <c r="M1363" s="1418"/>
      <c r="N1363" s="1418"/>
      <c r="R1363" s="1418" t="s">
        <v>1544</v>
      </c>
      <c r="S1363" s="1416" t="s">
        <v>1951</v>
      </c>
      <c r="U1363" s="1418" t="str">
        <f>IF(Q$706="Yes",M709,"")</f>
        <v/>
      </c>
      <c r="V1363" s="1418" t="str">
        <f>IF(Q$736="Yes",M739,"")</f>
        <v/>
      </c>
    </row>
    <row r="1364" spans="1:22" s="1411" customFormat="1" x14ac:dyDescent="0.25">
      <c r="A1364" s="1432" t="s">
        <v>837</v>
      </c>
      <c r="B1364" s="857" t="str">
        <f>IFERROR(_xlfn.CONCAT("K",('Configurable Tab'!$C$7+1)),"")</f>
        <v>K69</v>
      </c>
      <c r="C1364" s="857" t="str">
        <f>IFERROR(_xlfn.CONCAT("K",('Configurable Tab'!$C$7+2)),"")</f>
        <v>K70</v>
      </c>
      <c r="D1364" s="1418" t="s">
        <v>1367</v>
      </c>
      <c r="E1364" s="859" t="s">
        <v>1936</v>
      </c>
      <c r="F1364" s="1418"/>
      <c r="G1364" s="1418"/>
      <c r="H1364" s="1418"/>
      <c r="I1364" s="857" t="str">
        <f t="shared" si="253"/>
        <v>Paid to:</v>
      </c>
      <c r="J1364" s="1418" t="str">
        <f t="shared" si="254"/>
        <v>F</v>
      </c>
      <c r="K1364" s="1418" t="str">
        <f t="shared" si="252"/>
        <v>Incentives</v>
      </c>
      <c r="L1364" s="1418"/>
      <c r="M1364" s="1418"/>
      <c r="N1364" s="1418"/>
      <c r="R1364" s="1418" t="s">
        <v>1544</v>
      </c>
      <c r="S1364" s="1416" t="s">
        <v>1951</v>
      </c>
      <c r="U1364" s="1418" t="str">
        <f>IF(Q$706="Yes",M710,"")</f>
        <v/>
      </c>
      <c r="V1364" s="1418" t="str">
        <f>IF(Q$736="Yes",M740,"")</f>
        <v/>
      </c>
    </row>
    <row r="1365" spans="1:22" s="1411" customFormat="1" x14ac:dyDescent="0.25">
      <c r="A1365" s="1432" t="s">
        <v>1399</v>
      </c>
      <c r="B1365" s="857" t="str">
        <f>IFERROR(_xlfn.CONCAT("M",('Configurable Tab'!$C$7+1)),"")</f>
        <v>M69</v>
      </c>
      <c r="C1365" s="857" t="str">
        <f>IFERROR(_xlfn.CONCAT("M",('Configurable Tab'!$C$7+2)),"")</f>
        <v>M70</v>
      </c>
      <c r="D1365" s="1418" t="s">
        <v>1367</v>
      </c>
      <c r="E1365" s="859" t="s">
        <v>1936</v>
      </c>
      <c r="F1365" s="1418"/>
      <c r="G1365" s="1418"/>
      <c r="H1365" s="1418"/>
      <c r="I1365" s="857" t="str">
        <f t="shared" si="253"/>
        <v>AP/AR Vendor Number</v>
      </c>
      <c r="J1365" s="1418" t="str">
        <f t="shared" si="254"/>
        <v>F</v>
      </c>
      <c r="K1365" s="1418" t="str">
        <f t="shared" si="252"/>
        <v>Incentives</v>
      </c>
      <c r="L1365" s="1418"/>
      <c r="M1365" s="1418"/>
      <c r="N1365" s="1418"/>
      <c r="R1365" s="1418" t="s">
        <v>1544</v>
      </c>
      <c r="S1365" s="1416" t="s">
        <v>1951</v>
      </c>
      <c r="U1365" s="1418" t="str">
        <f>IF(Q$706="Yes",M711,"")</f>
        <v/>
      </c>
      <c r="V1365" s="1418" t="str">
        <f>IF(Q$736="Yes",M741,"")</f>
        <v/>
      </c>
    </row>
    <row r="1366" spans="1:22" s="1411" customFormat="1" x14ac:dyDescent="0.25">
      <c r="A1366" s="1432" t="s">
        <v>1404</v>
      </c>
      <c r="B1366" s="857" t="str">
        <f>IFERROR(_xlfn.CONCAT("G",('Configurable Tab'!$C$7+6)),"")</f>
        <v>G74</v>
      </c>
      <c r="C1366" s="857" t="str">
        <f>IFERROR(_xlfn.CONCAT("G",('Configurable Tab'!$C$7+7)),"")</f>
        <v>G75</v>
      </c>
      <c r="D1366" s="1418" t="s">
        <v>1367</v>
      </c>
      <c r="E1366" s="859" t="s">
        <v>1936</v>
      </c>
      <c r="F1366" s="1418"/>
      <c r="G1366" s="1418"/>
      <c r="H1366" s="1418"/>
      <c r="I1366" s="857" t="str">
        <f t="shared" si="253"/>
        <v>Minimum Units</v>
      </c>
      <c r="J1366" s="1418" t="str">
        <f t="shared" si="254"/>
        <v>F</v>
      </c>
      <c r="K1366" s="1418" t="str">
        <f t="shared" si="252"/>
        <v>Incentives</v>
      </c>
      <c r="L1366" s="1418"/>
      <c r="M1366" s="1418"/>
      <c r="N1366" s="1418"/>
      <c r="R1366" s="1418" t="s">
        <v>1544</v>
      </c>
      <c r="S1366" s="1416" t="s">
        <v>1951</v>
      </c>
      <c r="U1366" s="1418" t="str">
        <f>IF(Q$706="Yes",M720,"")</f>
        <v/>
      </c>
      <c r="V1366" s="1418" t="str">
        <f>IF(Q$736="Yes",M750,"")</f>
        <v/>
      </c>
    </row>
    <row r="1367" spans="1:22" s="1411" customFormat="1" x14ac:dyDescent="0.25">
      <c r="A1367" s="1432" t="s">
        <v>1404</v>
      </c>
      <c r="B1367" s="857" t="str">
        <f>IFERROR(_xlfn.CONCAT("G",('Configurable Tab'!$C$7+6)),"")</f>
        <v>G74</v>
      </c>
      <c r="C1367" s="857" t="str">
        <f>IFERROR(_xlfn.CONCAT("G",('Configurable Tab'!$C$7+8)),"")</f>
        <v>G76</v>
      </c>
      <c r="D1367" s="1418" t="s">
        <v>1367</v>
      </c>
      <c r="E1367" s="859" t="s">
        <v>1936</v>
      </c>
      <c r="F1367" s="1418"/>
      <c r="G1367" s="1418"/>
      <c r="H1367" s="1418"/>
      <c r="I1367" s="857" t="str">
        <f t="shared" si="253"/>
        <v>Minimum Units</v>
      </c>
      <c r="J1367" s="1418" t="str">
        <f t="shared" si="254"/>
        <v>F</v>
      </c>
      <c r="K1367" s="1418" t="str">
        <f t="shared" si="252"/>
        <v>Incentives</v>
      </c>
      <c r="L1367" s="1418"/>
      <c r="M1367" s="1418"/>
      <c r="N1367" s="1418"/>
      <c r="R1367" s="1418" t="s">
        <v>1544</v>
      </c>
      <c r="S1367" s="1416" t="s">
        <v>1951</v>
      </c>
      <c r="U1367" s="1418" t="str">
        <f>IF(Q$706="Yes",M723,"")</f>
        <v/>
      </c>
      <c r="V1367" s="1418" t="str">
        <f>IF(Q$736="Yes",M753,"")</f>
        <v/>
      </c>
    </row>
    <row r="1368" spans="1:22" s="1411" customFormat="1" x14ac:dyDescent="0.25">
      <c r="A1368" s="1432" t="s">
        <v>1404</v>
      </c>
      <c r="B1368" s="857" t="str">
        <f>IFERROR(_xlfn.CONCAT("G",('Configurable Tab'!$C$7+6)),"")</f>
        <v>G74</v>
      </c>
      <c r="C1368" s="857" t="str">
        <f>IFERROR(_xlfn.CONCAT("G",('Configurable Tab'!$C$7+9)),"")</f>
        <v>G77</v>
      </c>
      <c r="D1368" s="1418" t="s">
        <v>1367</v>
      </c>
      <c r="E1368" s="859" t="s">
        <v>1936</v>
      </c>
      <c r="F1368" s="1418"/>
      <c r="G1368" s="1418"/>
      <c r="H1368" s="1418"/>
      <c r="I1368" s="857" t="str">
        <f t="shared" si="253"/>
        <v>Minimum Units</v>
      </c>
      <c r="J1368" s="1418" t="str">
        <f t="shared" si="254"/>
        <v>F</v>
      </c>
      <c r="K1368" s="1418" t="str">
        <f t="shared" si="252"/>
        <v>Incentives</v>
      </c>
      <c r="L1368" s="1418"/>
      <c r="M1368" s="1418"/>
      <c r="N1368" s="1418"/>
      <c r="R1368" s="1418" t="s">
        <v>1544</v>
      </c>
      <c r="S1368" s="1416" t="s">
        <v>1951</v>
      </c>
      <c r="U1368" s="1418" t="str">
        <f>IF(Q$706="Yes",M726,"")</f>
        <v/>
      </c>
      <c r="V1368" s="1418" t="str">
        <f>IF(Q$736="Yes",M756,"")</f>
        <v/>
      </c>
    </row>
    <row r="1369" spans="1:22" s="1411" customFormat="1" x14ac:dyDescent="0.25">
      <c r="A1369" s="1432" t="s">
        <v>1404</v>
      </c>
      <c r="B1369" s="857" t="str">
        <f>IFERROR(_xlfn.CONCAT("G",('Configurable Tab'!$C$7+6)),"")</f>
        <v>G74</v>
      </c>
      <c r="C1369" s="857" t="str">
        <f>IFERROR(_xlfn.CONCAT("G",('Configurable Tab'!$C$7+10)),"")</f>
        <v>G78</v>
      </c>
      <c r="D1369" s="1418" t="s">
        <v>1367</v>
      </c>
      <c r="E1369" s="859" t="s">
        <v>1936</v>
      </c>
      <c r="F1369" s="1418"/>
      <c r="G1369" s="1418"/>
      <c r="H1369" s="1418"/>
      <c r="I1369" s="857" t="str">
        <f t="shared" si="253"/>
        <v>Minimum Units</v>
      </c>
      <c r="J1369" s="1418" t="str">
        <f t="shared" si="254"/>
        <v>F</v>
      </c>
      <c r="K1369" s="1418" t="str">
        <f t="shared" si="252"/>
        <v>Incentives</v>
      </c>
      <c r="L1369" s="1418"/>
      <c r="M1369" s="1418"/>
      <c r="N1369" s="1418"/>
      <c r="R1369" s="1418" t="s">
        <v>1544</v>
      </c>
      <c r="S1369" s="1416" t="s">
        <v>1951</v>
      </c>
      <c r="U1369" s="1418" t="str">
        <f>IF(Q$706="Yes",M729,"")</f>
        <v/>
      </c>
      <c r="V1369" s="1418" t="str">
        <f>IF(Q$736="Yes",M759,"")</f>
        <v/>
      </c>
    </row>
    <row r="1370" spans="1:22" s="1411" customFormat="1" x14ac:dyDescent="0.25">
      <c r="A1370" s="1432" t="s">
        <v>1404</v>
      </c>
      <c r="B1370" s="857" t="str">
        <f>IFERROR(_xlfn.CONCAT("G",('Configurable Tab'!$C$7+6)),"")</f>
        <v>G74</v>
      </c>
      <c r="C1370" s="857" t="str">
        <f>IFERROR(_xlfn.CONCAT("G",('Configurable Tab'!$C$7+11)),"")</f>
        <v>G79</v>
      </c>
      <c r="D1370" s="1418" t="s">
        <v>1367</v>
      </c>
      <c r="E1370" s="859" t="s">
        <v>1936</v>
      </c>
      <c r="F1370" s="1418"/>
      <c r="G1370" s="1418"/>
      <c r="H1370" s="1418"/>
      <c r="I1370" s="857" t="str">
        <f t="shared" si="253"/>
        <v>Minimum Units</v>
      </c>
      <c r="J1370" s="1418" t="str">
        <f t="shared" si="254"/>
        <v>F</v>
      </c>
      <c r="K1370" s="1418" t="str">
        <f t="shared" si="252"/>
        <v>Incentives</v>
      </c>
      <c r="L1370" s="1418"/>
      <c r="M1370" s="1418"/>
      <c r="N1370" s="1418"/>
      <c r="R1370" s="1418" t="s">
        <v>1544</v>
      </c>
      <c r="S1370" s="1416" t="s">
        <v>1951</v>
      </c>
      <c r="U1370" s="1418" t="str">
        <f>IF(Q$706="Yes",M732,"")</f>
        <v/>
      </c>
      <c r="V1370" s="1418" t="str">
        <f>IF(Q$736="Yes",M762,"")</f>
        <v/>
      </c>
    </row>
    <row r="1371" spans="1:22" s="1411" customFormat="1" x14ac:dyDescent="0.25">
      <c r="A1371" s="1432" t="s">
        <v>1406</v>
      </c>
      <c r="B1371" s="857" t="str">
        <f>IFERROR(_xlfn.CONCAT("K",('Configurable Tab'!$C$7+6)),"")</f>
        <v>K74</v>
      </c>
      <c r="C1371" s="857" t="str">
        <f>IFERROR(_xlfn.CONCAT("K",('Configurable Tab'!$C$7+7)),"")</f>
        <v>K75</v>
      </c>
      <c r="D1371" s="1418" t="s">
        <v>1367</v>
      </c>
      <c r="E1371" s="859" t="s">
        <v>1936</v>
      </c>
      <c r="F1371" s="1418"/>
      <c r="G1371" s="1418"/>
      <c r="H1371" s="1418"/>
      <c r="I1371" s="857" t="str">
        <f t="shared" si="253"/>
        <v>Rate % of Sales</v>
      </c>
      <c r="J1371" s="1418" t="str">
        <f t="shared" si="254"/>
        <v>F</v>
      </c>
      <c r="K1371" s="1418" t="str">
        <f t="shared" si="252"/>
        <v>Incentives</v>
      </c>
      <c r="L1371" s="1418"/>
      <c r="M1371" s="1418"/>
      <c r="N1371" s="1418"/>
      <c r="R1371" s="1418" t="s">
        <v>1544</v>
      </c>
      <c r="S1371" s="1416" t="s">
        <v>1951</v>
      </c>
      <c r="U1371" s="1418" t="str">
        <f>IF(Q$706="Yes",M722,"")</f>
        <v/>
      </c>
      <c r="V1371" s="1418" t="str">
        <f>IF(Q$736="Yes",M752,"")</f>
        <v/>
      </c>
    </row>
    <row r="1372" spans="1:22" s="1411" customFormat="1" x14ac:dyDescent="0.25">
      <c r="A1372" s="1432" t="s">
        <v>1406</v>
      </c>
      <c r="B1372" s="857" t="str">
        <f>IFERROR(_xlfn.CONCAT("K",('Configurable Tab'!$C$7+6)),"")</f>
        <v>K74</v>
      </c>
      <c r="C1372" s="857" t="str">
        <f>IFERROR(_xlfn.CONCAT("K",('Configurable Tab'!$C$7+8)),"")</f>
        <v>K76</v>
      </c>
      <c r="D1372" s="1418" t="s">
        <v>1367</v>
      </c>
      <c r="E1372" s="859" t="s">
        <v>1936</v>
      </c>
      <c r="F1372" s="1418"/>
      <c r="G1372" s="1418"/>
      <c r="H1372" s="1418"/>
      <c r="I1372" s="857" t="str">
        <f t="shared" si="253"/>
        <v>Rate % of Sales</v>
      </c>
      <c r="J1372" s="1418" t="str">
        <f t="shared" si="254"/>
        <v>F</v>
      </c>
      <c r="K1372" s="1418" t="str">
        <f t="shared" si="252"/>
        <v>Incentives</v>
      </c>
      <c r="L1372" s="1418"/>
      <c r="M1372" s="1418"/>
      <c r="N1372" s="1418"/>
      <c r="R1372" s="1418" t="s">
        <v>1544</v>
      </c>
      <c r="S1372" s="1416" t="s">
        <v>1951</v>
      </c>
      <c r="U1372" s="1418" t="str">
        <f>IF(Q$706="Yes",M725,"")</f>
        <v/>
      </c>
      <c r="V1372" s="1418" t="str">
        <f>IF(Q$736="Yes",M755,"")</f>
        <v/>
      </c>
    </row>
    <row r="1373" spans="1:22" s="1411" customFormat="1" x14ac:dyDescent="0.25">
      <c r="A1373" s="1432" t="s">
        <v>1406</v>
      </c>
      <c r="B1373" s="857" t="str">
        <f>IFERROR(_xlfn.CONCAT("K",('Configurable Tab'!$C$7+6)),"")</f>
        <v>K74</v>
      </c>
      <c r="C1373" s="857" t="str">
        <f>IFERROR(_xlfn.CONCAT("K",('Configurable Tab'!$C$7+9)),"")</f>
        <v>K77</v>
      </c>
      <c r="D1373" s="1418" t="s">
        <v>1367</v>
      </c>
      <c r="E1373" s="859" t="s">
        <v>1936</v>
      </c>
      <c r="F1373" s="1418"/>
      <c r="G1373" s="1418"/>
      <c r="H1373" s="1418"/>
      <c r="I1373" s="857" t="str">
        <f t="shared" si="253"/>
        <v>Rate % of Sales</v>
      </c>
      <c r="J1373" s="1418" t="str">
        <f t="shared" si="254"/>
        <v>F</v>
      </c>
      <c r="K1373" s="1418" t="str">
        <f t="shared" si="252"/>
        <v>Incentives</v>
      </c>
      <c r="L1373" s="1418"/>
      <c r="M1373" s="1418"/>
      <c r="N1373" s="1418"/>
      <c r="R1373" s="1418" t="s">
        <v>1544</v>
      </c>
      <c r="S1373" s="1416" t="s">
        <v>1951</v>
      </c>
      <c r="U1373" s="1418" t="str">
        <f>IF(Q$706="Yes",M728,"")</f>
        <v/>
      </c>
      <c r="V1373" s="1418" t="str">
        <f>IF(Q$736="Yes",M758,"")</f>
        <v/>
      </c>
    </row>
    <row r="1374" spans="1:22" s="1411" customFormat="1" x14ac:dyDescent="0.25">
      <c r="A1374" s="1432" t="s">
        <v>1406</v>
      </c>
      <c r="B1374" s="857" t="str">
        <f>IFERROR(_xlfn.CONCAT("K",('Configurable Tab'!$C$7+6)),"")</f>
        <v>K74</v>
      </c>
      <c r="C1374" s="857" t="str">
        <f>IFERROR(_xlfn.CONCAT("K",('Configurable Tab'!$C$7+10)),"")</f>
        <v>K78</v>
      </c>
      <c r="D1374" s="1418" t="s">
        <v>1367</v>
      </c>
      <c r="E1374" s="859" t="s">
        <v>1936</v>
      </c>
      <c r="F1374" s="1418"/>
      <c r="G1374" s="1418"/>
      <c r="H1374" s="1418"/>
      <c r="I1374" s="857" t="str">
        <f t="shared" si="253"/>
        <v>Rate % of Sales</v>
      </c>
      <c r="J1374" s="1418" t="str">
        <f t="shared" si="254"/>
        <v>F</v>
      </c>
      <c r="K1374" s="1418" t="str">
        <f t="shared" si="252"/>
        <v>Incentives</v>
      </c>
      <c r="L1374" s="1418"/>
      <c r="M1374" s="1418"/>
      <c r="N1374" s="1418"/>
      <c r="R1374" s="1418" t="s">
        <v>1544</v>
      </c>
      <c r="S1374" s="1416" t="s">
        <v>1951</v>
      </c>
      <c r="U1374" s="1418" t="str">
        <f>IF(Q$706="Yes",M731,"")</f>
        <v/>
      </c>
      <c r="V1374" s="1418" t="str">
        <f>IF(Q$736="Yes",M761,"")</f>
        <v/>
      </c>
    </row>
    <row r="1375" spans="1:22" s="1411" customFormat="1" x14ac:dyDescent="0.25">
      <c r="A1375" s="1432" t="s">
        <v>1406</v>
      </c>
      <c r="B1375" s="857" t="str">
        <f>IFERROR(_xlfn.CONCAT("K",('Configurable Tab'!$C$7+6)),"")</f>
        <v>K74</v>
      </c>
      <c r="C1375" s="857" t="str">
        <f>IFERROR(_xlfn.CONCAT("K",('Configurable Tab'!$C$7+11)),"")</f>
        <v>K79</v>
      </c>
      <c r="D1375" s="1418" t="s">
        <v>1367</v>
      </c>
      <c r="E1375" s="859" t="s">
        <v>1936</v>
      </c>
      <c r="F1375" s="1418"/>
      <c r="G1375" s="1418"/>
      <c r="H1375" s="1418"/>
      <c r="I1375" s="857" t="str">
        <f t="shared" si="253"/>
        <v>Rate % of Sales</v>
      </c>
      <c r="J1375" s="1418" t="str">
        <f t="shared" si="254"/>
        <v>F</v>
      </c>
      <c r="K1375" s="1418" t="str">
        <f t="shared" si="252"/>
        <v>Incentives</v>
      </c>
      <c r="L1375" s="1418"/>
      <c r="M1375" s="1418"/>
      <c r="N1375" s="1418"/>
      <c r="R1375" s="1418" t="s">
        <v>1544</v>
      </c>
      <c r="S1375" s="1416" t="s">
        <v>1951</v>
      </c>
      <c r="U1375" s="1418" t="str">
        <f>IF(Q$706="Yes",M734,"")</f>
        <v/>
      </c>
      <c r="V1375" s="1418" t="str">
        <f>IF(Q$736="Yes",M764,"")</f>
        <v/>
      </c>
    </row>
    <row r="1376" spans="1:22" s="1411" customFormat="1" x14ac:dyDescent="0.25">
      <c r="A1376" s="1433" t="s">
        <v>524</v>
      </c>
      <c r="B1376" s="857" t="str">
        <f>IFERROR(_xlfn.CONCAT("D",('Configurable Tab'!$C$8+1)),"")</f>
        <v>D83</v>
      </c>
      <c r="C1376" s="857" t="str">
        <f>IFERROR(_xlfn.CONCAT("E",('Configurable Tab'!$C$8+1)),"")</f>
        <v>E83</v>
      </c>
      <c r="D1376" s="1418" t="s">
        <v>1367</v>
      </c>
      <c r="E1376" s="859" t="s">
        <v>1936</v>
      </c>
      <c r="F1376" s="1418"/>
      <c r="G1376" s="1418"/>
      <c r="H1376" s="1418"/>
      <c r="I1376" s="857" t="str">
        <f t="shared" si="253"/>
        <v>Offer this Incentive?</v>
      </c>
      <c r="J1376" s="1418" t="str">
        <f>$Q$1&amp;IF(T$1376&lt;&gt;0,U1376,IF(T$1394&lt;&gt;0,U1394,IF(X$1394&lt;&gt;0,Y1394,"")))</f>
        <v>F</v>
      </c>
      <c r="K1376" s="1418" t="str">
        <f t="shared" si="252"/>
        <v>Incentives</v>
      </c>
      <c r="L1376" s="1418"/>
      <c r="M1376" s="1418"/>
      <c r="N1376" s="1418"/>
      <c r="O1376" s="1411" t="s">
        <v>1708</v>
      </c>
      <c r="P1376" s="1411">
        <f>'Configurable Tab'!E8</f>
        <v>0</v>
      </c>
      <c r="Q1376" s="857" t="str">
        <f>IFERROR(_xlfn.CONCAT("C",('Configurable Tab'!$C8+1)),"")</f>
        <v>C83</v>
      </c>
      <c r="R1376" s="1418" t="s">
        <v>1550</v>
      </c>
      <c r="S1376" s="1416" t="s">
        <v>1952</v>
      </c>
      <c r="T1376" s="1418">
        <f>IF(Q$766="Yes",IF(Q$781="Yes",2,1),0)</f>
        <v>0</v>
      </c>
      <c r="U1376" s="1418" t="str">
        <f>IF(Q$766="Yes",M766,"")</f>
        <v/>
      </c>
      <c r="V1376" s="1418" t="str">
        <f>IF(Q$781="Yes",M781,"")</f>
        <v/>
      </c>
    </row>
    <row r="1377" spans="1:22" s="1411" customFormat="1" x14ac:dyDescent="0.25">
      <c r="A1377" s="1434" t="s">
        <v>1400</v>
      </c>
      <c r="B1377" s="857" t="str">
        <f>IFERROR(_xlfn.CONCAT("D",('Configurable Tab'!$C$8+2)),"")</f>
        <v>D84</v>
      </c>
      <c r="C1377" s="857" t="str">
        <f>IFERROR(_xlfn.CONCAT("E",('Configurable Tab'!$C$8+2)),"")</f>
        <v>E84</v>
      </c>
      <c r="D1377" s="1418" t="s">
        <v>1367</v>
      </c>
      <c r="E1377" s="859" t="s">
        <v>1936</v>
      </c>
      <c r="F1377" s="1418"/>
      <c r="G1377" s="1418"/>
      <c r="H1377" s="1418"/>
      <c r="I1377" s="857" t="str">
        <f t="shared" si="253"/>
        <v>Incentive Type</v>
      </c>
      <c r="J1377" s="1418" t="str">
        <f t="shared" ref="J1377:J1393" si="255">$Q$1&amp;IF(T$1376&lt;&gt;0,U1377,IF(T$1394&lt;&gt;0,U1395,IF(X$1394&lt;&gt;0,Y1395,"")))</f>
        <v>F</v>
      </c>
      <c r="K1377" s="1418" t="str">
        <f t="shared" si="252"/>
        <v>Incentives</v>
      </c>
      <c r="L1377" s="1418"/>
      <c r="M1377" s="1418"/>
      <c r="N1377" s="1418"/>
      <c r="R1377" s="1418" t="s">
        <v>1550</v>
      </c>
      <c r="S1377" s="1416" t="s">
        <v>1952</v>
      </c>
      <c r="U1377" s="1418" t="str">
        <f>IF(Q$766="Yes",M767,"")</f>
        <v/>
      </c>
      <c r="V1377" s="1418" t="str">
        <f>IF(Q$781="Yes",M782,"")</f>
        <v/>
      </c>
    </row>
    <row r="1378" spans="1:22" s="1411" customFormat="1" x14ac:dyDescent="0.25">
      <c r="A1378" s="1434" t="s">
        <v>1402</v>
      </c>
      <c r="B1378" s="857" t="str">
        <f>IFERROR(_xlfn.CONCAT("D",('Configurable Tab'!$C$8+4)),"")</f>
        <v>D86</v>
      </c>
      <c r="C1378" s="857" t="str">
        <f>IFERROR(_xlfn.CONCAT("E",('Configurable Tab'!$C$8+4)),"")</f>
        <v>E86</v>
      </c>
      <c r="D1378" s="1418" t="s">
        <v>1367</v>
      </c>
      <c r="E1378" s="859" t="s">
        <v>1936</v>
      </c>
      <c r="F1378" s="1418"/>
      <c r="G1378" s="1418"/>
      <c r="H1378" s="1418"/>
      <c r="I1378" s="857" t="str">
        <f t="shared" si="253"/>
        <v>Incentive Effective Date</v>
      </c>
      <c r="J1378" s="1418" t="str">
        <f t="shared" si="255"/>
        <v>F</v>
      </c>
      <c r="K1378" s="1418" t="str">
        <f t="shared" si="252"/>
        <v>Incentives</v>
      </c>
      <c r="L1378" s="1418"/>
      <c r="M1378" s="1418"/>
      <c r="N1378" s="1418"/>
      <c r="R1378" s="1418" t="s">
        <v>1550</v>
      </c>
      <c r="S1378" s="1416" t="s">
        <v>1952</v>
      </c>
      <c r="U1378" s="1418" t="str">
        <f>IF(Q$766="Yes",M775,"")</f>
        <v/>
      </c>
      <c r="V1378" s="1418" t="str">
        <f>IF(Q$781="Yes",M790,"")</f>
        <v/>
      </c>
    </row>
    <row r="1379" spans="1:22" s="1411" customFormat="1" x14ac:dyDescent="0.25">
      <c r="A1379" s="1434" t="s">
        <v>1403</v>
      </c>
      <c r="B1379" s="857" t="str">
        <f>IFERROR(_xlfn.CONCAT("D",('Configurable Tab'!$C$8+5)),"")</f>
        <v>D87</v>
      </c>
      <c r="C1379" s="857" t="str">
        <f>IFERROR(_xlfn.CONCAT("E",('Configurable Tab'!$C$8+5)),"")</f>
        <v>E87</v>
      </c>
      <c r="D1379" s="1418" t="s">
        <v>1367</v>
      </c>
      <c r="E1379" s="859" t="s">
        <v>1936</v>
      </c>
      <c r="F1379" s="1418"/>
      <c r="G1379" s="1418"/>
      <c r="H1379" s="1418"/>
      <c r="I1379" s="857" t="str">
        <f t="shared" si="253"/>
        <v>Incentive Expiration Date</v>
      </c>
      <c r="J1379" s="1418" t="str">
        <f t="shared" si="255"/>
        <v>F</v>
      </c>
      <c r="K1379" s="1418" t="str">
        <f t="shared" si="252"/>
        <v>Incentives</v>
      </c>
      <c r="L1379" s="1418"/>
      <c r="M1379" s="1418"/>
      <c r="N1379" s="1418"/>
      <c r="R1379" s="1418" t="s">
        <v>1550</v>
      </c>
      <c r="S1379" s="1416" t="s">
        <v>1952</v>
      </c>
      <c r="U1379" s="1418" t="str">
        <f>IF(Q$766="Yes",M776,"")</f>
        <v/>
      </c>
      <c r="V1379" s="1418" t="str">
        <f>IF(Q$781="Yes",M791,"")</f>
        <v/>
      </c>
    </row>
    <row r="1380" spans="1:22" s="1411" customFormat="1" x14ac:dyDescent="0.25">
      <c r="A1380" s="1434" t="s">
        <v>1397</v>
      </c>
      <c r="B1380" s="857" t="str">
        <f>IFERROR(_xlfn.CONCAT("G",('Configurable Tab'!$C$8+1)),"")</f>
        <v>G83</v>
      </c>
      <c r="C1380" s="857" t="str">
        <f>IFERROR(_xlfn.CONCAT("G",('Configurable Tab'!$C$8+2)),"")</f>
        <v>G84</v>
      </c>
      <c r="D1380" s="1418" t="s">
        <v>1367</v>
      </c>
      <c r="E1380" s="859" t="s">
        <v>1936</v>
      </c>
      <c r="F1380" s="1412"/>
      <c r="G1380" s="1428"/>
      <c r="H1380" s="1418"/>
      <c r="I1380" s="857" t="str">
        <f t="shared" si="253"/>
        <v>Incentive Period</v>
      </c>
      <c r="J1380" s="1418" t="str">
        <f t="shared" si="255"/>
        <v>F</v>
      </c>
      <c r="K1380" s="1418" t="str">
        <f t="shared" si="252"/>
        <v>Incentives</v>
      </c>
      <c r="L1380" s="1418"/>
      <c r="M1380" s="1418"/>
      <c r="N1380" s="1418"/>
      <c r="R1380" s="1418" t="s">
        <v>1550</v>
      </c>
      <c r="S1380" s="1416" t="s">
        <v>1952</v>
      </c>
      <c r="U1380" s="1418" t="str">
        <f>IF(Q$766="Yes",M768,"")</f>
        <v/>
      </c>
      <c r="V1380" s="1418" t="str">
        <f>IF(Q$781="Yes",M783,"")</f>
        <v/>
      </c>
    </row>
    <row r="1381" spans="1:22" s="1411" customFormat="1" x14ac:dyDescent="0.25">
      <c r="A1381" s="1434" t="s">
        <v>1398</v>
      </c>
      <c r="B1381" s="857" t="str">
        <f>IFERROR(_xlfn.CONCAT("I",('Configurable Tab'!$C$8+1)),"")</f>
        <v>I83</v>
      </c>
      <c r="C1381" s="857" t="str">
        <f>IFERROR(_xlfn.CONCAT("I",('Configurable Tab'!$C$8+2)),"")</f>
        <v>I84</v>
      </c>
      <c r="D1381" s="1418" t="s">
        <v>1367</v>
      </c>
      <c r="E1381" s="859" t="s">
        <v>1936</v>
      </c>
      <c r="F1381" s="1418"/>
      <c r="G1381" s="1418"/>
      <c r="H1381" s="1418"/>
      <c r="I1381" s="857" t="str">
        <f t="shared" si="253"/>
        <v>Payment Method</v>
      </c>
      <c r="J1381" s="1418" t="str">
        <f t="shared" si="255"/>
        <v>F</v>
      </c>
      <c r="K1381" s="1418" t="str">
        <f t="shared" si="252"/>
        <v>Incentives</v>
      </c>
      <c r="L1381" s="1418"/>
      <c r="M1381" s="1418"/>
      <c r="N1381" s="1418"/>
      <c r="R1381" s="1418" t="s">
        <v>1550</v>
      </c>
      <c r="S1381" s="1416" t="s">
        <v>1952</v>
      </c>
      <c r="U1381" s="1418" t="str">
        <f>IF(Q$766="Yes",M769,"")</f>
        <v/>
      </c>
      <c r="V1381" s="1418" t="str">
        <f>IF(Q$781="Yes",M784,"")</f>
        <v/>
      </c>
    </row>
    <row r="1382" spans="1:22" s="1411" customFormat="1" x14ac:dyDescent="0.25">
      <c r="A1382" s="1434" t="s">
        <v>837</v>
      </c>
      <c r="B1382" s="857" t="str">
        <f>IFERROR(_xlfn.CONCAT("K",('Configurable Tab'!$C$8+1)),"")</f>
        <v>K83</v>
      </c>
      <c r="C1382" s="857" t="str">
        <f>IFERROR(_xlfn.CONCAT("K",('Configurable Tab'!$C$8+2)),"")</f>
        <v>K84</v>
      </c>
      <c r="D1382" s="1418" t="s">
        <v>1367</v>
      </c>
      <c r="E1382" s="859" t="s">
        <v>1936</v>
      </c>
      <c r="F1382" s="1418"/>
      <c r="G1382" s="1418"/>
      <c r="H1382" s="1418"/>
      <c r="I1382" s="857" t="str">
        <f t="shared" si="253"/>
        <v>Paid to:</v>
      </c>
      <c r="J1382" s="1418" t="str">
        <f t="shared" si="255"/>
        <v>F</v>
      </c>
      <c r="K1382" s="1418" t="str">
        <f t="shared" si="252"/>
        <v>Incentives</v>
      </c>
      <c r="L1382" s="1418"/>
      <c r="M1382" s="1418"/>
      <c r="N1382" s="1418"/>
      <c r="R1382" s="1418" t="s">
        <v>1550</v>
      </c>
      <c r="S1382" s="1416" t="s">
        <v>1952</v>
      </c>
      <c r="U1382" s="1418" t="str">
        <f>IF(Q$766="Yes",M770,"")</f>
        <v/>
      </c>
      <c r="V1382" s="1418" t="str">
        <f>IF(Q$781="Yes",M785,"")</f>
        <v/>
      </c>
    </row>
    <row r="1383" spans="1:22" s="1411" customFormat="1" x14ac:dyDescent="0.25">
      <c r="A1383" s="1434" t="s">
        <v>1399</v>
      </c>
      <c r="B1383" s="857" t="str">
        <f>IFERROR(_xlfn.CONCAT("M",('Configurable Tab'!$C$8+1)),"")</f>
        <v>M83</v>
      </c>
      <c r="C1383" s="857" t="str">
        <f>IFERROR(_xlfn.CONCAT("M",('Configurable Tab'!$C$8+2)),"")</f>
        <v>M84</v>
      </c>
      <c r="D1383" s="1418" t="s">
        <v>1367</v>
      </c>
      <c r="E1383" s="859" t="s">
        <v>1936</v>
      </c>
      <c r="F1383" s="1418"/>
      <c r="G1383" s="1418"/>
      <c r="H1383" s="1418"/>
      <c r="I1383" s="857" t="str">
        <f t="shared" si="253"/>
        <v>AP/AR Vendor Number</v>
      </c>
      <c r="J1383" s="1418" t="str">
        <f t="shared" si="255"/>
        <v>F</v>
      </c>
      <c r="K1383" s="1418" t="str">
        <f t="shared" si="252"/>
        <v>Incentives</v>
      </c>
      <c r="L1383" s="1418"/>
      <c r="M1383" s="1418"/>
      <c r="N1383" s="1418"/>
      <c r="R1383" s="1418" t="s">
        <v>1550</v>
      </c>
      <c r="S1383" s="1416" t="s">
        <v>1952</v>
      </c>
      <c r="U1383" s="1418" t="str">
        <f>IF(Q$766="Yes",M771,"")</f>
        <v/>
      </c>
      <c r="V1383" s="1418" t="str">
        <f>IF(Q$781="Yes",M786,"")</f>
        <v/>
      </c>
    </row>
    <row r="1384" spans="1:22" s="1411" customFormat="1" x14ac:dyDescent="0.25">
      <c r="A1384" s="1434" t="s">
        <v>1404</v>
      </c>
      <c r="B1384" s="857" t="str">
        <f>IFERROR(_xlfn.CONCAT("G",('Configurable Tab'!$C$8+6)),"")</f>
        <v>G88</v>
      </c>
      <c r="C1384" s="857" t="str">
        <f>IFERROR(_xlfn.CONCAT("G",('Configurable Tab'!$C$8+7)),"")</f>
        <v>G89</v>
      </c>
      <c r="D1384" s="1418" t="s">
        <v>1367</v>
      </c>
      <c r="E1384" s="859" t="s">
        <v>1936</v>
      </c>
      <c r="F1384" s="1418"/>
      <c r="G1384" s="1418"/>
      <c r="H1384" s="1418"/>
      <c r="I1384" s="857" t="str">
        <f t="shared" si="253"/>
        <v>Minimum Units</v>
      </c>
      <c r="J1384" s="1418" t="str">
        <f t="shared" si="255"/>
        <v>F</v>
      </c>
      <c r="K1384" s="1418" t="str">
        <f t="shared" si="252"/>
        <v>Incentives</v>
      </c>
      <c r="L1384" s="1418"/>
      <c r="M1384" s="1418"/>
      <c r="N1384" s="1418"/>
      <c r="R1384" s="1418" t="s">
        <v>1550</v>
      </c>
    </row>
    <row r="1385" spans="1:22" s="1411" customFormat="1" x14ac:dyDescent="0.25">
      <c r="A1385" s="1434" t="s">
        <v>1404</v>
      </c>
      <c r="B1385" s="857" t="str">
        <f>IFERROR(_xlfn.CONCAT("G",('Configurable Tab'!$C$8+6)),"")</f>
        <v>G88</v>
      </c>
      <c r="C1385" s="857" t="str">
        <f>IFERROR(_xlfn.CONCAT("G",('Configurable Tab'!$C$8+8)),"")</f>
        <v>G90</v>
      </c>
      <c r="D1385" s="1418" t="s">
        <v>1367</v>
      </c>
      <c r="E1385" s="859" t="s">
        <v>1936</v>
      </c>
      <c r="F1385" s="1418"/>
      <c r="G1385" s="1418"/>
      <c r="H1385" s="1418"/>
      <c r="I1385" s="857" t="str">
        <f t="shared" si="253"/>
        <v>Minimum Units</v>
      </c>
      <c r="J1385" s="1418" t="str">
        <f t="shared" si="255"/>
        <v>F</v>
      </c>
      <c r="K1385" s="1418" t="str">
        <f t="shared" si="252"/>
        <v>Incentives</v>
      </c>
      <c r="L1385" s="1418"/>
      <c r="M1385" s="1418"/>
      <c r="N1385" s="1418"/>
      <c r="R1385" s="1418" t="s">
        <v>1550</v>
      </c>
    </row>
    <row r="1386" spans="1:22" s="1411" customFormat="1" x14ac:dyDescent="0.25">
      <c r="A1386" s="1434" t="s">
        <v>1404</v>
      </c>
      <c r="B1386" s="857" t="str">
        <f>IFERROR(_xlfn.CONCAT("G",('Configurable Tab'!$C$8+6)),"")</f>
        <v>G88</v>
      </c>
      <c r="C1386" s="857" t="str">
        <f>IFERROR(_xlfn.CONCAT("G",('Configurable Tab'!$C$8+9)),"")</f>
        <v>G91</v>
      </c>
      <c r="D1386" s="1418" t="s">
        <v>1367</v>
      </c>
      <c r="E1386" s="859" t="s">
        <v>1936</v>
      </c>
      <c r="F1386" s="1418"/>
      <c r="G1386" s="1418"/>
      <c r="H1386" s="1418"/>
      <c r="I1386" s="857" t="str">
        <f t="shared" si="253"/>
        <v>Minimum Units</v>
      </c>
      <c r="J1386" s="1418" t="str">
        <f t="shared" si="255"/>
        <v>F</v>
      </c>
      <c r="K1386" s="1418" t="str">
        <f t="shared" si="252"/>
        <v>Incentives</v>
      </c>
      <c r="L1386" s="1418"/>
      <c r="M1386" s="1418"/>
      <c r="N1386" s="1418"/>
      <c r="R1386" s="1418" t="s">
        <v>1550</v>
      </c>
    </row>
    <row r="1387" spans="1:22" s="1411" customFormat="1" x14ac:dyDescent="0.25">
      <c r="A1387" s="1434" t="s">
        <v>1404</v>
      </c>
      <c r="B1387" s="857" t="str">
        <f>IFERROR(_xlfn.CONCAT("G",('Configurable Tab'!$C$8+6)),"")</f>
        <v>G88</v>
      </c>
      <c r="C1387" s="857" t="str">
        <f>IFERROR(_xlfn.CONCAT("G",('Configurable Tab'!$C$8+10)),"")</f>
        <v>G92</v>
      </c>
      <c r="D1387" s="1418" t="s">
        <v>1367</v>
      </c>
      <c r="E1387" s="859" t="s">
        <v>1936</v>
      </c>
      <c r="F1387" s="1418"/>
      <c r="G1387" s="1418"/>
      <c r="H1387" s="1418"/>
      <c r="I1387" s="857" t="str">
        <f t="shared" si="253"/>
        <v>Minimum Units</v>
      </c>
      <c r="J1387" s="1418" t="str">
        <f t="shared" si="255"/>
        <v>F</v>
      </c>
      <c r="K1387" s="1418" t="str">
        <f t="shared" si="252"/>
        <v>Incentives</v>
      </c>
      <c r="L1387" s="1418"/>
      <c r="M1387" s="1418"/>
      <c r="N1387" s="1418"/>
      <c r="R1387" s="1418" t="s">
        <v>1550</v>
      </c>
    </row>
    <row r="1388" spans="1:22" s="1411" customFormat="1" x14ac:dyDescent="0.25">
      <c r="A1388" s="1434" t="s">
        <v>1404</v>
      </c>
      <c r="B1388" s="857" t="str">
        <f>IFERROR(_xlfn.CONCAT("G",('Configurable Tab'!$C$8+6)),"")</f>
        <v>G88</v>
      </c>
      <c r="C1388" s="857" t="str">
        <f>IFERROR(_xlfn.CONCAT("G",('Configurable Tab'!$C$8+11)),"")</f>
        <v>G93</v>
      </c>
      <c r="D1388" s="1418" t="s">
        <v>1367</v>
      </c>
      <c r="E1388" s="859" t="s">
        <v>1936</v>
      </c>
      <c r="F1388" s="1418"/>
      <c r="G1388" s="1418"/>
      <c r="H1388" s="1418"/>
      <c r="I1388" s="857" t="str">
        <f t="shared" si="253"/>
        <v>Minimum Units</v>
      </c>
      <c r="J1388" s="1418" t="str">
        <f t="shared" si="255"/>
        <v>F</v>
      </c>
      <c r="K1388" s="1418" t="str">
        <f t="shared" si="252"/>
        <v>Incentives</v>
      </c>
      <c r="L1388" s="1418"/>
      <c r="M1388" s="1418"/>
      <c r="N1388" s="1418"/>
      <c r="R1388" s="1418" t="s">
        <v>1550</v>
      </c>
    </row>
    <row r="1389" spans="1:22" s="1411" customFormat="1" x14ac:dyDescent="0.25">
      <c r="A1389" s="1434" t="s">
        <v>1406</v>
      </c>
      <c r="B1389" s="857" t="str">
        <f>IFERROR(_xlfn.CONCAT("K",('Configurable Tab'!$C$8+6)),"")</f>
        <v>K88</v>
      </c>
      <c r="C1389" s="857" t="str">
        <f>IFERROR(_xlfn.CONCAT("K",('Configurable Tab'!$C$8+7)),"")</f>
        <v>K89</v>
      </c>
      <c r="D1389" s="1418" t="s">
        <v>1367</v>
      </c>
      <c r="E1389" s="859" t="s">
        <v>1936</v>
      </c>
      <c r="F1389" s="1418"/>
      <c r="G1389" s="1418"/>
      <c r="H1389" s="1418"/>
      <c r="I1389" s="857" t="str">
        <f t="shared" si="253"/>
        <v>Rate % of Sales</v>
      </c>
      <c r="J1389" s="1418" t="str">
        <f t="shared" si="255"/>
        <v>F</v>
      </c>
      <c r="K1389" s="1418" t="str">
        <f t="shared" si="252"/>
        <v>Incentives</v>
      </c>
      <c r="L1389" s="1418"/>
      <c r="M1389" s="1418"/>
      <c r="N1389" s="1418"/>
      <c r="R1389" s="1418" t="s">
        <v>1550</v>
      </c>
    </row>
    <row r="1390" spans="1:22" s="1411" customFormat="1" x14ac:dyDescent="0.25">
      <c r="A1390" s="1434" t="s">
        <v>1406</v>
      </c>
      <c r="B1390" s="857" t="str">
        <f>IFERROR(_xlfn.CONCAT("K",('Configurable Tab'!$C$8+6)),"")</f>
        <v>K88</v>
      </c>
      <c r="C1390" s="857" t="str">
        <f>IFERROR(_xlfn.CONCAT("K",('Configurable Tab'!$C$8+8)),"")</f>
        <v>K90</v>
      </c>
      <c r="D1390" s="1418" t="s">
        <v>1367</v>
      </c>
      <c r="E1390" s="859" t="s">
        <v>1936</v>
      </c>
      <c r="F1390" s="1418"/>
      <c r="G1390" s="1418"/>
      <c r="H1390" s="1418"/>
      <c r="I1390" s="857" t="str">
        <f t="shared" si="253"/>
        <v>Rate % of Sales</v>
      </c>
      <c r="J1390" s="1418" t="str">
        <f t="shared" si="255"/>
        <v>F</v>
      </c>
      <c r="K1390" s="1418" t="str">
        <f t="shared" si="252"/>
        <v>Incentives</v>
      </c>
      <c r="L1390" s="1418"/>
      <c r="M1390" s="1418"/>
      <c r="N1390" s="1418"/>
      <c r="R1390" s="1418" t="s">
        <v>1550</v>
      </c>
    </row>
    <row r="1391" spans="1:22" s="1411" customFormat="1" x14ac:dyDescent="0.25">
      <c r="A1391" s="1434" t="s">
        <v>1406</v>
      </c>
      <c r="B1391" s="857" t="str">
        <f>IFERROR(_xlfn.CONCAT("K",('Configurable Tab'!$C$8+6)),"")</f>
        <v>K88</v>
      </c>
      <c r="C1391" s="857" t="str">
        <f>IFERROR(_xlfn.CONCAT("K",('Configurable Tab'!$C$8+9)),"")</f>
        <v>K91</v>
      </c>
      <c r="D1391" s="1418" t="s">
        <v>1367</v>
      </c>
      <c r="E1391" s="859" t="s">
        <v>1936</v>
      </c>
      <c r="F1391" s="1418"/>
      <c r="G1391" s="1418"/>
      <c r="H1391" s="1418"/>
      <c r="I1391" s="857" t="str">
        <f t="shared" si="253"/>
        <v>Rate % of Sales</v>
      </c>
      <c r="J1391" s="1418" t="str">
        <f t="shared" si="255"/>
        <v>F</v>
      </c>
      <c r="K1391" s="1418" t="str">
        <f t="shared" si="252"/>
        <v>Incentives</v>
      </c>
      <c r="L1391" s="1418"/>
      <c r="M1391" s="1418"/>
      <c r="N1391" s="1418"/>
      <c r="R1391" s="1418" t="s">
        <v>1550</v>
      </c>
    </row>
    <row r="1392" spans="1:22" s="1411" customFormat="1" x14ac:dyDescent="0.25">
      <c r="A1392" s="1434" t="s">
        <v>1406</v>
      </c>
      <c r="B1392" s="857" t="str">
        <f>IFERROR(_xlfn.CONCAT("K",('Configurable Tab'!$C$8+6)),"")</f>
        <v>K88</v>
      </c>
      <c r="C1392" s="857" t="str">
        <f>IFERROR(_xlfn.CONCAT("K",('Configurable Tab'!$C$8+10)),"")</f>
        <v>K92</v>
      </c>
      <c r="D1392" s="1418" t="s">
        <v>1367</v>
      </c>
      <c r="E1392" s="859" t="s">
        <v>1936</v>
      </c>
      <c r="F1392" s="1418"/>
      <c r="G1392" s="1418"/>
      <c r="H1392" s="1418"/>
      <c r="I1392" s="857" t="str">
        <f t="shared" si="253"/>
        <v>Rate % of Sales</v>
      </c>
      <c r="J1392" s="1418" t="str">
        <f t="shared" si="255"/>
        <v>F</v>
      </c>
      <c r="K1392" s="1418" t="str">
        <f t="shared" si="252"/>
        <v>Incentives</v>
      </c>
      <c r="L1392" s="1418"/>
      <c r="M1392" s="1418"/>
      <c r="N1392" s="1418"/>
      <c r="R1392" s="1418" t="s">
        <v>1550</v>
      </c>
    </row>
    <row r="1393" spans="1:26" s="1411" customFormat="1" x14ac:dyDescent="0.25">
      <c r="A1393" s="1434" t="s">
        <v>1406</v>
      </c>
      <c r="B1393" s="857" t="str">
        <f>IFERROR(_xlfn.CONCAT("K",('Configurable Tab'!$C$8+6)),"")</f>
        <v>K88</v>
      </c>
      <c r="C1393" s="857" t="str">
        <f>IFERROR(_xlfn.CONCAT("K",('Configurable Tab'!$C$8+11)),"")</f>
        <v>K93</v>
      </c>
      <c r="D1393" s="1418" t="s">
        <v>1367</v>
      </c>
      <c r="E1393" s="859" t="s">
        <v>1936</v>
      </c>
      <c r="F1393" s="1418"/>
      <c r="G1393" s="1418"/>
      <c r="H1393" s="1418"/>
      <c r="I1393" s="857" t="str">
        <f t="shared" si="253"/>
        <v>Rate % of Sales</v>
      </c>
      <c r="J1393" s="1418" t="str">
        <f t="shared" si="255"/>
        <v>F</v>
      </c>
      <c r="K1393" s="1418" t="str">
        <f t="shared" si="252"/>
        <v>Incentives</v>
      </c>
      <c r="L1393" s="1418"/>
      <c r="M1393" s="1418"/>
      <c r="N1393" s="1418"/>
      <c r="R1393" s="1418" t="s">
        <v>1550</v>
      </c>
    </row>
    <row r="1394" spans="1:26" s="1411" customFormat="1" x14ac:dyDescent="0.25">
      <c r="A1394" s="1435" t="s">
        <v>524</v>
      </c>
      <c r="B1394" s="857" t="str">
        <f>IFERROR(_xlfn.CONCAT("D",('Configurable Tab'!$C$9+1)),"")</f>
        <v>D97</v>
      </c>
      <c r="C1394" s="857" t="str">
        <f>IFERROR(_xlfn.CONCAT("E",('Configurable Tab'!$C$9+1)),"")</f>
        <v>E97</v>
      </c>
      <c r="D1394" s="1418" t="s">
        <v>1367</v>
      </c>
      <c r="E1394" s="859" t="s">
        <v>1936</v>
      </c>
      <c r="F1394" s="1418"/>
      <c r="G1394" s="1418"/>
      <c r="H1394" s="1418"/>
      <c r="I1394" s="857" t="str">
        <f t="shared" si="253"/>
        <v>Offer this Incentive?</v>
      </c>
      <c r="J1394" s="1418" t="str">
        <f>$Q$1&amp;IF(T$1376=2,V1376,IF(T$1376=1,IF(AND(T$1394=1,T$1394&lt;&gt;0),U1394,IF(AND(X$1394=1,X$1394&lt;&gt;0),Y1394,"")),IF(T$1394=2,V1394,IF(T$1394=1,IF(AND(X$1394=1,X$1394&lt;&gt;0),Y1394,""),IF(X$1394=2,Z1394,"")))))</f>
        <v>F</v>
      </c>
      <c r="K1394" s="1418" t="str">
        <f t="shared" si="252"/>
        <v>Incentives</v>
      </c>
      <c r="L1394" s="1418"/>
      <c r="M1394" s="1418"/>
      <c r="N1394" s="1418"/>
      <c r="O1394" s="1411" t="s">
        <v>1709</v>
      </c>
      <c r="P1394" s="1411">
        <f>'Configurable Tab'!E9</f>
        <v>0</v>
      </c>
      <c r="Q1394" s="857" t="str">
        <f>IFERROR(_xlfn.CONCAT("C",('Configurable Tab'!$C9+1)),"")</f>
        <v>C97</v>
      </c>
      <c r="R1394" s="1418" t="s">
        <v>1550</v>
      </c>
      <c r="S1394" s="1416" t="s">
        <v>1953</v>
      </c>
      <c r="T1394" s="1418">
        <f>IF(Q$796="Yes",IF(Q$814="Yes",2,1),0)</f>
        <v>0</v>
      </c>
      <c r="U1394" s="1418" t="str">
        <f>IF(Q$796="Yes",M796,"")</f>
        <v/>
      </c>
      <c r="V1394" s="1418" t="str">
        <f>IF(Q$814="Yes",M814,"")</f>
        <v/>
      </c>
      <c r="W1394" s="1416" t="s">
        <v>1954</v>
      </c>
      <c r="X1394" s="1418">
        <f>IF(Q$832="Yes",IF(Q$862="Yes",2,1),0)</f>
        <v>0</v>
      </c>
      <c r="Y1394" s="1418" t="str">
        <f>IF(Q$832="Yes",M832,"")</f>
        <v/>
      </c>
      <c r="Z1394" s="1418" t="str">
        <f>IF(U$862="Yes",M862,"")</f>
        <v/>
      </c>
    </row>
    <row r="1395" spans="1:26" s="1411" customFormat="1" x14ac:dyDescent="0.25">
      <c r="A1395" s="1436" t="s">
        <v>1400</v>
      </c>
      <c r="B1395" s="857" t="str">
        <f>IFERROR(_xlfn.CONCAT("D",('Configurable Tab'!$C$9+2)),"")</f>
        <v>D98</v>
      </c>
      <c r="C1395" s="857" t="str">
        <f>IFERROR(_xlfn.CONCAT("E",('Configurable Tab'!$C$9+2)),"")</f>
        <v>E98</v>
      </c>
      <c r="D1395" s="1418" t="s">
        <v>1367</v>
      </c>
      <c r="E1395" s="859" t="s">
        <v>1936</v>
      </c>
      <c r="F1395" s="1418"/>
      <c r="G1395" s="1418"/>
      <c r="H1395" s="1418"/>
      <c r="I1395" s="857" t="str">
        <f t="shared" si="253"/>
        <v>Incentive Type</v>
      </c>
      <c r="J1395" s="1418" t="str">
        <f t="shared" ref="J1395:J1411" si="256">$Q$1&amp;IF(T$1376=2,V1377,IF(T$1376=1,IF(AND(T$1394=1,T$1394&lt;&gt;0),U1395,IF(AND(X$1394=1,X$1394&lt;&gt;0),Y1395,"")),IF(T$1394=2,U1395,IF(T$1394=1,IF(AND(X$1394=1,X$1394&lt;&gt;0),Y1395,""),IF(X$1394=2,Z1395,"")))))</f>
        <v>F</v>
      </c>
      <c r="K1395" s="1418" t="str">
        <f t="shared" si="252"/>
        <v>Incentives</v>
      </c>
      <c r="L1395" s="1418"/>
      <c r="M1395" s="1418"/>
      <c r="N1395" s="1418"/>
      <c r="R1395" s="1418" t="s">
        <v>1550</v>
      </c>
      <c r="S1395" s="1416" t="s">
        <v>1953</v>
      </c>
      <c r="U1395" s="1418" t="str">
        <f>IF(Q$796="Yes",M797,"")</f>
        <v/>
      </c>
      <c r="V1395" s="1418" t="str">
        <f>IF(Q$814="Yes",M815,"")</f>
        <v/>
      </c>
      <c r="W1395" s="1416" t="s">
        <v>1954</v>
      </c>
      <c r="Y1395" s="1418" t="str">
        <f>IF(Q$832="Yes",M833,"")</f>
        <v/>
      </c>
      <c r="Z1395" s="1418" t="str">
        <f>IF(U$862="Yes",M863,"")</f>
        <v/>
      </c>
    </row>
    <row r="1396" spans="1:26" s="1411" customFormat="1" x14ac:dyDescent="0.25">
      <c r="A1396" s="1436" t="s">
        <v>1402</v>
      </c>
      <c r="B1396" s="857" t="str">
        <f>IFERROR(_xlfn.CONCAT("D",('Configurable Tab'!$C$9+4)),"")</f>
        <v>D100</v>
      </c>
      <c r="C1396" s="857" t="str">
        <f>IFERROR(_xlfn.CONCAT("E",('Configurable Tab'!$C$9+4)),"")</f>
        <v>E100</v>
      </c>
      <c r="D1396" s="1418" t="s">
        <v>1367</v>
      </c>
      <c r="E1396" s="859" t="s">
        <v>1936</v>
      </c>
      <c r="F1396" s="1418"/>
      <c r="G1396" s="1418"/>
      <c r="H1396" s="1418"/>
      <c r="I1396" s="857" t="str">
        <f t="shared" si="253"/>
        <v>Incentive Effective Date</v>
      </c>
      <c r="J1396" s="1418" t="str">
        <f t="shared" si="256"/>
        <v>F</v>
      </c>
      <c r="K1396" s="1418" t="str">
        <f t="shared" si="252"/>
        <v>Incentives</v>
      </c>
      <c r="L1396" s="1418"/>
      <c r="M1396" s="1418"/>
      <c r="N1396" s="1418"/>
      <c r="R1396" s="1418" t="s">
        <v>1550</v>
      </c>
      <c r="S1396" s="1416" t="s">
        <v>1953</v>
      </c>
      <c r="U1396" s="1418" t="str">
        <f>IF(Q$796="Yes",M805,"")</f>
        <v/>
      </c>
      <c r="V1396" s="1418" t="str">
        <f>IF(Q$814="Yes",M823,"")</f>
        <v/>
      </c>
      <c r="W1396" s="1416" t="s">
        <v>1954</v>
      </c>
      <c r="Y1396" s="1418" t="str">
        <f>IF(Q$832="Yes",M841,"")</f>
        <v/>
      </c>
      <c r="Z1396" s="1418" t="str">
        <f>IF(U$862="Yes",M871,"")</f>
        <v/>
      </c>
    </row>
    <row r="1397" spans="1:26" s="1411" customFormat="1" x14ac:dyDescent="0.25">
      <c r="A1397" s="1436" t="s">
        <v>1403</v>
      </c>
      <c r="B1397" s="857" t="str">
        <f>IFERROR(_xlfn.CONCAT("D",('Configurable Tab'!$C$9+5)),"")</f>
        <v>D101</v>
      </c>
      <c r="C1397" s="857" t="str">
        <f>IFERROR(_xlfn.CONCAT("E",('Configurable Tab'!$C$9+5)),"")</f>
        <v>E101</v>
      </c>
      <c r="D1397" s="1418" t="s">
        <v>1367</v>
      </c>
      <c r="E1397" s="859" t="s">
        <v>1936</v>
      </c>
      <c r="F1397" s="1418"/>
      <c r="G1397" s="1418"/>
      <c r="H1397" s="1418"/>
      <c r="I1397" s="857" t="str">
        <f t="shared" si="253"/>
        <v>Incentive Expiration Date</v>
      </c>
      <c r="J1397" s="1418" t="str">
        <f t="shared" si="256"/>
        <v>F</v>
      </c>
      <c r="K1397" s="1418" t="str">
        <f t="shared" si="252"/>
        <v>Incentives</v>
      </c>
      <c r="L1397" s="1418"/>
      <c r="M1397" s="1418"/>
      <c r="N1397" s="1418"/>
      <c r="R1397" s="1418" t="s">
        <v>1550</v>
      </c>
      <c r="S1397" s="1416" t="s">
        <v>1953</v>
      </c>
      <c r="U1397" s="1418" t="str">
        <f>IF(Q$796="Yes",M806,"")</f>
        <v/>
      </c>
      <c r="V1397" s="1418" t="str">
        <f>IF(Q$814="Yes",M824,"")</f>
        <v/>
      </c>
      <c r="W1397" s="1416" t="s">
        <v>1954</v>
      </c>
      <c r="Y1397" s="1418" t="str">
        <f>IF(Q$832="Yes",M842,"")</f>
        <v/>
      </c>
      <c r="Z1397" s="1418" t="str">
        <f>IF(U$862="Yes",M872,"")</f>
        <v/>
      </c>
    </row>
    <row r="1398" spans="1:26" s="1411" customFormat="1" x14ac:dyDescent="0.25">
      <c r="A1398" s="1436" t="s">
        <v>1397</v>
      </c>
      <c r="B1398" s="857" t="str">
        <f>IFERROR(_xlfn.CONCAT("G",('Configurable Tab'!$C$9+1)),"")</f>
        <v>G97</v>
      </c>
      <c r="C1398" s="857" t="str">
        <f>IFERROR(_xlfn.CONCAT("G",('Configurable Tab'!$C$9+2)),"")</f>
        <v>G98</v>
      </c>
      <c r="D1398" s="1418" t="s">
        <v>1367</v>
      </c>
      <c r="E1398" s="859" t="s">
        <v>1936</v>
      </c>
      <c r="F1398" s="1418"/>
      <c r="G1398" s="1418"/>
      <c r="H1398" s="1418"/>
      <c r="I1398" s="857" t="str">
        <f t="shared" si="253"/>
        <v>Incentive Period</v>
      </c>
      <c r="J1398" s="1418" t="str">
        <f t="shared" si="256"/>
        <v>F</v>
      </c>
      <c r="K1398" s="1418" t="str">
        <f t="shared" si="252"/>
        <v>Incentives</v>
      </c>
      <c r="L1398" s="1418"/>
      <c r="M1398" s="1418"/>
      <c r="N1398" s="1418"/>
      <c r="R1398" s="1418" t="s">
        <v>1550</v>
      </c>
      <c r="S1398" s="1416" t="s">
        <v>1953</v>
      </c>
      <c r="U1398" s="1418" t="str">
        <f>IF(Q$796="Yes",M798,"")</f>
        <v/>
      </c>
      <c r="V1398" s="1418" t="str">
        <f>IF(Q$814="Yes",M816,"")</f>
        <v/>
      </c>
      <c r="W1398" s="1416" t="s">
        <v>1954</v>
      </c>
      <c r="Y1398" s="1418" t="str">
        <f>IF(Q$832="Yes",M834,"")</f>
        <v/>
      </c>
      <c r="Z1398" s="1418" t="str">
        <f>IF(U$862="Yes",M864,"")</f>
        <v/>
      </c>
    </row>
    <row r="1399" spans="1:26" s="1411" customFormat="1" x14ac:dyDescent="0.25">
      <c r="A1399" s="1436" t="s">
        <v>1398</v>
      </c>
      <c r="B1399" s="857" t="str">
        <f>IFERROR(_xlfn.CONCAT("I",('Configurable Tab'!$C$9+1)),"")</f>
        <v>I97</v>
      </c>
      <c r="C1399" s="857" t="str">
        <f>IFERROR(_xlfn.CONCAT("I",('Configurable Tab'!$C$9+2)),"")</f>
        <v>I98</v>
      </c>
      <c r="D1399" s="1418" t="s">
        <v>1367</v>
      </c>
      <c r="E1399" s="859" t="s">
        <v>1936</v>
      </c>
      <c r="F1399" s="1418"/>
      <c r="G1399" s="1418"/>
      <c r="H1399" s="1418"/>
      <c r="I1399" s="857" t="str">
        <f t="shared" si="253"/>
        <v>Payment Method</v>
      </c>
      <c r="J1399" s="1418" t="str">
        <f t="shared" si="256"/>
        <v>F</v>
      </c>
      <c r="K1399" s="1418" t="str">
        <f t="shared" si="252"/>
        <v>Incentives</v>
      </c>
      <c r="L1399" s="1418"/>
      <c r="M1399" s="1418"/>
      <c r="N1399" s="1418"/>
      <c r="R1399" s="1418" t="s">
        <v>1550</v>
      </c>
      <c r="S1399" s="1416" t="s">
        <v>1953</v>
      </c>
      <c r="U1399" s="1418" t="str">
        <f>IF(Q$796="Yes",M799,"")</f>
        <v/>
      </c>
      <c r="V1399" s="1418" t="str">
        <f>IF(Q$814="Yes",M817,"")</f>
        <v/>
      </c>
      <c r="W1399" s="1416" t="s">
        <v>1954</v>
      </c>
      <c r="Y1399" s="1418" t="str">
        <f>IF(Q$832="Yes",M835,"")</f>
        <v/>
      </c>
      <c r="Z1399" s="1418" t="str">
        <f>IF(U$862="Yes",M865,"")</f>
        <v/>
      </c>
    </row>
    <row r="1400" spans="1:26" s="1411" customFormat="1" x14ac:dyDescent="0.25">
      <c r="A1400" s="1436" t="s">
        <v>837</v>
      </c>
      <c r="B1400" s="857" t="str">
        <f>IFERROR(_xlfn.CONCAT("K",('Configurable Tab'!$C$9+1)),"")</f>
        <v>K97</v>
      </c>
      <c r="C1400" s="857" t="str">
        <f>IFERROR(_xlfn.CONCAT("K",('Configurable Tab'!$C$9+2)),"")</f>
        <v>K98</v>
      </c>
      <c r="D1400" s="1418" t="s">
        <v>1367</v>
      </c>
      <c r="E1400" s="859" t="s">
        <v>1936</v>
      </c>
      <c r="F1400" s="1418"/>
      <c r="G1400" s="1418"/>
      <c r="H1400" s="1418"/>
      <c r="I1400" s="857" t="str">
        <f t="shared" si="253"/>
        <v>Paid to:</v>
      </c>
      <c r="J1400" s="1418" t="str">
        <f t="shared" si="256"/>
        <v>F</v>
      </c>
      <c r="K1400" s="1418" t="str">
        <f t="shared" si="252"/>
        <v>Incentives</v>
      </c>
      <c r="L1400" s="1418"/>
      <c r="M1400" s="1418"/>
      <c r="N1400" s="1418"/>
      <c r="R1400" s="1418" t="s">
        <v>1550</v>
      </c>
      <c r="S1400" s="1416" t="s">
        <v>1953</v>
      </c>
      <c r="U1400" s="1418" t="str">
        <f>IF(Q$796="Yes",M800,"")</f>
        <v/>
      </c>
      <c r="V1400" s="1418" t="str">
        <f>IF(Q$814="Yes",M818,"")</f>
        <v/>
      </c>
      <c r="W1400" s="1416" t="s">
        <v>1954</v>
      </c>
      <c r="Y1400" s="1418" t="str">
        <f>IF(Q$832="Yes",M836,"")</f>
        <v/>
      </c>
      <c r="Z1400" s="1418" t="str">
        <f>IF(U$862="Yes",M866,"")</f>
        <v/>
      </c>
    </row>
    <row r="1401" spans="1:26" s="1411" customFormat="1" x14ac:dyDescent="0.25">
      <c r="A1401" s="1436" t="s">
        <v>1399</v>
      </c>
      <c r="B1401" s="857" t="str">
        <f>IFERROR(_xlfn.CONCAT("M",('Configurable Tab'!$C$9+1)),"")</f>
        <v>M97</v>
      </c>
      <c r="C1401" s="857" t="str">
        <f>IFERROR(_xlfn.CONCAT("M",('Configurable Tab'!$C$9+2)),"")</f>
        <v>M98</v>
      </c>
      <c r="D1401" s="1418" t="s">
        <v>1367</v>
      </c>
      <c r="E1401" s="859" t="s">
        <v>1936</v>
      </c>
      <c r="F1401" s="1418"/>
      <c r="G1401" s="1418"/>
      <c r="H1401" s="1418"/>
      <c r="I1401" s="857" t="str">
        <f t="shared" si="253"/>
        <v>AP/AR Vendor Number</v>
      </c>
      <c r="J1401" s="1418" t="str">
        <f t="shared" si="256"/>
        <v>F</v>
      </c>
      <c r="K1401" s="1418" t="str">
        <f t="shared" si="252"/>
        <v>Incentives</v>
      </c>
      <c r="L1401" s="1418"/>
      <c r="M1401" s="1418"/>
      <c r="N1401" s="1418"/>
      <c r="R1401" s="1418" t="s">
        <v>1550</v>
      </c>
      <c r="S1401" s="1416" t="s">
        <v>1953</v>
      </c>
      <c r="U1401" s="1418" t="str">
        <f>IF(Q$796="Yes",M801,"")</f>
        <v/>
      </c>
      <c r="V1401" s="1418" t="str">
        <f>IF(Q$814="Yes",M819,"")</f>
        <v/>
      </c>
      <c r="W1401" s="1416" t="s">
        <v>1954</v>
      </c>
      <c r="Y1401" s="1418" t="str">
        <f>IF(Q$832="Yes",M837,"")</f>
        <v/>
      </c>
      <c r="Z1401" s="1418" t="str">
        <f>IF(U$862="Yes",M867,"")</f>
        <v/>
      </c>
    </row>
    <row r="1402" spans="1:26" s="1411" customFormat="1" x14ac:dyDescent="0.25">
      <c r="A1402" s="1436" t="s">
        <v>1404</v>
      </c>
      <c r="B1402" s="857" t="str">
        <f>IFERROR(_xlfn.CONCAT("G",('Configurable Tab'!$C$9+6)),"")</f>
        <v>G102</v>
      </c>
      <c r="C1402" s="857" t="str">
        <f>IFERROR(_xlfn.CONCAT("G",('Configurable Tab'!$C$9+7)),"")</f>
        <v>G103</v>
      </c>
      <c r="D1402" s="1418" t="s">
        <v>1367</v>
      </c>
      <c r="E1402" s="859" t="s">
        <v>1936</v>
      </c>
      <c r="F1402" s="1418"/>
      <c r="G1402" s="1418"/>
      <c r="H1402" s="1418"/>
      <c r="I1402" s="857" t="str">
        <f t="shared" si="253"/>
        <v>Minimum Units</v>
      </c>
      <c r="J1402" s="1418" t="str">
        <f t="shared" si="256"/>
        <v>F</v>
      </c>
      <c r="K1402" s="1418" t="str">
        <f t="shared" si="252"/>
        <v>Incentives</v>
      </c>
      <c r="L1402" s="1418"/>
      <c r="M1402" s="1418"/>
      <c r="N1402" s="1418"/>
      <c r="R1402" s="1418" t="s">
        <v>1550</v>
      </c>
      <c r="S1402" s="1416" t="s">
        <v>1953</v>
      </c>
      <c r="U1402" s="1418" t="str">
        <f>IF(Q$796="Yes",M810,"")</f>
        <v/>
      </c>
      <c r="V1402" s="1418" t="str">
        <f>IF(Q$814="Yes",M828,"")</f>
        <v/>
      </c>
      <c r="W1402" s="1416" t="s">
        <v>1954</v>
      </c>
      <c r="Y1402" s="1418" t="str">
        <f>IF(Q$832="Yes",M846,"")</f>
        <v/>
      </c>
      <c r="Z1402" s="1418" t="str">
        <f>IF(U$862="Yes",M876,"")</f>
        <v/>
      </c>
    </row>
    <row r="1403" spans="1:26" s="1411" customFormat="1" x14ac:dyDescent="0.25">
      <c r="A1403" s="1436" t="s">
        <v>1404</v>
      </c>
      <c r="B1403" s="857" t="str">
        <f>IFERROR(_xlfn.CONCAT("G",('Configurable Tab'!$C$9+6)),"")</f>
        <v>G102</v>
      </c>
      <c r="C1403" s="857" t="str">
        <f>IFERROR(_xlfn.CONCAT("G",('Configurable Tab'!$C$9+8)),"")</f>
        <v>G104</v>
      </c>
      <c r="D1403" s="1418" t="s">
        <v>1367</v>
      </c>
      <c r="E1403" s="859" t="s">
        <v>1936</v>
      </c>
      <c r="F1403" s="1418"/>
      <c r="G1403" s="1418"/>
      <c r="H1403" s="1418"/>
      <c r="I1403" s="857" t="str">
        <f t="shared" si="253"/>
        <v>Minimum Units</v>
      </c>
      <c r="J1403" s="1418" t="str">
        <f t="shared" si="256"/>
        <v>F</v>
      </c>
      <c r="K1403" s="1418" t="str">
        <f t="shared" si="252"/>
        <v>Incentives</v>
      </c>
      <c r="L1403" s="1418"/>
      <c r="M1403" s="1418"/>
      <c r="N1403" s="1418"/>
      <c r="R1403" s="1418" t="s">
        <v>1550</v>
      </c>
      <c r="W1403" s="1418" t="s">
        <v>1954</v>
      </c>
      <c r="Y1403" s="1418" t="str">
        <f>IF(Q$832="Yes",M849,"")</f>
        <v/>
      </c>
      <c r="Z1403" s="1418" t="str">
        <f>IF(U$862="Yes",M879,"")</f>
        <v/>
      </c>
    </row>
    <row r="1404" spans="1:26" s="1411" customFormat="1" x14ac:dyDescent="0.25">
      <c r="A1404" s="1436" t="s">
        <v>1404</v>
      </c>
      <c r="B1404" s="857" t="str">
        <f>IFERROR(_xlfn.CONCAT("G",('Configurable Tab'!$C$9+6)),"")</f>
        <v>G102</v>
      </c>
      <c r="C1404" s="857" t="str">
        <f>IFERROR(_xlfn.CONCAT("G",('Configurable Tab'!$C$9+9)),"")</f>
        <v>G105</v>
      </c>
      <c r="D1404" s="1418" t="s">
        <v>1367</v>
      </c>
      <c r="E1404" s="859" t="s">
        <v>1936</v>
      </c>
      <c r="F1404" s="1418"/>
      <c r="G1404" s="1418"/>
      <c r="H1404" s="1418"/>
      <c r="I1404" s="857" t="str">
        <f t="shared" si="253"/>
        <v>Minimum Units</v>
      </c>
      <c r="J1404" s="1418" t="str">
        <f t="shared" si="256"/>
        <v>F</v>
      </c>
      <c r="K1404" s="1418" t="str">
        <f t="shared" si="252"/>
        <v>Incentives</v>
      </c>
      <c r="L1404" s="1418"/>
      <c r="M1404" s="1418"/>
      <c r="N1404" s="1418"/>
      <c r="R1404" s="1418" t="s">
        <v>1550</v>
      </c>
      <c r="W1404" s="1418" t="s">
        <v>1954</v>
      </c>
      <c r="Y1404" s="1418" t="str">
        <f>IF(Q$832="Yes",M852,"")</f>
        <v/>
      </c>
      <c r="Z1404" s="1418" t="str">
        <f>IF(U$862="Yes",M882,"")</f>
        <v/>
      </c>
    </row>
    <row r="1405" spans="1:26" s="1411" customFormat="1" x14ac:dyDescent="0.25">
      <c r="A1405" s="1436" t="s">
        <v>1404</v>
      </c>
      <c r="B1405" s="857" t="str">
        <f>IFERROR(_xlfn.CONCAT("G",('Configurable Tab'!$C$9+6)),"")</f>
        <v>G102</v>
      </c>
      <c r="C1405" s="857" t="str">
        <f>IFERROR(_xlfn.CONCAT("G",('Configurable Tab'!$C$9+10)),"")</f>
        <v>G106</v>
      </c>
      <c r="D1405" s="1418" t="s">
        <v>1367</v>
      </c>
      <c r="E1405" s="859" t="s">
        <v>1936</v>
      </c>
      <c r="F1405" s="1418"/>
      <c r="G1405" s="1418"/>
      <c r="H1405" s="1418"/>
      <c r="I1405" s="857" t="str">
        <f t="shared" si="253"/>
        <v>Minimum Units</v>
      </c>
      <c r="J1405" s="1418" t="str">
        <f t="shared" si="256"/>
        <v>F</v>
      </c>
      <c r="K1405" s="1418" t="str">
        <f t="shared" si="252"/>
        <v>Incentives</v>
      </c>
      <c r="L1405" s="1418"/>
      <c r="M1405" s="1418"/>
      <c r="N1405" s="1418"/>
      <c r="R1405" s="1418" t="s">
        <v>1550</v>
      </c>
      <c r="W1405" s="1418" t="s">
        <v>1954</v>
      </c>
      <c r="Y1405" s="1418" t="str">
        <f>IF(Q$832="Yes",M855,"")</f>
        <v/>
      </c>
      <c r="Z1405" s="1418" t="str">
        <f>IF(U$862="Yes",M885,"")</f>
        <v/>
      </c>
    </row>
    <row r="1406" spans="1:26" s="1411" customFormat="1" x14ac:dyDescent="0.25">
      <c r="A1406" s="1436" t="s">
        <v>1404</v>
      </c>
      <c r="B1406" s="857" t="str">
        <f>IFERROR(_xlfn.CONCAT("G",('Configurable Tab'!$C$9+6)),"")</f>
        <v>G102</v>
      </c>
      <c r="C1406" s="857" t="str">
        <f>IFERROR(_xlfn.CONCAT("G",('Configurable Tab'!$C$9+11)),"")</f>
        <v>G107</v>
      </c>
      <c r="D1406" s="1418" t="s">
        <v>1367</v>
      </c>
      <c r="E1406" s="859" t="s">
        <v>1936</v>
      </c>
      <c r="F1406" s="1418"/>
      <c r="G1406" s="1418"/>
      <c r="H1406" s="1418"/>
      <c r="I1406" s="857" t="str">
        <f t="shared" si="253"/>
        <v>Minimum Units</v>
      </c>
      <c r="J1406" s="1418" t="str">
        <f t="shared" si="256"/>
        <v>F</v>
      </c>
      <c r="K1406" s="1418" t="str">
        <f t="shared" si="252"/>
        <v>Incentives</v>
      </c>
      <c r="L1406" s="1418"/>
      <c r="M1406" s="1418"/>
      <c r="N1406" s="1418"/>
      <c r="R1406" s="1418" t="s">
        <v>1550</v>
      </c>
      <c r="W1406" s="1418" t="s">
        <v>1954</v>
      </c>
      <c r="Y1406" s="1418" t="str">
        <f>IF(Q$832="Yes",M858,"")</f>
        <v/>
      </c>
      <c r="Z1406" s="1418" t="str">
        <f>IF(U$862="Yes",M888,"")</f>
        <v/>
      </c>
    </row>
    <row r="1407" spans="1:26" s="1411" customFormat="1" x14ac:dyDescent="0.25">
      <c r="A1407" s="1436" t="s">
        <v>1406</v>
      </c>
      <c r="B1407" s="857" t="str">
        <f>IFERROR(_xlfn.CONCAT("K",('Configurable Tab'!$C$9+6)),"")</f>
        <v>K102</v>
      </c>
      <c r="C1407" s="857" t="str">
        <f>IFERROR(_xlfn.CONCAT("K",('Configurable Tab'!$C$9+7)),"")</f>
        <v>K103</v>
      </c>
      <c r="D1407" s="1418" t="s">
        <v>1367</v>
      </c>
      <c r="E1407" s="859" t="s">
        <v>1936</v>
      </c>
      <c r="F1407" s="1418"/>
      <c r="G1407" s="1418"/>
      <c r="H1407" s="1418"/>
      <c r="I1407" s="857" t="str">
        <f t="shared" si="253"/>
        <v>Rate % of Sales</v>
      </c>
      <c r="J1407" s="1418" t="str">
        <f t="shared" si="256"/>
        <v>F</v>
      </c>
      <c r="K1407" s="1418" t="str">
        <f t="shared" si="252"/>
        <v>Incentives</v>
      </c>
      <c r="L1407" s="1418"/>
      <c r="M1407" s="1418"/>
      <c r="N1407" s="1418"/>
      <c r="R1407" s="1418" t="s">
        <v>1550</v>
      </c>
      <c r="S1407" s="1416" t="s">
        <v>1953</v>
      </c>
      <c r="U1407" s="1418" t="str">
        <f>IF(Q$796="Yes",M812,"")</f>
        <v/>
      </c>
      <c r="V1407" s="1418" t="str">
        <f>IF(Q$814="Yes",M830,"")</f>
        <v/>
      </c>
      <c r="W1407" s="1418" t="s">
        <v>1954</v>
      </c>
      <c r="Y1407" s="1418" t="str">
        <f>IF(Q$832="Yes",M848,"")</f>
        <v/>
      </c>
      <c r="Z1407" s="1418" t="str">
        <f>IF(U$862="Yes",M878,"")</f>
        <v/>
      </c>
    </row>
    <row r="1408" spans="1:26" s="1411" customFormat="1" x14ac:dyDescent="0.25">
      <c r="A1408" s="1436" t="s">
        <v>1406</v>
      </c>
      <c r="B1408" s="857" t="str">
        <f>IFERROR(_xlfn.CONCAT("K",('Configurable Tab'!$C$9+6)),"")</f>
        <v>K102</v>
      </c>
      <c r="C1408" s="857" t="str">
        <f>IFERROR(_xlfn.CONCAT("K",('Configurable Tab'!$C$9+8)),"")</f>
        <v>K104</v>
      </c>
      <c r="D1408" s="1418" t="s">
        <v>1367</v>
      </c>
      <c r="E1408" s="859" t="s">
        <v>1936</v>
      </c>
      <c r="F1408" s="1418"/>
      <c r="G1408" s="1418"/>
      <c r="H1408" s="1418"/>
      <c r="I1408" s="857" t="str">
        <f t="shared" si="253"/>
        <v>Rate % of Sales</v>
      </c>
      <c r="J1408" s="1418" t="str">
        <f t="shared" si="256"/>
        <v>F</v>
      </c>
      <c r="K1408" s="1418" t="str">
        <f t="shared" si="252"/>
        <v>Incentives</v>
      </c>
      <c r="L1408" s="1418"/>
      <c r="M1408" s="1418"/>
      <c r="N1408" s="1418"/>
      <c r="R1408" s="1418" t="s">
        <v>1550</v>
      </c>
      <c r="W1408" s="1418" t="s">
        <v>1954</v>
      </c>
      <c r="Y1408" s="1418" t="str">
        <f>IF(Q$832="Yes",M851,"")</f>
        <v/>
      </c>
      <c r="Z1408" s="1418" t="str">
        <f>IF(U$862="Yes",M881,"")</f>
        <v/>
      </c>
    </row>
    <row r="1409" spans="1:26" s="1411" customFormat="1" x14ac:dyDescent="0.25">
      <c r="A1409" s="1436" t="s">
        <v>1406</v>
      </c>
      <c r="B1409" s="857" t="str">
        <f>IFERROR(_xlfn.CONCAT("K",('Configurable Tab'!$C$9+6)),"")</f>
        <v>K102</v>
      </c>
      <c r="C1409" s="857" t="str">
        <f>IFERROR(_xlfn.CONCAT("K",('Configurable Tab'!$C$9+9)),"")</f>
        <v>K105</v>
      </c>
      <c r="D1409" s="1418" t="s">
        <v>1367</v>
      </c>
      <c r="E1409" s="859" t="s">
        <v>1936</v>
      </c>
      <c r="F1409" s="1418"/>
      <c r="G1409" s="1418"/>
      <c r="H1409" s="1418"/>
      <c r="I1409" s="857" t="str">
        <f t="shared" si="253"/>
        <v>Rate % of Sales</v>
      </c>
      <c r="J1409" s="1418" t="str">
        <f t="shared" si="256"/>
        <v>F</v>
      </c>
      <c r="K1409" s="1418" t="str">
        <f t="shared" si="252"/>
        <v>Incentives</v>
      </c>
      <c r="L1409" s="1418"/>
      <c r="M1409" s="1418"/>
      <c r="N1409" s="1418"/>
      <c r="R1409" s="1418" t="s">
        <v>1550</v>
      </c>
      <c r="W1409" s="1418" t="s">
        <v>1954</v>
      </c>
      <c r="Y1409" s="1418" t="str">
        <f>IF(Q$832="Yes",M854,"")</f>
        <v/>
      </c>
      <c r="Z1409" s="1418" t="str">
        <f>IF(U$862="Yes",M884,"")</f>
        <v/>
      </c>
    </row>
    <row r="1410" spans="1:26" s="1411" customFormat="1" x14ac:dyDescent="0.25">
      <c r="A1410" s="1436" t="s">
        <v>1406</v>
      </c>
      <c r="B1410" s="857" t="str">
        <f>IFERROR(_xlfn.CONCAT("K",('Configurable Tab'!$C$9+6)),"")</f>
        <v>K102</v>
      </c>
      <c r="C1410" s="857" t="str">
        <f>IFERROR(_xlfn.CONCAT("K",('Configurable Tab'!$C$9+10)),"")</f>
        <v>K106</v>
      </c>
      <c r="D1410" s="1418" t="s">
        <v>1367</v>
      </c>
      <c r="E1410" s="859" t="s">
        <v>1936</v>
      </c>
      <c r="F1410" s="1418"/>
      <c r="G1410" s="1418"/>
      <c r="H1410" s="1418"/>
      <c r="I1410" s="857" t="str">
        <f t="shared" si="253"/>
        <v>Rate % of Sales</v>
      </c>
      <c r="J1410" s="1418" t="str">
        <f t="shared" si="256"/>
        <v>F</v>
      </c>
      <c r="K1410" s="1418" t="str">
        <f t="shared" si="252"/>
        <v>Incentives</v>
      </c>
      <c r="L1410" s="1418"/>
      <c r="M1410" s="1418"/>
      <c r="N1410" s="1418"/>
      <c r="R1410" s="1418" t="s">
        <v>1550</v>
      </c>
      <c r="W1410" s="1418" t="s">
        <v>1954</v>
      </c>
      <c r="Y1410" s="1418" t="str">
        <f>IF(Q$832="Yes",M857,"")</f>
        <v/>
      </c>
      <c r="Z1410" s="1418" t="str">
        <f>IF(U$862="Yes",M887,"")</f>
        <v/>
      </c>
    </row>
    <row r="1411" spans="1:26" s="1411" customFormat="1" x14ac:dyDescent="0.25">
      <c r="A1411" s="1436" t="s">
        <v>1406</v>
      </c>
      <c r="B1411" s="857" t="str">
        <f>IFERROR(_xlfn.CONCAT("K",('Configurable Tab'!$C$9+6)),"")</f>
        <v>K102</v>
      </c>
      <c r="C1411" s="857" t="str">
        <f>IFERROR(_xlfn.CONCAT("K",('Configurable Tab'!$C$9+11)),"")</f>
        <v>K107</v>
      </c>
      <c r="D1411" s="1418" t="s">
        <v>1367</v>
      </c>
      <c r="E1411" s="859" t="s">
        <v>1936</v>
      </c>
      <c r="F1411" s="1418"/>
      <c r="G1411" s="1418"/>
      <c r="H1411" s="1418"/>
      <c r="I1411" s="857" t="str">
        <f t="shared" si="253"/>
        <v>Rate % of Sales</v>
      </c>
      <c r="J1411" s="1418" t="str">
        <f t="shared" si="256"/>
        <v>F</v>
      </c>
      <c r="K1411" s="1418" t="str">
        <f t="shared" si="252"/>
        <v>Incentives</v>
      </c>
      <c r="L1411" s="1418"/>
      <c r="M1411" s="1418"/>
      <c r="N1411" s="1418"/>
      <c r="R1411" s="1418" t="s">
        <v>1550</v>
      </c>
      <c r="W1411" s="1418" t="s">
        <v>1954</v>
      </c>
      <c r="Y1411" s="1418" t="str">
        <f>IF(Q$832="Yes",M860,"")</f>
        <v/>
      </c>
      <c r="Z1411" s="1418" t="str">
        <f>IF(U$862="Yes",M890,"")</f>
        <v/>
      </c>
    </row>
    <row r="1412" spans="1:26" s="1411" customFormat="1" x14ac:dyDescent="0.25">
      <c r="A1412" s="1104" t="s">
        <v>524</v>
      </c>
      <c r="B1412" s="857" t="str">
        <f>IFERROR(_xlfn.CONCAT("D",('Configurable Tab'!$C$10+1)),"")</f>
        <v>D111</v>
      </c>
      <c r="C1412" s="857" t="str">
        <f>IFERROR(_xlfn.CONCAT("E",('Configurable Tab'!$C$10+1)),"")</f>
        <v>E111</v>
      </c>
      <c r="D1412" s="1418" t="s">
        <v>1367</v>
      </c>
      <c r="E1412" s="859" t="s">
        <v>1936</v>
      </c>
      <c r="F1412" s="1418"/>
      <c r="G1412" s="1418"/>
      <c r="H1412" s="1418"/>
      <c r="I1412" s="857" t="str">
        <f t="shared" si="253"/>
        <v>Offer this Incentive?</v>
      </c>
      <c r="J1412" s="1418" t="str">
        <f>$Q$1&amp;T1412</f>
        <v>F</v>
      </c>
      <c r="K1412" s="1418" t="str">
        <f t="shared" si="252"/>
        <v>Incentives</v>
      </c>
      <c r="L1412" s="1418"/>
      <c r="M1412" s="1418"/>
      <c r="N1412" s="1418"/>
      <c r="O1412" s="1411" t="s">
        <v>1955</v>
      </c>
      <c r="P1412" s="1411">
        <f>'Configurable Tab'!E10</f>
        <v>0</v>
      </c>
      <c r="Q1412" s="857" t="str">
        <f>IFERROR(_xlfn.CONCAT("C",('Configurable Tab'!$C10+1)),"")</f>
        <v>C111</v>
      </c>
      <c r="R1412" s="1418" t="s">
        <v>395</v>
      </c>
      <c r="T1412" s="1418" t="str">
        <f>IF(Q$892="Yes",M892,"")</f>
        <v/>
      </c>
    </row>
    <row r="1413" spans="1:26" s="1411" customFormat="1" x14ac:dyDescent="0.25">
      <c r="A1413" s="1437" t="s">
        <v>1400</v>
      </c>
      <c r="B1413" s="857" t="str">
        <f>IFERROR(_xlfn.CONCAT("D",('Configurable Tab'!$C$10+2)),"")</f>
        <v>D112</v>
      </c>
      <c r="C1413" s="857" t="str">
        <f>IFERROR(_xlfn.CONCAT("E",('Configurable Tab'!$C$10+2)),"")</f>
        <v>E112</v>
      </c>
      <c r="D1413" s="1418" t="s">
        <v>1367</v>
      </c>
      <c r="E1413" s="859" t="s">
        <v>1936</v>
      </c>
      <c r="F1413" s="1418"/>
      <c r="G1413" s="1418"/>
      <c r="H1413" s="1418"/>
      <c r="I1413" s="857" t="str">
        <f t="shared" si="253"/>
        <v>Incentive Type</v>
      </c>
      <c r="J1413" s="1418" t="str">
        <f t="shared" ref="J1413:J1461" si="257">$Q$1&amp;T1413</f>
        <v>F</v>
      </c>
      <c r="K1413" s="1418" t="str">
        <f t="shared" ref="K1413:K1476" si="258">IF(J1413&lt;&gt;"",E1413,"")</f>
        <v>Incentives</v>
      </c>
      <c r="L1413" s="1418"/>
      <c r="M1413" s="1418"/>
      <c r="N1413" s="1418"/>
      <c r="R1413" s="1418" t="s">
        <v>395</v>
      </c>
      <c r="T1413" s="1418" t="str">
        <f>IF(Q$892="Yes",M893,"")</f>
        <v/>
      </c>
    </row>
    <row r="1414" spans="1:26" s="1411" customFormat="1" x14ac:dyDescent="0.25">
      <c r="A1414" s="1437" t="s">
        <v>1402</v>
      </c>
      <c r="B1414" s="857" t="str">
        <f>IFERROR(_xlfn.CONCAT("D",('Configurable Tab'!$C$10+4)),"")</f>
        <v>D114</v>
      </c>
      <c r="C1414" s="857" t="str">
        <f>IFERROR(_xlfn.CONCAT("E",('Configurable Tab'!$C$10+4)),"")</f>
        <v>E114</v>
      </c>
      <c r="D1414" s="1418" t="s">
        <v>1367</v>
      </c>
      <c r="E1414" s="859" t="s">
        <v>1936</v>
      </c>
      <c r="F1414" s="1418"/>
      <c r="G1414" s="1418"/>
      <c r="H1414" s="1418"/>
      <c r="I1414" s="857" t="str">
        <f t="shared" ref="I1414:I1477" si="259">IF(J1414&lt;&gt;"",A1414,"")</f>
        <v>Incentive Effective Date</v>
      </c>
      <c r="J1414" s="1418" t="str">
        <f t="shared" si="257"/>
        <v>F</v>
      </c>
      <c r="K1414" s="1418" t="str">
        <f t="shared" si="258"/>
        <v>Incentives</v>
      </c>
      <c r="L1414" s="1418"/>
      <c r="M1414" s="1418"/>
      <c r="N1414" s="1418"/>
      <c r="R1414" s="1418" t="s">
        <v>395</v>
      </c>
      <c r="T1414" s="1418" t="str">
        <f>IF(Q$892="Yes",M901,"")</f>
        <v/>
      </c>
    </row>
    <row r="1415" spans="1:26" s="1411" customFormat="1" x14ac:dyDescent="0.25">
      <c r="A1415" s="1437" t="s">
        <v>1403</v>
      </c>
      <c r="B1415" s="857" t="str">
        <f>IFERROR(_xlfn.CONCAT("D",('Configurable Tab'!$C$10+5)),"")</f>
        <v>D115</v>
      </c>
      <c r="C1415" s="857" t="str">
        <f>IFERROR(_xlfn.CONCAT("E",('Configurable Tab'!$C$10+5)),"")</f>
        <v>E115</v>
      </c>
      <c r="D1415" s="1418" t="s">
        <v>1367</v>
      </c>
      <c r="E1415" s="859" t="s">
        <v>1936</v>
      </c>
      <c r="F1415" s="1418"/>
      <c r="G1415" s="1418"/>
      <c r="H1415" s="1418"/>
      <c r="I1415" s="857" t="str">
        <f t="shared" si="259"/>
        <v>Incentive Expiration Date</v>
      </c>
      <c r="J1415" s="1418" t="str">
        <f t="shared" si="257"/>
        <v>F</v>
      </c>
      <c r="K1415" s="1418" t="str">
        <f t="shared" si="258"/>
        <v>Incentives</v>
      </c>
      <c r="L1415" s="1418"/>
      <c r="M1415" s="1418"/>
      <c r="N1415" s="1418"/>
      <c r="R1415" s="1418" t="s">
        <v>395</v>
      </c>
      <c r="T1415" s="1418" t="str">
        <f>IF(Q$892="Yes",M902,"")</f>
        <v/>
      </c>
    </row>
    <row r="1416" spans="1:26" s="1411" customFormat="1" x14ac:dyDescent="0.25">
      <c r="A1416" s="1437" t="s">
        <v>1397</v>
      </c>
      <c r="B1416" s="857" t="str">
        <f>IFERROR(_xlfn.CONCAT("G",('Configurable Tab'!$C$10+1)),"")</f>
        <v>G111</v>
      </c>
      <c r="C1416" s="857" t="str">
        <f>IFERROR(_xlfn.CONCAT("G",('Configurable Tab'!$C$10+2)),"")</f>
        <v>G112</v>
      </c>
      <c r="D1416" s="1418" t="s">
        <v>1367</v>
      </c>
      <c r="E1416" s="859" t="s">
        <v>1936</v>
      </c>
      <c r="F1416" s="1418"/>
      <c r="G1416" s="1418"/>
      <c r="H1416" s="1418"/>
      <c r="I1416" s="857" t="str">
        <f t="shared" si="259"/>
        <v>Incentive Period</v>
      </c>
      <c r="J1416" s="1418" t="str">
        <f t="shared" si="257"/>
        <v>F</v>
      </c>
      <c r="K1416" s="1418" t="str">
        <f t="shared" si="258"/>
        <v>Incentives</v>
      </c>
      <c r="L1416" s="1418"/>
      <c r="M1416" s="1418"/>
      <c r="N1416" s="1418"/>
      <c r="R1416" s="1418" t="s">
        <v>395</v>
      </c>
      <c r="T1416" s="1418" t="str">
        <f>IF(Q$892="Yes",M894,"")</f>
        <v/>
      </c>
    </row>
    <row r="1417" spans="1:26" s="1411" customFormat="1" x14ac:dyDescent="0.25">
      <c r="A1417" s="1437" t="s">
        <v>1398</v>
      </c>
      <c r="B1417" s="857" t="str">
        <f>IFERROR(_xlfn.CONCAT("I",('Configurable Tab'!$C$10+1)),"")</f>
        <v>I111</v>
      </c>
      <c r="C1417" s="857" t="str">
        <f>IFERROR(_xlfn.CONCAT("I",('Configurable Tab'!$C$10+2)),"")</f>
        <v>I112</v>
      </c>
      <c r="D1417" s="1418" t="s">
        <v>1367</v>
      </c>
      <c r="E1417" s="859" t="s">
        <v>1936</v>
      </c>
      <c r="F1417" s="1418"/>
      <c r="G1417" s="1418"/>
      <c r="H1417" s="1418"/>
      <c r="I1417" s="857" t="str">
        <f t="shared" si="259"/>
        <v>Payment Method</v>
      </c>
      <c r="J1417" s="1418" t="str">
        <f t="shared" si="257"/>
        <v>F</v>
      </c>
      <c r="K1417" s="1418" t="str">
        <f t="shared" si="258"/>
        <v>Incentives</v>
      </c>
      <c r="L1417" s="1418"/>
      <c r="M1417" s="1418"/>
      <c r="N1417" s="1418"/>
      <c r="R1417" s="1418" t="s">
        <v>395</v>
      </c>
      <c r="T1417" s="1418" t="str">
        <f>IF(Q$892="Yes",M895,"")</f>
        <v/>
      </c>
    </row>
    <row r="1418" spans="1:26" s="1411" customFormat="1" x14ac:dyDescent="0.25">
      <c r="A1418" s="1437" t="s">
        <v>837</v>
      </c>
      <c r="B1418" s="857" t="str">
        <f>IFERROR(_xlfn.CONCAT("K",('Configurable Tab'!$C$10+1)),"")</f>
        <v>K111</v>
      </c>
      <c r="C1418" s="857" t="str">
        <f>IFERROR(_xlfn.CONCAT("K",('Configurable Tab'!$C$10+2)),"")</f>
        <v>K112</v>
      </c>
      <c r="D1418" s="1418" t="s">
        <v>1367</v>
      </c>
      <c r="E1418" s="859" t="s">
        <v>1936</v>
      </c>
      <c r="F1418" s="1418"/>
      <c r="G1418" s="1418"/>
      <c r="H1418" s="1418"/>
      <c r="I1418" s="857" t="str">
        <f t="shared" si="259"/>
        <v>Paid to:</v>
      </c>
      <c r="J1418" s="1418" t="str">
        <f t="shared" si="257"/>
        <v>F</v>
      </c>
      <c r="K1418" s="1418" t="str">
        <f t="shared" si="258"/>
        <v>Incentives</v>
      </c>
      <c r="L1418" s="1418"/>
      <c r="M1418" s="1418"/>
      <c r="N1418" s="1418"/>
      <c r="R1418" s="1418" t="s">
        <v>395</v>
      </c>
      <c r="T1418" s="1418" t="str">
        <f>IF(Q$892="Yes",M896,"")</f>
        <v/>
      </c>
    </row>
    <row r="1419" spans="1:26" s="1411" customFormat="1" x14ac:dyDescent="0.25">
      <c r="A1419" s="1437" t="s">
        <v>1399</v>
      </c>
      <c r="B1419" s="857" t="str">
        <f>IFERROR(_xlfn.CONCAT("M",('Configurable Tab'!$C$10+1)),"")</f>
        <v>M111</v>
      </c>
      <c r="C1419" s="857" t="str">
        <f>IFERROR(_xlfn.CONCAT("M",('Configurable Tab'!$C$10+2)),"")</f>
        <v>M112</v>
      </c>
      <c r="D1419" s="1418" t="s">
        <v>1367</v>
      </c>
      <c r="E1419" s="859" t="s">
        <v>1936</v>
      </c>
      <c r="F1419" s="1418"/>
      <c r="G1419" s="1418"/>
      <c r="H1419" s="1418"/>
      <c r="I1419" s="857" t="str">
        <f t="shared" si="259"/>
        <v>AP/AR Vendor Number</v>
      </c>
      <c r="J1419" s="1418" t="str">
        <f t="shared" si="257"/>
        <v>F</v>
      </c>
      <c r="K1419" s="1418" t="str">
        <f t="shared" si="258"/>
        <v>Incentives</v>
      </c>
      <c r="L1419" s="1418"/>
      <c r="M1419" s="1418"/>
      <c r="N1419" s="1418"/>
      <c r="R1419" s="1418" t="s">
        <v>395</v>
      </c>
      <c r="T1419" s="1418" t="str">
        <f>IF(Q$892="Yes",M897,"")</f>
        <v/>
      </c>
    </row>
    <row r="1420" spans="1:26" s="1411" customFormat="1" x14ac:dyDescent="0.25">
      <c r="A1420" s="1437" t="s">
        <v>1404</v>
      </c>
      <c r="B1420" s="857" t="str">
        <f>IFERROR(_xlfn.CONCAT("G",('Configurable Tab'!$C$10+4)),"")</f>
        <v>G114</v>
      </c>
      <c r="C1420" s="857" t="str">
        <f>IFERROR(_xlfn.CONCAT("G",('Configurable Tab'!$C$10+5)),"")</f>
        <v>G115</v>
      </c>
      <c r="D1420" s="1418" t="s">
        <v>1367</v>
      </c>
      <c r="E1420" s="859" t="s">
        <v>1936</v>
      </c>
      <c r="F1420" s="1418"/>
      <c r="G1420" s="1418"/>
      <c r="H1420" s="1418"/>
      <c r="I1420" s="857" t="str">
        <f t="shared" si="259"/>
        <v>Minimum Units</v>
      </c>
      <c r="J1420" s="1418" t="str">
        <f t="shared" si="257"/>
        <v>F</v>
      </c>
      <c r="K1420" s="1418" t="str">
        <f t="shared" si="258"/>
        <v>Incentives</v>
      </c>
      <c r="L1420" s="1418"/>
      <c r="M1420" s="1418"/>
      <c r="N1420" s="1418"/>
      <c r="R1420" s="1418" t="s">
        <v>395</v>
      </c>
      <c r="T1420" s="1418" t="str">
        <f>IF(Q$892="Yes",M906,"")</f>
        <v/>
      </c>
    </row>
    <row r="1421" spans="1:26" s="1411" customFormat="1" x14ac:dyDescent="0.25">
      <c r="A1421" s="1437" t="s">
        <v>1406</v>
      </c>
      <c r="B1421" s="857" t="str">
        <f>IFERROR(_xlfn.CONCAT("K",('Configurable Tab'!$C$10+4)),"")</f>
        <v>K114</v>
      </c>
      <c r="C1421" s="857" t="str">
        <f>IFERROR(_xlfn.CONCAT("K",('Configurable Tab'!$C$10+5)),"")</f>
        <v>K115</v>
      </c>
      <c r="D1421" s="1418" t="s">
        <v>1367</v>
      </c>
      <c r="E1421" s="859" t="s">
        <v>1936</v>
      </c>
      <c r="F1421" s="1418"/>
      <c r="G1421" s="1418"/>
      <c r="H1421" s="1418"/>
      <c r="I1421" s="857" t="str">
        <f t="shared" si="259"/>
        <v>Rate % of Sales</v>
      </c>
      <c r="J1421" s="1418" t="str">
        <f t="shared" si="257"/>
        <v>F</v>
      </c>
      <c r="K1421" s="1418" t="str">
        <f t="shared" si="258"/>
        <v>Incentives</v>
      </c>
      <c r="L1421" s="1418"/>
      <c r="M1421" s="1418"/>
      <c r="N1421" s="1418"/>
      <c r="R1421" s="1418" t="s">
        <v>395</v>
      </c>
      <c r="T1421" s="1418" t="str">
        <f>IF(Q$892="Yes",M908,"")</f>
        <v/>
      </c>
    </row>
    <row r="1422" spans="1:26" s="1411" customFormat="1" x14ac:dyDescent="0.25">
      <c r="A1422" s="1438" t="s">
        <v>524</v>
      </c>
      <c r="B1422" s="857" t="str">
        <f>IFERROR(_xlfn.CONCAT("D",('Configurable Tab'!$C$11+1)),"")</f>
        <v>D119</v>
      </c>
      <c r="C1422" s="857" t="str">
        <f>IFERROR(_xlfn.CONCAT("E",('Configurable Tab'!$C$11+1)),"")</f>
        <v>E119</v>
      </c>
      <c r="D1422" s="1418" t="s">
        <v>1367</v>
      </c>
      <c r="E1422" s="859" t="s">
        <v>1936</v>
      </c>
      <c r="F1422" s="1418"/>
      <c r="G1422" s="1418"/>
      <c r="H1422" s="1418"/>
      <c r="I1422" s="857" t="str">
        <f t="shared" si="259"/>
        <v>Offer this Incentive?</v>
      </c>
      <c r="J1422" s="1418" t="str">
        <f t="shared" si="257"/>
        <v>F</v>
      </c>
      <c r="K1422" s="1418" t="str">
        <f t="shared" si="258"/>
        <v>Incentives</v>
      </c>
      <c r="L1422" s="1418"/>
      <c r="M1422" s="1418"/>
      <c r="N1422" s="1418"/>
      <c r="O1422" s="1411" t="s">
        <v>1956</v>
      </c>
      <c r="P1422" s="1411">
        <f>'Configurable Tab'!E11</f>
        <v>0</v>
      </c>
      <c r="Q1422" s="857" t="str">
        <f>IFERROR(_xlfn.CONCAT("C",('Configurable Tab'!$C11+1)),"")</f>
        <v>C119</v>
      </c>
      <c r="R1422" s="1418" t="s">
        <v>395</v>
      </c>
      <c r="T1422" s="1418" t="str">
        <f>IF(Q$911="Yes",M911,"")</f>
        <v/>
      </c>
    </row>
    <row r="1423" spans="1:26" s="1411" customFormat="1" x14ac:dyDescent="0.25">
      <c r="A1423" s="1439" t="s">
        <v>1400</v>
      </c>
      <c r="B1423" s="857" t="str">
        <f>IFERROR(_xlfn.CONCAT("D",('Configurable Tab'!$C$11+2)),"")</f>
        <v>D120</v>
      </c>
      <c r="C1423" s="857" t="str">
        <f>IFERROR(_xlfn.CONCAT("E",('Configurable Tab'!$C$11+2)),"")</f>
        <v>E120</v>
      </c>
      <c r="D1423" s="1418" t="s">
        <v>1367</v>
      </c>
      <c r="E1423" s="859" t="s">
        <v>1936</v>
      </c>
      <c r="F1423" s="1418"/>
      <c r="G1423" s="1418"/>
      <c r="H1423" s="1418"/>
      <c r="I1423" s="857" t="str">
        <f t="shared" si="259"/>
        <v>Incentive Type</v>
      </c>
      <c r="J1423" s="1418" t="str">
        <f t="shared" si="257"/>
        <v>F</v>
      </c>
      <c r="K1423" s="1418" t="str">
        <f t="shared" si="258"/>
        <v>Incentives</v>
      </c>
      <c r="L1423" s="1418"/>
      <c r="M1423" s="1418"/>
      <c r="N1423" s="1418"/>
      <c r="R1423" s="1418" t="s">
        <v>395</v>
      </c>
      <c r="T1423" s="1418" t="str">
        <f>IF(Q$911="Yes",M912,"")</f>
        <v/>
      </c>
    </row>
    <row r="1424" spans="1:26" s="1411" customFormat="1" x14ac:dyDescent="0.25">
      <c r="A1424" s="1439" t="s">
        <v>1402</v>
      </c>
      <c r="B1424" s="857" t="str">
        <f>IFERROR(_xlfn.CONCAT("D",('Configurable Tab'!$C$11+4)),"")</f>
        <v>D122</v>
      </c>
      <c r="C1424" s="857" t="str">
        <f>IFERROR(_xlfn.CONCAT("E",('Configurable Tab'!$C$11+4)),"")</f>
        <v>E122</v>
      </c>
      <c r="D1424" s="1418" t="s">
        <v>1367</v>
      </c>
      <c r="E1424" s="859" t="s">
        <v>1936</v>
      </c>
      <c r="F1424" s="1418"/>
      <c r="G1424" s="1418"/>
      <c r="H1424" s="1418"/>
      <c r="I1424" s="857" t="str">
        <f t="shared" si="259"/>
        <v>Incentive Effective Date</v>
      </c>
      <c r="J1424" s="1418" t="str">
        <f t="shared" si="257"/>
        <v>F</v>
      </c>
      <c r="K1424" s="1418" t="str">
        <f t="shared" si="258"/>
        <v>Incentives</v>
      </c>
      <c r="L1424" s="1418"/>
      <c r="M1424" s="1418"/>
      <c r="N1424" s="1418"/>
      <c r="R1424" s="1418" t="s">
        <v>395</v>
      </c>
      <c r="T1424" s="1418" t="str">
        <f>IF(Q$911="Yes",M920,"")</f>
        <v/>
      </c>
    </row>
    <row r="1425" spans="1:20" s="1411" customFormat="1" x14ac:dyDescent="0.25">
      <c r="A1425" s="1439" t="s">
        <v>1403</v>
      </c>
      <c r="B1425" s="857" t="str">
        <f>IFERROR(_xlfn.CONCAT("D",('Configurable Tab'!$C$11+5)),"")</f>
        <v>D123</v>
      </c>
      <c r="C1425" s="857" t="str">
        <f>IFERROR(_xlfn.CONCAT("E",('Configurable Tab'!$C$11+5)),"")</f>
        <v>E123</v>
      </c>
      <c r="D1425" s="1418" t="s">
        <v>1367</v>
      </c>
      <c r="E1425" s="859" t="s">
        <v>1936</v>
      </c>
      <c r="F1425" s="1418"/>
      <c r="G1425" s="1418"/>
      <c r="H1425" s="1418"/>
      <c r="I1425" s="857" t="str">
        <f t="shared" si="259"/>
        <v>Incentive Expiration Date</v>
      </c>
      <c r="J1425" s="1418" t="str">
        <f t="shared" si="257"/>
        <v>F</v>
      </c>
      <c r="K1425" s="1418" t="str">
        <f t="shared" si="258"/>
        <v>Incentives</v>
      </c>
      <c r="L1425" s="1418"/>
      <c r="M1425" s="1418"/>
      <c r="N1425" s="1418"/>
      <c r="R1425" s="1418" t="s">
        <v>395</v>
      </c>
      <c r="T1425" s="1418" t="str">
        <f>IF(Q$911="Yes",M921,"")</f>
        <v/>
      </c>
    </row>
    <row r="1426" spans="1:20" s="1411" customFormat="1" x14ac:dyDescent="0.25">
      <c r="A1426" s="1439" t="s">
        <v>1397</v>
      </c>
      <c r="B1426" s="857" t="str">
        <f>IFERROR(_xlfn.CONCAT("G",('Configurable Tab'!$C$11+1)),"")</f>
        <v>G119</v>
      </c>
      <c r="C1426" s="857" t="str">
        <f>IFERROR(_xlfn.CONCAT("G",('Configurable Tab'!$C$11+2)),"")</f>
        <v>G120</v>
      </c>
      <c r="D1426" s="1418" t="s">
        <v>1367</v>
      </c>
      <c r="E1426" s="859" t="s">
        <v>1936</v>
      </c>
      <c r="F1426" s="1418"/>
      <c r="G1426" s="1418"/>
      <c r="H1426" s="1418"/>
      <c r="I1426" s="857" t="str">
        <f t="shared" si="259"/>
        <v>Incentive Period</v>
      </c>
      <c r="J1426" s="1418" t="str">
        <f t="shared" si="257"/>
        <v>F</v>
      </c>
      <c r="K1426" s="1418" t="str">
        <f t="shared" si="258"/>
        <v>Incentives</v>
      </c>
      <c r="L1426" s="1418"/>
      <c r="M1426" s="1418"/>
      <c r="N1426" s="1418"/>
      <c r="R1426" s="1418" t="s">
        <v>395</v>
      </c>
      <c r="T1426" s="1418" t="str">
        <f>IF(Q$911="Yes",M913,"")</f>
        <v/>
      </c>
    </row>
    <row r="1427" spans="1:20" s="1411" customFormat="1" x14ac:dyDescent="0.25">
      <c r="A1427" s="1439" t="s">
        <v>1398</v>
      </c>
      <c r="B1427" s="857" t="str">
        <f>IFERROR(_xlfn.CONCAT("I",('Configurable Tab'!$C$11+1)),"")</f>
        <v>I119</v>
      </c>
      <c r="C1427" s="857" t="str">
        <f>IFERROR(_xlfn.CONCAT("I",('Configurable Tab'!$C$11+2)),"")</f>
        <v>I120</v>
      </c>
      <c r="D1427" s="1418" t="s">
        <v>1367</v>
      </c>
      <c r="E1427" s="859" t="s">
        <v>1936</v>
      </c>
      <c r="F1427" s="1418"/>
      <c r="G1427" s="1418"/>
      <c r="H1427" s="1418"/>
      <c r="I1427" s="857" t="str">
        <f t="shared" si="259"/>
        <v>Payment Method</v>
      </c>
      <c r="J1427" s="1418" t="str">
        <f t="shared" si="257"/>
        <v>F</v>
      </c>
      <c r="K1427" s="1418" t="str">
        <f t="shared" si="258"/>
        <v>Incentives</v>
      </c>
      <c r="L1427" s="1418"/>
      <c r="M1427" s="1418"/>
      <c r="N1427" s="1418"/>
      <c r="R1427" s="1418" t="s">
        <v>395</v>
      </c>
      <c r="T1427" s="1418" t="str">
        <f>IF(Q$911="Yes",M914,"")</f>
        <v/>
      </c>
    </row>
    <row r="1428" spans="1:20" s="1411" customFormat="1" x14ac:dyDescent="0.25">
      <c r="A1428" s="1439" t="s">
        <v>837</v>
      </c>
      <c r="B1428" s="857" t="str">
        <f>IFERROR(_xlfn.CONCAT("K",('Configurable Tab'!$C$11+1)),"")</f>
        <v>K119</v>
      </c>
      <c r="C1428" s="857" t="str">
        <f>IFERROR(_xlfn.CONCAT("K",('Configurable Tab'!$C$11+2)),"")</f>
        <v>K120</v>
      </c>
      <c r="D1428" s="1418" t="s">
        <v>1367</v>
      </c>
      <c r="E1428" s="859" t="s">
        <v>1936</v>
      </c>
      <c r="F1428" s="1418"/>
      <c r="G1428" s="1418"/>
      <c r="H1428" s="1418"/>
      <c r="I1428" s="857" t="str">
        <f t="shared" si="259"/>
        <v>Paid to:</v>
      </c>
      <c r="J1428" s="1418" t="str">
        <f t="shared" si="257"/>
        <v>F</v>
      </c>
      <c r="K1428" s="1418" t="str">
        <f t="shared" si="258"/>
        <v>Incentives</v>
      </c>
      <c r="L1428" s="1418"/>
      <c r="M1428" s="1418"/>
      <c r="N1428" s="1418"/>
      <c r="R1428" s="1418" t="s">
        <v>395</v>
      </c>
      <c r="T1428" s="1418" t="str">
        <f>IF(Q$911="Yes",M915,"")</f>
        <v/>
      </c>
    </row>
    <row r="1429" spans="1:20" s="1411" customFormat="1" x14ac:dyDescent="0.25">
      <c r="A1429" s="1439" t="s">
        <v>1399</v>
      </c>
      <c r="B1429" s="857" t="str">
        <f>IFERROR(_xlfn.CONCAT("M",('Configurable Tab'!$C$11+1)),"")</f>
        <v>M119</v>
      </c>
      <c r="C1429" s="857" t="str">
        <f>IFERROR(_xlfn.CONCAT("M",('Configurable Tab'!$C$11+2)),"")</f>
        <v>M120</v>
      </c>
      <c r="D1429" s="1418" t="s">
        <v>1367</v>
      </c>
      <c r="E1429" s="859" t="s">
        <v>1936</v>
      </c>
      <c r="F1429" s="1418"/>
      <c r="G1429" s="1418"/>
      <c r="H1429" s="1418"/>
      <c r="I1429" s="857" t="str">
        <f t="shared" si="259"/>
        <v>AP/AR Vendor Number</v>
      </c>
      <c r="J1429" s="1418" t="str">
        <f t="shared" si="257"/>
        <v>F</v>
      </c>
      <c r="K1429" s="1418" t="str">
        <f t="shared" si="258"/>
        <v>Incentives</v>
      </c>
      <c r="L1429" s="1418"/>
      <c r="M1429" s="1418"/>
      <c r="N1429" s="1418"/>
      <c r="R1429" s="1418" t="s">
        <v>395</v>
      </c>
      <c r="T1429" s="1418" t="str">
        <f>IF(Q$911="Yes",M916,"")</f>
        <v/>
      </c>
    </row>
    <row r="1430" spans="1:20" s="1411" customFormat="1" x14ac:dyDescent="0.25">
      <c r="A1430" s="1439" t="s">
        <v>1404</v>
      </c>
      <c r="B1430" s="857" t="str">
        <f>IFERROR(_xlfn.CONCAT("G",('Configurable Tab'!$C$11+4)),"")</f>
        <v>G122</v>
      </c>
      <c r="C1430" s="857" t="str">
        <f>IFERROR(_xlfn.CONCAT("G",('Configurable Tab'!$C$11+5)),"")</f>
        <v>G123</v>
      </c>
      <c r="D1430" s="1418" t="s">
        <v>1367</v>
      </c>
      <c r="E1430" s="859" t="s">
        <v>1936</v>
      </c>
      <c r="F1430" s="1418"/>
      <c r="G1430" s="1418"/>
      <c r="H1430" s="1418"/>
      <c r="I1430" s="857" t="str">
        <f t="shared" si="259"/>
        <v>Minimum Units</v>
      </c>
      <c r="J1430" s="1418" t="str">
        <f t="shared" si="257"/>
        <v>F</v>
      </c>
      <c r="K1430" s="1418" t="str">
        <f t="shared" si="258"/>
        <v>Incentives</v>
      </c>
      <c r="L1430" s="1418"/>
      <c r="M1430" s="1418"/>
      <c r="N1430" s="1418"/>
      <c r="R1430" s="1418" t="s">
        <v>395</v>
      </c>
      <c r="T1430" s="1418" t="str">
        <f>IF(Q$911="Yes",M925,"")</f>
        <v/>
      </c>
    </row>
    <row r="1431" spans="1:20" s="1411" customFormat="1" x14ac:dyDescent="0.25">
      <c r="A1431" s="1439" t="s">
        <v>1406</v>
      </c>
      <c r="B1431" s="857" t="str">
        <f>IFERROR(_xlfn.CONCAT("K",('Configurable Tab'!$C$11+4)),"")</f>
        <v>K122</v>
      </c>
      <c r="C1431" s="857" t="str">
        <f>IFERROR(_xlfn.CONCAT("K",('Configurable Tab'!$C$11+5)),"")</f>
        <v>K123</v>
      </c>
      <c r="D1431" s="1418" t="s">
        <v>1367</v>
      </c>
      <c r="E1431" s="859" t="s">
        <v>1936</v>
      </c>
      <c r="F1431" s="1418"/>
      <c r="G1431" s="1418"/>
      <c r="H1431" s="1418"/>
      <c r="I1431" s="857" t="str">
        <f t="shared" si="259"/>
        <v>Rate % of Sales</v>
      </c>
      <c r="J1431" s="1418" t="str">
        <f t="shared" si="257"/>
        <v>F</v>
      </c>
      <c r="K1431" s="1418" t="str">
        <f t="shared" si="258"/>
        <v>Incentives</v>
      </c>
      <c r="L1431" s="1418"/>
      <c r="M1431" s="1418"/>
      <c r="N1431" s="1418"/>
      <c r="R1431" s="1418" t="s">
        <v>395</v>
      </c>
      <c r="T1431" s="1418" t="str">
        <f>IF(Q$911="Yes",M927,"")</f>
        <v/>
      </c>
    </row>
    <row r="1432" spans="1:20" s="1411" customFormat="1" x14ac:dyDescent="0.25">
      <c r="A1432" s="1104" t="s">
        <v>524</v>
      </c>
      <c r="B1432" s="857" t="str">
        <f>IFERROR(_xlfn.CONCAT("D",('Configurable Tab'!$C$12+1)),"")</f>
        <v>D127</v>
      </c>
      <c r="C1432" s="857" t="str">
        <f>IFERROR(_xlfn.CONCAT("E",('Configurable Tab'!$C$12+1)),"")</f>
        <v>E127</v>
      </c>
      <c r="D1432" s="1418" t="s">
        <v>1367</v>
      </c>
      <c r="E1432" s="859" t="s">
        <v>1936</v>
      </c>
      <c r="F1432" s="1418"/>
      <c r="G1432" s="1418"/>
      <c r="H1432" s="1418"/>
      <c r="I1432" s="857" t="str">
        <f t="shared" si="259"/>
        <v>Offer this Incentive?</v>
      </c>
      <c r="J1432" s="1418" t="str">
        <f t="shared" si="257"/>
        <v>F</v>
      </c>
      <c r="K1432" s="1418" t="str">
        <f t="shared" si="258"/>
        <v>Incentives</v>
      </c>
      <c r="L1432" s="1418"/>
      <c r="M1432" s="1418"/>
      <c r="N1432" s="1418"/>
      <c r="O1432" s="1411" t="s">
        <v>1957</v>
      </c>
      <c r="P1432" s="1411">
        <f>'Configurable Tab'!E12</f>
        <v>0</v>
      </c>
      <c r="Q1432" s="857" t="str">
        <f>IFERROR(_xlfn.CONCAT("C",('Configurable Tab'!$C12+1)),"")</f>
        <v>C127</v>
      </c>
      <c r="R1432" s="1418" t="s">
        <v>395</v>
      </c>
      <c r="T1432" s="1418" t="str">
        <f>IF(Q$930="Yes",M930,"")</f>
        <v/>
      </c>
    </row>
    <row r="1433" spans="1:20" s="1411" customFormat="1" x14ac:dyDescent="0.25">
      <c r="A1433" s="1437" t="s">
        <v>1400</v>
      </c>
      <c r="B1433" s="857" t="str">
        <f>IFERROR(_xlfn.CONCAT("D",('Configurable Tab'!$C$12+2)),"")</f>
        <v>D128</v>
      </c>
      <c r="C1433" s="857" t="str">
        <f>IFERROR(_xlfn.CONCAT("E",('Configurable Tab'!$C$12+2)),"")</f>
        <v>E128</v>
      </c>
      <c r="D1433" s="1418" t="s">
        <v>1367</v>
      </c>
      <c r="E1433" s="859" t="s">
        <v>1936</v>
      </c>
      <c r="F1433" s="1418"/>
      <c r="G1433" s="1418"/>
      <c r="H1433" s="1418"/>
      <c r="I1433" s="857" t="str">
        <f t="shared" si="259"/>
        <v>Incentive Type</v>
      </c>
      <c r="J1433" s="1418" t="str">
        <f t="shared" si="257"/>
        <v>F</v>
      </c>
      <c r="K1433" s="1418" t="str">
        <f t="shared" si="258"/>
        <v>Incentives</v>
      </c>
      <c r="L1433" s="1418"/>
      <c r="M1433" s="1418"/>
      <c r="N1433" s="1418"/>
      <c r="R1433" s="1418" t="s">
        <v>395</v>
      </c>
      <c r="T1433" s="1418" t="str">
        <f>IF(Q$930="Yes",M931,"")</f>
        <v/>
      </c>
    </row>
    <row r="1434" spans="1:20" s="1411" customFormat="1" x14ac:dyDescent="0.25">
      <c r="A1434" s="1437" t="s">
        <v>1402</v>
      </c>
      <c r="B1434" s="857" t="str">
        <f>IFERROR(_xlfn.CONCAT("D",('Configurable Tab'!$C$12+4)),"")</f>
        <v>D130</v>
      </c>
      <c r="C1434" s="857" t="str">
        <f>IFERROR(_xlfn.CONCAT("E",('Configurable Tab'!$C$12+4)),"")</f>
        <v>E130</v>
      </c>
      <c r="D1434" s="1418" t="s">
        <v>1367</v>
      </c>
      <c r="E1434" s="859" t="s">
        <v>1936</v>
      </c>
      <c r="F1434" s="1418"/>
      <c r="G1434" s="1418"/>
      <c r="H1434" s="1418"/>
      <c r="I1434" s="857" t="str">
        <f t="shared" si="259"/>
        <v>Incentive Effective Date</v>
      </c>
      <c r="J1434" s="1418" t="str">
        <f t="shared" si="257"/>
        <v>F</v>
      </c>
      <c r="K1434" s="1418" t="str">
        <f t="shared" si="258"/>
        <v>Incentives</v>
      </c>
      <c r="L1434" s="1418"/>
      <c r="M1434" s="1418"/>
      <c r="N1434" s="1418"/>
      <c r="R1434" s="1418" t="s">
        <v>395</v>
      </c>
      <c r="T1434" s="1418" t="str">
        <f>IF(Q$930="Yes",M939,"")</f>
        <v/>
      </c>
    </row>
    <row r="1435" spans="1:20" s="1411" customFormat="1" x14ac:dyDescent="0.25">
      <c r="A1435" s="1437" t="s">
        <v>1403</v>
      </c>
      <c r="B1435" s="857" t="str">
        <f>IFERROR(_xlfn.CONCAT("D",('Configurable Tab'!$C$12+5)),"")</f>
        <v>D131</v>
      </c>
      <c r="C1435" s="857" t="str">
        <f>IFERROR(_xlfn.CONCAT("E",('Configurable Tab'!$C$12+5)),"")</f>
        <v>E131</v>
      </c>
      <c r="D1435" s="1418" t="s">
        <v>1367</v>
      </c>
      <c r="E1435" s="859" t="s">
        <v>1936</v>
      </c>
      <c r="F1435" s="1418"/>
      <c r="G1435" s="1418"/>
      <c r="H1435" s="1418"/>
      <c r="I1435" s="857" t="str">
        <f t="shared" si="259"/>
        <v>Incentive Expiration Date</v>
      </c>
      <c r="J1435" s="1418" t="str">
        <f t="shared" si="257"/>
        <v>F</v>
      </c>
      <c r="K1435" s="1418" t="str">
        <f t="shared" si="258"/>
        <v>Incentives</v>
      </c>
      <c r="L1435" s="1418"/>
      <c r="M1435" s="1418"/>
      <c r="N1435" s="1418"/>
      <c r="R1435" s="1418" t="s">
        <v>395</v>
      </c>
      <c r="T1435" s="1418" t="str">
        <f>IF(Q$930="Yes",M940,"")</f>
        <v/>
      </c>
    </row>
    <row r="1436" spans="1:20" s="1411" customFormat="1" x14ac:dyDescent="0.25">
      <c r="A1436" s="1437" t="s">
        <v>1397</v>
      </c>
      <c r="B1436" s="857" t="str">
        <f>IFERROR(_xlfn.CONCAT("G",('Configurable Tab'!$C$12+1)),"")</f>
        <v>G127</v>
      </c>
      <c r="C1436" s="857" t="str">
        <f>IFERROR(_xlfn.CONCAT("G",('Configurable Tab'!$C$12+2)),"")</f>
        <v>G128</v>
      </c>
      <c r="D1436" s="1418" t="s">
        <v>1367</v>
      </c>
      <c r="E1436" s="859" t="s">
        <v>1936</v>
      </c>
      <c r="F1436" s="1418"/>
      <c r="G1436" s="1418"/>
      <c r="H1436" s="1418"/>
      <c r="I1436" s="857" t="str">
        <f t="shared" si="259"/>
        <v>Incentive Period</v>
      </c>
      <c r="J1436" s="1418" t="str">
        <f t="shared" si="257"/>
        <v>F</v>
      </c>
      <c r="K1436" s="1418" t="str">
        <f t="shared" si="258"/>
        <v>Incentives</v>
      </c>
      <c r="L1436" s="1418"/>
      <c r="M1436" s="1418"/>
      <c r="N1436" s="1418"/>
      <c r="R1436" s="1418" t="s">
        <v>395</v>
      </c>
      <c r="T1436" s="1418" t="str">
        <f>IF(Q$930="Yes",M932,"")</f>
        <v/>
      </c>
    </row>
    <row r="1437" spans="1:20" s="1411" customFormat="1" x14ac:dyDescent="0.25">
      <c r="A1437" s="1437" t="s">
        <v>1398</v>
      </c>
      <c r="B1437" s="857" t="str">
        <f>IFERROR(_xlfn.CONCAT("I",('Configurable Tab'!$C$12+1)),"")</f>
        <v>I127</v>
      </c>
      <c r="C1437" s="857" t="str">
        <f>IFERROR(_xlfn.CONCAT("I",('Configurable Tab'!$C$12+2)),"")</f>
        <v>I128</v>
      </c>
      <c r="D1437" s="1418" t="s">
        <v>1367</v>
      </c>
      <c r="E1437" s="859" t="s">
        <v>1936</v>
      </c>
      <c r="F1437" s="1418"/>
      <c r="G1437" s="1418"/>
      <c r="H1437" s="1418"/>
      <c r="I1437" s="857" t="str">
        <f t="shared" si="259"/>
        <v>Payment Method</v>
      </c>
      <c r="J1437" s="1418" t="str">
        <f t="shared" si="257"/>
        <v>F</v>
      </c>
      <c r="K1437" s="1418" t="str">
        <f t="shared" si="258"/>
        <v>Incentives</v>
      </c>
      <c r="L1437" s="1418"/>
      <c r="M1437" s="1418"/>
      <c r="N1437" s="1418"/>
      <c r="R1437" s="1418" t="s">
        <v>395</v>
      </c>
      <c r="T1437" s="1418" t="str">
        <f>IF(Q$930="Yes",M933,"")</f>
        <v/>
      </c>
    </row>
    <row r="1438" spans="1:20" s="1411" customFormat="1" x14ac:dyDescent="0.25">
      <c r="A1438" s="1437" t="s">
        <v>837</v>
      </c>
      <c r="B1438" s="857" t="str">
        <f>IFERROR(_xlfn.CONCAT("K",('Configurable Tab'!$C$12+1)),"")</f>
        <v>K127</v>
      </c>
      <c r="C1438" s="857" t="str">
        <f>IFERROR(_xlfn.CONCAT("K",('Configurable Tab'!$C$12+2)),"")</f>
        <v>K128</v>
      </c>
      <c r="D1438" s="1418" t="s">
        <v>1367</v>
      </c>
      <c r="E1438" s="859" t="s">
        <v>1936</v>
      </c>
      <c r="F1438" s="1418"/>
      <c r="G1438" s="1418"/>
      <c r="H1438" s="1418"/>
      <c r="I1438" s="857" t="str">
        <f t="shared" si="259"/>
        <v>Paid to:</v>
      </c>
      <c r="J1438" s="1418" t="str">
        <f t="shared" si="257"/>
        <v>F</v>
      </c>
      <c r="K1438" s="1418" t="str">
        <f t="shared" si="258"/>
        <v>Incentives</v>
      </c>
      <c r="L1438" s="1418"/>
      <c r="M1438" s="1418"/>
      <c r="N1438" s="1418"/>
      <c r="R1438" s="1418" t="s">
        <v>395</v>
      </c>
      <c r="T1438" s="1418" t="str">
        <f>IF(Q$930="Yes",M934,"")</f>
        <v/>
      </c>
    </row>
    <row r="1439" spans="1:20" s="1411" customFormat="1" x14ac:dyDescent="0.25">
      <c r="A1439" s="1437" t="s">
        <v>1399</v>
      </c>
      <c r="B1439" s="857" t="str">
        <f>IFERROR(_xlfn.CONCAT("M",('Configurable Tab'!$C$12+1)),"")</f>
        <v>M127</v>
      </c>
      <c r="C1439" s="857" t="str">
        <f>IFERROR(_xlfn.CONCAT("M",('Configurable Tab'!$C$12+2)),"")</f>
        <v>M128</v>
      </c>
      <c r="D1439" s="1418" t="s">
        <v>1367</v>
      </c>
      <c r="E1439" s="859" t="s">
        <v>1936</v>
      </c>
      <c r="F1439" s="1418"/>
      <c r="G1439" s="1418"/>
      <c r="H1439" s="1418"/>
      <c r="I1439" s="857" t="str">
        <f t="shared" si="259"/>
        <v>AP/AR Vendor Number</v>
      </c>
      <c r="J1439" s="1418" t="str">
        <f t="shared" si="257"/>
        <v>F</v>
      </c>
      <c r="K1439" s="1418" t="str">
        <f t="shared" si="258"/>
        <v>Incentives</v>
      </c>
      <c r="L1439" s="1418"/>
      <c r="M1439" s="1418"/>
      <c r="N1439" s="1418"/>
      <c r="R1439" s="1418" t="s">
        <v>395</v>
      </c>
      <c r="T1439" s="1418" t="str">
        <f>IF(Q$930="Yes",M935,"")</f>
        <v/>
      </c>
    </row>
    <row r="1440" spans="1:20" s="1411" customFormat="1" x14ac:dyDescent="0.25">
      <c r="A1440" s="1437" t="s">
        <v>1404</v>
      </c>
      <c r="B1440" s="857" t="str">
        <f>IFERROR(_xlfn.CONCAT("G",('Configurable Tab'!$C$12+4)),"")</f>
        <v>G130</v>
      </c>
      <c r="C1440" s="857" t="str">
        <f>IFERROR(_xlfn.CONCAT("G",('Configurable Tab'!$C$12+5)),"")</f>
        <v>G131</v>
      </c>
      <c r="D1440" s="1418" t="s">
        <v>1367</v>
      </c>
      <c r="E1440" s="859" t="s">
        <v>1936</v>
      </c>
      <c r="F1440" s="1418"/>
      <c r="G1440" s="1418"/>
      <c r="H1440" s="1418"/>
      <c r="I1440" s="857" t="str">
        <f t="shared" si="259"/>
        <v>Minimum Units</v>
      </c>
      <c r="J1440" s="1418" t="str">
        <f t="shared" si="257"/>
        <v>F</v>
      </c>
      <c r="K1440" s="1418" t="str">
        <f t="shared" si="258"/>
        <v>Incentives</v>
      </c>
      <c r="L1440" s="1418"/>
      <c r="M1440" s="1418"/>
      <c r="N1440" s="1418"/>
      <c r="R1440" s="1418" t="s">
        <v>395</v>
      </c>
      <c r="T1440" s="1418" t="str">
        <f>IF(Q$930="Yes",M944,"")</f>
        <v/>
      </c>
    </row>
    <row r="1441" spans="1:20" s="1411" customFormat="1" x14ac:dyDescent="0.25">
      <c r="A1441" s="1437" t="s">
        <v>1406</v>
      </c>
      <c r="B1441" s="857" t="str">
        <f>IFERROR(_xlfn.CONCAT("K",('Configurable Tab'!$C$12+4)),"")</f>
        <v>K130</v>
      </c>
      <c r="C1441" s="857" t="str">
        <f>IFERROR(_xlfn.CONCAT("K",('Configurable Tab'!$C$12+5)),"")</f>
        <v>K131</v>
      </c>
      <c r="D1441" s="1418" t="s">
        <v>1367</v>
      </c>
      <c r="E1441" s="859" t="s">
        <v>1936</v>
      </c>
      <c r="F1441" s="1418"/>
      <c r="G1441" s="1418"/>
      <c r="H1441" s="1418"/>
      <c r="I1441" s="857" t="str">
        <f t="shared" si="259"/>
        <v>Rate % of Sales</v>
      </c>
      <c r="J1441" s="1418" t="str">
        <f t="shared" si="257"/>
        <v>F</v>
      </c>
      <c r="K1441" s="1418" t="str">
        <f t="shared" si="258"/>
        <v>Incentives</v>
      </c>
      <c r="L1441" s="1418"/>
      <c r="M1441" s="1418"/>
      <c r="N1441" s="1418"/>
      <c r="R1441" s="1418" t="s">
        <v>395</v>
      </c>
      <c r="T1441" s="1418" t="str">
        <f>IF(Q$930="Yes",M946,"")</f>
        <v/>
      </c>
    </row>
    <row r="1442" spans="1:20" s="1411" customFormat="1" x14ac:dyDescent="0.25">
      <c r="A1442" s="1438" t="s">
        <v>524</v>
      </c>
      <c r="B1442" s="857" t="str">
        <f>IFERROR(_xlfn.CONCAT("D",('Configurable Tab'!$C$13+1)),"")</f>
        <v>D135</v>
      </c>
      <c r="C1442" s="857" t="str">
        <f>IFERROR(_xlfn.CONCAT("E",('Configurable Tab'!$C$13+1)),"")</f>
        <v>E135</v>
      </c>
      <c r="D1442" s="1418" t="s">
        <v>1367</v>
      </c>
      <c r="E1442" s="859" t="s">
        <v>1936</v>
      </c>
      <c r="F1442" s="1418"/>
      <c r="G1442" s="1418"/>
      <c r="H1442" s="1418"/>
      <c r="I1442" s="857" t="str">
        <f t="shared" si="259"/>
        <v>Offer this Incentive?</v>
      </c>
      <c r="J1442" s="1418" t="str">
        <f t="shared" si="257"/>
        <v>F</v>
      </c>
      <c r="K1442" s="1418" t="str">
        <f t="shared" si="258"/>
        <v>Incentives</v>
      </c>
      <c r="L1442" s="1418"/>
      <c r="M1442" s="1418"/>
      <c r="N1442" s="1418"/>
      <c r="O1442" s="1411" t="s">
        <v>1958</v>
      </c>
      <c r="P1442" s="1411">
        <f>'Configurable Tab'!E13</f>
        <v>0</v>
      </c>
      <c r="Q1442" s="857" t="str">
        <f>IFERROR(_xlfn.CONCAT("C",('Configurable Tab'!$C13+1)),"")</f>
        <v>C135</v>
      </c>
      <c r="R1442" s="1418" t="s">
        <v>395</v>
      </c>
      <c r="T1442" s="1418" t="str">
        <f>IF(Q$949="Yes",M949,"")</f>
        <v/>
      </c>
    </row>
    <row r="1443" spans="1:20" s="1411" customFormat="1" x14ac:dyDescent="0.25">
      <c r="A1443" s="1439" t="s">
        <v>1400</v>
      </c>
      <c r="B1443" s="857" t="str">
        <f>IFERROR(_xlfn.CONCAT("D",('Configurable Tab'!$C$13+2)),"")</f>
        <v>D136</v>
      </c>
      <c r="C1443" s="857" t="str">
        <f>IFERROR(_xlfn.CONCAT("E",('Configurable Tab'!$C$13+2)),"")</f>
        <v>E136</v>
      </c>
      <c r="D1443" s="1418" t="s">
        <v>1367</v>
      </c>
      <c r="E1443" s="859" t="s">
        <v>1936</v>
      </c>
      <c r="F1443" s="1418"/>
      <c r="G1443" s="1418"/>
      <c r="H1443" s="1418"/>
      <c r="I1443" s="857" t="str">
        <f t="shared" si="259"/>
        <v>Incentive Type</v>
      </c>
      <c r="J1443" s="1418" t="str">
        <f t="shared" si="257"/>
        <v>F</v>
      </c>
      <c r="K1443" s="1418" t="str">
        <f t="shared" si="258"/>
        <v>Incentives</v>
      </c>
      <c r="L1443" s="1418"/>
      <c r="M1443" s="1418"/>
      <c r="N1443" s="1418"/>
      <c r="R1443" s="1418" t="s">
        <v>395</v>
      </c>
      <c r="T1443" s="1418" t="str">
        <f>IF(Q$949="Yes",M950,"")</f>
        <v/>
      </c>
    </row>
    <row r="1444" spans="1:20" s="1411" customFormat="1" x14ac:dyDescent="0.25">
      <c r="A1444" s="1439" t="s">
        <v>1402</v>
      </c>
      <c r="B1444" s="857" t="str">
        <f>IFERROR(_xlfn.CONCAT("D",('Configurable Tab'!$C$13+4)),"")</f>
        <v>D138</v>
      </c>
      <c r="C1444" s="857" t="str">
        <f>IFERROR(_xlfn.CONCAT("E",('Configurable Tab'!$C$13+4)),"")</f>
        <v>E138</v>
      </c>
      <c r="D1444" s="1418" t="s">
        <v>1367</v>
      </c>
      <c r="E1444" s="859" t="s">
        <v>1936</v>
      </c>
      <c r="F1444" s="1418"/>
      <c r="G1444" s="1418"/>
      <c r="H1444" s="1418"/>
      <c r="I1444" s="857" t="str">
        <f t="shared" si="259"/>
        <v>Incentive Effective Date</v>
      </c>
      <c r="J1444" s="1418" t="str">
        <f t="shared" si="257"/>
        <v>F</v>
      </c>
      <c r="K1444" s="1418" t="str">
        <f t="shared" si="258"/>
        <v>Incentives</v>
      </c>
      <c r="L1444" s="1418"/>
      <c r="M1444" s="1418"/>
      <c r="N1444" s="1418"/>
      <c r="R1444" s="1418" t="s">
        <v>395</v>
      </c>
      <c r="T1444" s="1418" t="str">
        <f>IF(Q$949="Yes",M958,"")</f>
        <v/>
      </c>
    </row>
    <row r="1445" spans="1:20" s="1411" customFormat="1" x14ac:dyDescent="0.25">
      <c r="A1445" s="1439" t="s">
        <v>1403</v>
      </c>
      <c r="B1445" s="857" t="str">
        <f>IFERROR(_xlfn.CONCAT("D",('Configurable Tab'!$C$13+5)),"")</f>
        <v>D139</v>
      </c>
      <c r="C1445" s="857" t="str">
        <f>IFERROR(_xlfn.CONCAT("E",('Configurable Tab'!$C$13+5)),"")</f>
        <v>E139</v>
      </c>
      <c r="D1445" s="1418" t="s">
        <v>1367</v>
      </c>
      <c r="E1445" s="859" t="s">
        <v>1936</v>
      </c>
      <c r="F1445" s="1418"/>
      <c r="G1445" s="1418"/>
      <c r="H1445" s="1418"/>
      <c r="I1445" s="857" t="str">
        <f t="shared" si="259"/>
        <v>Incentive Expiration Date</v>
      </c>
      <c r="J1445" s="1418" t="str">
        <f t="shared" si="257"/>
        <v>F</v>
      </c>
      <c r="K1445" s="1418" t="str">
        <f t="shared" si="258"/>
        <v>Incentives</v>
      </c>
      <c r="L1445" s="1418"/>
      <c r="M1445" s="1418"/>
      <c r="N1445" s="1418"/>
      <c r="R1445" s="1418" t="s">
        <v>395</v>
      </c>
      <c r="T1445" s="1418" t="str">
        <f>IF(Q$949="Yes",M959,"")</f>
        <v/>
      </c>
    </row>
    <row r="1446" spans="1:20" s="1411" customFormat="1" x14ac:dyDescent="0.25">
      <c r="A1446" s="1439" t="s">
        <v>1397</v>
      </c>
      <c r="B1446" s="857" t="str">
        <f>IFERROR(_xlfn.CONCAT("G",('Configurable Tab'!$C$13+1)),"")</f>
        <v>G135</v>
      </c>
      <c r="C1446" s="857" t="str">
        <f>IFERROR(_xlfn.CONCAT("G",('Configurable Tab'!$C$13+2)),"")</f>
        <v>G136</v>
      </c>
      <c r="D1446" s="1418" t="s">
        <v>1367</v>
      </c>
      <c r="E1446" s="859" t="s">
        <v>1936</v>
      </c>
      <c r="F1446" s="1418"/>
      <c r="G1446" s="1418"/>
      <c r="H1446" s="1418"/>
      <c r="I1446" s="857" t="str">
        <f t="shared" si="259"/>
        <v>Incentive Period</v>
      </c>
      <c r="J1446" s="1418" t="str">
        <f t="shared" si="257"/>
        <v>F</v>
      </c>
      <c r="K1446" s="1418" t="str">
        <f t="shared" si="258"/>
        <v>Incentives</v>
      </c>
      <c r="L1446" s="1418"/>
      <c r="M1446" s="1418"/>
      <c r="N1446" s="1418"/>
      <c r="R1446" s="1418" t="s">
        <v>395</v>
      </c>
      <c r="T1446" s="1418" t="str">
        <f>IF(Q$949="Yes",M951,"")</f>
        <v/>
      </c>
    </row>
    <row r="1447" spans="1:20" s="1411" customFormat="1" x14ac:dyDescent="0.25">
      <c r="A1447" s="1439" t="s">
        <v>1398</v>
      </c>
      <c r="B1447" s="857" t="str">
        <f>IFERROR(_xlfn.CONCAT("I",('Configurable Tab'!$C$13+1)),"")</f>
        <v>I135</v>
      </c>
      <c r="C1447" s="857" t="str">
        <f>IFERROR(_xlfn.CONCAT("I",('Configurable Tab'!$C$13+2)),"")</f>
        <v>I136</v>
      </c>
      <c r="D1447" s="1418" t="s">
        <v>1367</v>
      </c>
      <c r="E1447" s="859" t="s">
        <v>1936</v>
      </c>
      <c r="F1447" s="1418"/>
      <c r="G1447" s="1418"/>
      <c r="H1447" s="1418"/>
      <c r="I1447" s="857" t="str">
        <f t="shared" si="259"/>
        <v>Payment Method</v>
      </c>
      <c r="J1447" s="1418" t="str">
        <f t="shared" si="257"/>
        <v>F</v>
      </c>
      <c r="K1447" s="1418" t="str">
        <f t="shared" si="258"/>
        <v>Incentives</v>
      </c>
      <c r="L1447" s="1418"/>
      <c r="M1447" s="1418"/>
      <c r="N1447" s="1418"/>
      <c r="R1447" s="1418" t="s">
        <v>395</v>
      </c>
      <c r="T1447" s="1418" t="str">
        <f>IF(Q$949="Yes",M952,"")</f>
        <v/>
      </c>
    </row>
    <row r="1448" spans="1:20" s="1411" customFormat="1" x14ac:dyDescent="0.25">
      <c r="A1448" s="1439" t="s">
        <v>837</v>
      </c>
      <c r="B1448" s="857" t="str">
        <f>IFERROR(_xlfn.CONCAT("K",('Configurable Tab'!$C$13+1)),"")</f>
        <v>K135</v>
      </c>
      <c r="C1448" s="857" t="str">
        <f>IFERROR(_xlfn.CONCAT("K",('Configurable Tab'!$C$13+2)),"")</f>
        <v>K136</v>
      </c>
      <c r="D1448" s="1418" t="s">
        <v>1367</v>
      </c>
      <c r="E1448" s="859" t="s">
        <v>1936</v>
      </c>
      <c r="F1448" s="1418"/>
      <c r="G1448" s="1418"/>
      <c r="H1448" s="1418"/>
      <c r="I1448" s="857" t="str">
        <f t="shared" si="259"/>
        <v>Paid to:</v>
      </c>
      <c r="J1448" s="1418" t="str">
        <f t="shared" si="257"/>
        <v>F</v>
      </c>
      <c r="K1448" s="1418" t="str">
        <f t="shared" si="258"/>
        <v>Incentives</v>
      </c>
      <c r="L1448" s="1418"/>
      <c r="M1448" s="1418"/>
      <c r="N1448" s="1418"/>
      <c r="R1448" s="1418" t="s">
        <v>395</v>
      </c>
      <c r="T1448" s="1418" t="str">
        <f>IF(Q$949="Yes",M953,"")</f>
        <v/>
      </c>
    </row>
    <row r="1449" spans="1:20" s="1411" customFormat="1" x14ac:dyDescent="0.25">
      <c r="A1449" s="1439" t="s">
        <v>1399</v>
      </c>
      <c r="B1449" s="857" t="str">
        <f>IFERROR(_xlfn.CONCAT("M",('Configurable Tab'!$C$13+1)),"")</f>
        <v>M135</v>
      </c>
      <c r="C1449" s="857" t="str">
        <f>IFERROR(_xlfn.CONCAT("M",('Configurable Tab'!$C$13+2)),"")</f>
        <v>M136</v>
      </c>
      <c r="D1449" s="1418" t="s">
        <v>1367</v>
      </c>
      <c r="E1449" s="859" t="s">
        <v>1936</v>
      </c>
      <c r="F1449" s="1418"/>
      <c r="G1449" s="1418"/>
      <c r="H1449" s="1418"/>
      <c r="I1449" s="857" t="str">
        <f t="shared" si="259"/>
        <v>AP/AR Vendor Number</v>
      </c>
      <c r="J1449" s="1418" t="str">
        <f t="shared" si="257"/>
        <v>F</v>
      </c>
      <c r="K1449" s="1418" t="str">
        <f t="shared" si="258"/>
        <v>Incentives</v>
      </c>
      <c r="L1449" s="1418"/>
      <c r="M1449" s="1418"/>
      <c r="N1449" s="1418"/>
      <c r="R1449" s="1418" t="s">
        <v>395</v>
      </c>
      <c r="T1449" s="1418" t="str">
        <f>IF(Q$949="Yes",M954,"")</f>
        <v/>
      </c>
    </row>
    <row r="1450" spans="1:20" s="1411" customFormat="1" x14ac:dyDescent="0.25">
      <c r="A1450" s="1439" t="s">
        <v>1404</v>
      </c>
      <c r="B1450" s="857" t="str">
        <f>IFERROR(_xlfn.CONCAT("G",('Configurable Tab'!$C$13+4)),"")</f>
        <v>G138</v>
      </c>
      <c r="C1450" s="857" t="str">
        <f>IFERROR(_xlfn.CONCAT("G",('Configurable Tab'!$C$13+5)),"")</f>
        <v>G139</v>
      </c>
      <c r="D1450" s="1418" t="s">
        <v>1367</v>
      </c>
      <c r="E1450" s="859" t="s">
        <v>1936</v>
      </c>
      <c r="F1450" s="1418"/>
      <c r="G1450" s="1418"/>
      <c r="H1450" s="1418"/>
      <c r="I1450" s="857" t="str">
        <f t="shared" si="259"/>
        <v>Minimum Units</v>
      </c>
      <c r="J1450" s="1418" t="str">
        <f t="shared" si="257"/>
        <v>F</v>
      </c>
      <c r="K1450" s="1418" t="str">
        <f t="shared" si="258"/>
        <v>Incentives</v>
      </c>
      <c r="L1450" s="1418"/>
      <c r="M1450" s="1418"/>
      <c r="N1450" s="1418"/>
      <c r="R1450" s="1418" t="s">
        <v>395</v>
      </c>
      <c r="T1450" s="1418" t="str">
        <f>IF(Q$949="Yes",M963,"")</f>
        <v/>
      </c>
    </row>
    <row r="1451" spans="1:20" s="1411" customFormat="1" x14ac:dyDescent="0.25">
      <c r="A1451" s="1439" t="s">
        <v>1406</v>
      </c>
      <c r="B1451" s="857" t="str">
        <f>IFERROR(_xlfn.CONCAT("K",('Configurable Tab'!$C$13+4)),"")</f>
        <v>K138</v>
      </c>
      <c r="C1451" s="857" t="str">
        <f>IFERROR(_xlfn.CONCAT("K",('Configurable Tab'!$C$13+5)),"")</f>
        <v>K139</v>
      </c>
      <c r="D1451" s="1418" t="s">
        <v>1367</v>
      </c>
      <c r="E1451" s="859" t="s">
        <v>1936</v>
      </c>
      <c r="F1451" s="1418"/>
      <c r="G1451" s="1418"/>
      <c r="H1451" s="1418"/>
      <c r="I1451" s="857" t="str">
        <f t="shared" si="259"/>
        <v>Rate % of Sales</v>
      </c>
      <c r="J1451" s="1418" t="str">
        <f t="shared" si="257"/>
        <v>F</v>
      </c>
      <c r="K1451" s="1418" t="str">
        <f t="shared" si="258"/>
        <v>Incentives</v>
      </c>
      <c r="L1451" s="1418"/>
      <c r="M1451" s="1418"/>
      <c r="N1451" s="1418"/>
      <c r="R1451" s="1418" t="s">
        <v>395</v>
      </c>
      <c r="T1451" s="1418" t="str">
        <f>IF(Q$949="Yes",M965,"")</f>
        <v/>
      </c>
    </row>
    <row r="1452" spans="1:20" s="1411" customFormat="1" x14ac:dyDescent="0.25">
      <c r="A1452" s="1104" t="s">
        <v>524</v>
      </c>
      <c r="B1452" s="857" t="str">
        <f>IFERROR(_xlfn.CONCAT("D",('Configurable Tab'!$C$14+1)),"")</f>
        <v>D143</v>
      </c>
      <c r="C1452" s="857" t="str">
        <f>IFERROR(_xlfn.CONCAT("E",('Configurable Tab'!$C$14+1)),"")</f>
        <v>E143</v>
      </c>
      <c r="D1452" s="1418" t="s">
        <v>1367</v>
      </c>
      <c r="E1452" s="859" t="s">
        <v>1936</v>
      </c>
      <c r="F1452" s="1418"/>
      <c r="G1452" s="1418"/>
      <c r="H1452" s="1418"/>
      <c r="I1452" s="857" t="str">
        <f t="shared" si="259"/>
        <v>Offer this Incentive?</v>
      </c>
      <c r="J1452" s="1418" t="str">
        <f t="shared" si="257"/>
        <v>F</v>
      </c>
      <c r="K1452" s="1418" t="str">
        <f t="shared" si="258"/>
        <v>Incentives</v>
      </c>
      <c r="L1452" s="1418"/>
      <c r="M1452" s="1418"/>
      <c r="N1452" s="1418"/>
      <c r="O1452" s="1411" t="s">
        <v>1959</v>
      </c>
      <c r="P1452" s="1411">
        <f>'Configurable Tab'!E14</f>
        <v>0</v>
      </c>
      <c r="Q1452" s="857" t="str">
        <f>IFERROR(_xlfn.CONCAT("C",('Configurable Tab'!$C14+1)),"")</f>
        <v>C143</v>
      </c>
      <c r="R1452" s="1418" t="s">
        <v>395</v>
      </c>
      <c r="T1452" s="1418" t="str">
        <f>IF(Q$968="Yes",M968,"")</f>
        <v/>
      </c>
    </row>
    <row r="1453" spans="1:20" s="1411" customFormat="1" x14ac:dyDescent="0.25">
      <c r="A1453" s="1437" t="s">
        <v>1400</v>
      </c>
      <c r="B1453" s="857" t="str">
        <f>IFERROR(_xlfn.CONCAT("D",('Configurable Tab'!$C$14+2)),"")</f>
        <v>D144</v>
      </c>
      <c r="C1453" s="857" t="str">
        <f>IFERROR(_xlfn.CONCAT("E",('Configurable Tab'!$C$14+2)),"")</f>
        <v>E144</v>
      </c>
      <c r="D1453" s="1418" t="s">
        <v>1367</v>
      </c>
      <c r="E1453" s="859" t="s">
        <v>1936</v>
      </c>
      <c r="F1453" s="1418"/>
      <c r="G1453" s="1418"/>
      <c r="H1453" s="1418"/>
      <c r="I1453" s="857" t="str">
        <f t="shared" si="259"/>
        <v>Incentive Type</v>
      </c>
      <c r="J1453" s="1418" t="str">
        <f t="shared" si="257"/>
        <v>F</v>
      </c>
      <c r="K1453" s="1418" t="str">
        <f t="shared" si="258"/>
        <v>Incentives</v>
      </c>
      <c r="L1453" s="1418"/>
      <c r="M1453" s="1418"/>
      <c r="N1453" s="1418"/>
      <c r="R1453" s="1418" t="s">
        <v>395</v>
      </c>
      <c r="T1453" s="1418" t="str">
        <f>IF(Q$968="Yes",M969,"")</f>
        <v/>
      </c>
    </row>
    <row r="1454" spans="1:20" s="1411" customFormat="1" x14ac:dyDescent="0.25">
      <c r="A1454" s="1437" t="s">
        <v>1402</v>
      </c>
      <c r="B1454" s="857" t="str">
        <f>IFERROR(_xlfn.CONCAT("D",('Configurable Tab'!$C$14+4)),"")</f>
        <v>D146</v>
      </c>
      <c r="C1454" s="857" t="str">
        <f>IFERROR(_xlfn.CONCAT("E",('Configurable Tab'!$C$14+4)),"")</f>
        <v>E146</v>
      </c>
      <c r="D1454" s="1418" t="s">
        <v>1367</v>
      </c>
      <c r="E1454" s="859" t="s">
        <v>1936</v>
      </c>
      <c r="F1454" s="1418"/>
      <c r="G1454" s="1418"/>
      <c r="H1454" s="1418"/>
      <c r="I1454" s="857" t="str">
        <f t="shared" si="259"/>
        <v>Incentive Effective Date</v>
      </c>
      <c r="J1454" s="1418" t="str">
        <f t="shared" si="257"/>
        <v>F</v>
      </c>
      <c r="K1454" s="1418" t="str">
        <f t="shared" si="258"/>
        <v>Incentives</v>
      </c>
      <c r="L1454" s="1418"/>
      <c r="M1454" s="1418"/>
      <c r="N1454" s="1418"/>
      <c r="R1454" s="1418" t="s">
        <v>395</v>
      </c>
      <c r="T1454" s="1418" t="str">
        <f>IF(Q$968="Yes",M977,"")</f>
        <v/>
      </c>
    </row>
    <row r="1455" spans="1:20" s="1411" customFormat="1" x14ac:dyDescent="0.25">
      <c r="A1455" s="1437" t="s">
        <v>1403</v>
      </c>
      <c r="B1455" s="857" t="str">
        <f>IFERROR(_xlfn.CONCAT("D",('Configurable Tab'!$C$14+5)),"")</f>
        <v>D147</v>
      </c>
      <c r="C1455" s="857" t="str">
        <f>IFERROR(_xlfn.CONCAT("E",('Configurable Tab'!$C$14+5)),"")</f>
        <v>E147</v>
      </c>
      <c r="D1455" s="1418" t="s">
        <v>1367</v>
      </c>
      <c r="E1455" s="859" t="s">
        <v>1936</v>
      </c>
      <c r="F1455" s="1418"/>
      <c r="G1455" s="1418"/>
      <c r="H1455" s="1418"/>
      <c r="I1455" s="857" t="str">
        <f t="shared" si="259"/>
        <v>Incentive Expiration Date</v>
      </c>
      <c r="J1455" s="1418" t="str">
        <f t="shared" si="257"/>
        <v>F</v>
      </c>
      <c r="K1455" s="1418" t="str">
        <f t="shared" si="258"/>
        <v>Incentives</v>
      </c>
      <c r="L1455" s="1418"/>
      <c r="M1455" s="1418"/>
      <c r="N1455" s="1418"/>
      <c r="R1455" s="1418" t="s">
        <v>395</v>
      </c>
      <c r="T1455" s="1418" t="str">
        <f>IF(Q$968="Yes",M978,"")</f>
        <v/>
      </c>
    </row>
    <row r="1456" spans="1:20" s="1411" customFormat="1" x14ac:dyDescent="0.25">
      <c r="A1456" s="1437" t="s">
        <v>1397</v>
      </c>
      <c r="B1456" s="857" t="str">
        <f>IFERROR(_xlfn.CONCAT("G",('Configurable Tab'!$C$14+1)),"")</f>
        <v>G143</v>
      </c>
      <c r="C1456" s="857" t="str">
        <f>IFERROR(_xlfn.CONCAT("G",('Configurable Tab'!$C$14+2)),"")</f>
        <v>G144</v>
      </c>
      <c r="D1456" s="1418" t="s">
        <v>1367</v>
      </c>
      <c r="E1456" s="859" t="s">
        <v>1936</v>
      </c>
      <c r="F1456" s="1418"/>
      <c r="G1456" s="1418"/>
      <c r="H1456" s="1418"/>
      <c r="I1456" s="857" t="str">
        <f t="shared" si="259"/>
        <v>Incentive Period</v>
      </c>
      <c r="J1456" s="1418" t="str">
        <f t="shared" si="257"/>
        <v>F</v>
      </c>
      <c r="K1456" s="1418" t="str">
        <f t="shared" si="258"/>
        <v>Incentives</v>
      </c>
      <c r="L1456" s="1418"/>
      <c r="M1456" s="1418"/>
      <c r="N1456" s="1418"/>
      <c r="R1456" s="1418" t="s">
        <v>395</v>
      </c>
      <c r="T1456" s="1418" t="str">
        <f>IF(Q$968="Yes",M970,"")</f>
        <v/>
      </c>
    </row>
    <row r="1457" spans="1:22" s="1411" customFormat="1" x14ac:dyDescent="0.25">
      <c r="A1457" s="1437" t="s">
        <v>1398</v>
      </c>
      <c r="B1457" s="857" t="str">
        <f>IFERROR(_xlfn.CONCAT("I",('Configurable Tab'!$C$14+1)),"")</f>
        <v>I143</v>
      </c>
      <c r="C1457" s="857" t="str">
        <f>IFERROR(_xlfn.CONCAT("I",('Configurable Tab'!$C$14+2)),"")</f>
        <v>I144</v>
      </c>
      <c r="D1457" s="1418" t="s">
        <v>1367</v>
      </c>
      <c r="E1457" s="859" t="s">
        <v>1936</v>
      </c>
      <c r="F1457" s="1418"/>
      <c r="G1457" s="1418"/>
      <c r="H1457" s="1418"/>
      <c r="I1457" s="857" t="str">
        <f t="shared" si="259"/>
        <v>Payment Method</v>
      </c>
      <c r="J1457" s="1418" t="str">
        <f t="shared" si="257"/>
        <v>F</v>
      </c>
      <c r="K1457" s="1418" t="str">
        <f t="shared" si="258"/>
        <v>Incentives</v>
      </c>
      <c r="L1457" s="1418"/>
      <c r="M1457" s="1418"/>
      <c r="N1457" s="1418"/>
      <c r="R1457" s="1418" t="s">
        <v>395</v>
      </c>
      <c r="T1457" s="1418" t="str">
        <f>IF(Q$968="Yes",M971,"")</f>
        <v/>
      </c>
    </row>
    <row r="1458" spans="1:22" s="1411" customFormat="1" x14ac:dyDescent="0.25">
      <c r="A1458" s="1437" t="s">
        <v>837</v>
      </c>
      <c r="B1458" s="857" t="str">
        <f>IFERROR(_xlfn.CONCAT("K",('Configurable Tab'!$C$14+1)),"")</f>
        <v>K143</v>
      </c>
      <c r="C1458" s="857" t="str">
        <f>IFERROR(_xlfn.CONCAT("K",('Configurable Tab'!$C$14+2)),"")</f>
        <v>K144</v>
      </c>
      <c r="D1458" s="1418" t="s">
        <v>1367</v>
      </c>
      <c r="E1458" s="859" t="s">
        <v>1936</v>
      </c>
      <c r="F1458" s="1418"/>
      <c r="G1458" s="1418"/>
      <c r="H1458" s="1418"/>
      <c r="I1458" s="857" t="str">
        <f t="shared" si="259"/>
        <v>Paid to:</v>
      </c>
      <c r="J1458" s="1418" t="str">
        <f t="shared" si="257"/>
        <v>F</v>
      </c>
      <c r="K1458" s="1418" t="str">
        <f t="shared" si="258"/>
        <v>Incentives</v>
      </c>
      <c r="L1458" s="1418"/>
      <c r="M1458" s="1418"/>
      <c r="N1458" s="1418"/>
      <c r="R1458" s="1418" t="s">
        <v>395</v>
      </c>
      <c r="T1458" s="1418" t="str">
        <f>IF(Q$968="Yes",M972,"")</f>
        <v/>
      </c>
    </row>
    <row r="1459" spans="1:22" s="1411" customFormat="1" x14ac:dyDescent="0.25">
      <c r="A1459" s="1437" t="s">
        <v>1399</v>
      </c>
      <c r="B1459" s="857" t="str">
        <f>IFERROR(_xlfn.CONCAT("M",('Configurable Tab'!$C$14+1)),"")</f>
        <v>M143</v>
      </c>
      <c r="C1459" s="857" t="str">
        <f>IFERROR(_xlfn.CONCAT("M",('Configurable Tab'!$C$14+2)),"")</f>
        <v>M144</v>
      </c>
      <c r="D1459" s="1418" t="s">
        <v>1367</v>
      </c>
      <c r="E1459" s="859" t="s">
        <v>1936</v>
      </c>
      <c r="F1459" s="1418"/>
      <c r="G1459" s="1418"/>
      <c r="H1459" s="1418"/>
      <c r="I1459" s="857" t="str">
        <f t="shared" si="259"/>
        <v>AP/AR Vendor Number</v>
      </c>
      <c r="J1459" s="1418" t="str">
        <f t="shared" si="257"/>
        <v>F</v>
      </c>
      <c r="K1459" s="1418" t="str">
        <f t="shared" si="258"/>
        <v>Incentives</v>
      </c>
      <c r="L1459" s="1418"/>
      <c r="M1459" s="1418"/>
      <c r="N1459" s="1418"/>
      <c r="R1459" s="1418" t="s">
        <v>395</v>
      </c>
      <c r="T1459" s="1418" t="str">
        <f>IF(Q$968="Yes",M973,"")</f>
        <v/>
      </c>
    </row>
    <row r="1460" spans="1:22" s="1411" customFormat="1" x14ac:dyDescent="0.25">
      <c r="A1460" s="1437" t="s">
        <v>1404</v>
      </c>
      <c r="B1460" s="857" t="str">
        <f>IFERROR(_xlfn.CONCAT("G",('Configurable Tab'!$C$14+4)),"")</f>
        <v>G146</v>
      </c>
      <c r="C1460" s="857" t="str">
        <f>IFERROR(_xlfn.CONCAT("G",('Configurable Tab'!$C$14+5)),"")</f>
        <v>G147</v>
      </c>
      <c r="D1460" s="1418" t="s">
        <v>1367</v>
      </c>
      <c r="E1460" s="859" t="s">
        <v>1936</v>
      </c>
      <c r="F1460" s="1418"/>
      <c r="G1460" s="1418"/>
      <c r="H1460" s="1418"/>
      <c r="I1460" s="857" t="str">
        <f t="shared" si="259"/>
        <v>Minimum Units</v>
      </c>
      <c r="J1460" s="1418" t="str">
        <f t="shared" si="257"/>
        <v>F</v>
      </c>
      <c r="K1460" s="1418" t="str">
        <f t="shared" si="258"/>
        <v>Incentives</v>
      </c>
      <c r="L1460" s="1418"/>
      <c r="M1460" s="1418"/>
      <c r="N1460" s="1418"/>
      <c r="R1460" s="1418" t="s">
        <v>395</v>
      </c>
      <c r="T1460" s="1418" t="str">
        <f>IF(Q$968="Yes",M982,"")</f>
        <v/>
      </c>
    </row>
    <row r="1461" spans="1:22" s="1411" customFormat="1" x14ac:dyDescent="0.25">
      <c r="A1461" s="1437" t="s">
        <v>1406</v>
      </c>
      <c r="B1461" s="857" t="str">
        <f>IFERROR(_xlfn.CONCAT("K",('Configurable Tab'!$C$14+4)),"")</f>
        <v>K146</v>
      </c>
      <c r="C1461" s="857" t="str">
        <f>IFERROR(_xlfn.CONCAT("K",('Configurable Tab'!$C$14+5)),"")</f>
        <v>K147</v>
      </c>
      <c r="D1461" s="1418" t="s">
        <v>1367</v>
      </c>
      <c r="E1461" s="859" t="s">
        <v>1936</v>
      </c>
      <c r="F1461" s="1418"/>
      <c r="G1461" s="1418"/>
      <c r="H1461" s="1418"/>
      <c r="I1461" s="857" t="str">
        <f t="shared" si="259"/>
        <v>Rate % of Sales</v>
      </c>
      <c r="J1461" s="1418" t="str">
        <f t="shared" si="257"/>
        <v>F</v>
      </c>
      <c r="K1461" s="1418" t="str">
        <f t="shared" si="258"/>
        <v>Incentives</v>
      </c>
      <c r="L1461" s="1418"/>
      <c r="M1461" s="1418"/>
      <c r="N1461" s="1418"/>
      <c r="R1461" s="1418" t="s">
        <v>395</v>
      </c>
      <c r="T1461" s="1418" t="str">
        <f>IF(Q$968="Yes",M984,"")</f>
        <v/>
      </c>
    </row>
    <row r="1462" spans="1:22" s="1411" customFormat="1" x14ac:dyDescent="0.25">
      <c r="A1462" s="1429" t="s">
        <v>524</v>
      </c>
      <c r="B1462" s="857" t="str">
        <f>IFERROR(_xlfn.CONCAT("D",('Configurable Tab'!$C$15+1)),"")</f>
        <v>D151</v>
      </c>
      <c r="C1462" s="857" t="str">
        <f>IFERROR(_xlfn.CONCAT("E",('Configurable Tab'!$C$15+1)),"")</f>
        <v>E151</v>
      </c>
      <c r="D1462" s="1418" t="s">
        <v>1367</v>
      </c>
      <c r="E1462" s="859" t="s">
        <v>1936</v>
      </c>
      <c r="F1462" s="1418"/>
      <c r="G1462" s="1418"/>
      <c r="H1462" s="1418"/>
      <c r="I1462" s="857" t="str">
        <f t="shared" si="259"/>
        <v>Offer this Incentive?</v>
      </c>
      <c r="J1462" s="1418" t="str">
        <f>$Q$1&amp;T1462</f>
        <v>F</v>
      </c>
      <c r="K1462" s="1418" t="str">
        <f t="shared" si="258"/>
        <v>Incentives</v>
      </c>
      <c r="L1462" s="1418"/>
      <c r="M1462" s="1418"/>
      <c r="N1462" s="1418"/>
      <c r="O1462" s="1411" t="s">
        <v>1715</v>
      </c>
      <c r="P1462" s="1411">
        <f>'Configurable Tab'!E15</f>
        <v>0</v>
      </c>
      <c r="Q1462" s="857" t="str">
        <f>IFERROR(_xlfn.CONCAT("C",('Configurable Tab'!$C15+1)),"")</f>
        <v>C151</v>
      </c>
      <c r="R1462" s="1418" t="s">
        <v>1715</v>
      </c>
      <c r="T1462" s="1418" t="str">
        <f>IF(Q$987="Yes",M987,"")</f>
        <v/>
      </c>
    </row>
    <row r="1463" spans="1:22" s="1411" customFormat="1" x14ac:dyDescent="0.25">
      <c r="A1463" s="1430" t="s">
        <v>1400</v>
      </c>
      <c r="B1463" s="857" t="str">
        <f>IFERROR(_xlfn.CONCAT("D",('Configurable Tab'!$C$15+2)),"")</f>
        <v>D152</v>
      </c>
      <c r="C1463" s="857" t="str">
        <f>IFERROR(_xlfn.CONCAT("E",('Configurable Tab'!$C$15+2)),"")</f>
        <v>E152</v>
      </c>
      <c r="D1463" s="1418" t="s">
        <v>1367</v>
      </c>
      <c r="E1463" s="859" t="s">
        <v>1936</v>
      </c>
      <c r="F1463" s="1418"/>
      <c r="G1463" s="1418"/>
      <c r="H1463" s="1418"/>
      <c r="I1463" s="857" t="str">
        <f t="shared" si="259"/>
        <v>Incentive Type</v>
      </c>
      <c r="J1463" s="1418" t="str">
        <f t="shared" ref="J1463:J1471" si="260">$Q$1&amp;T1463</f>
        <v>F</v>
      </c>
      <c r="K1463" s="1418" t="str">
        <f t="shared" si="258"/>
        <v>Incentives</v>
      </c>
      <c r="L1463" s="1418"/>
      <c r="M1463" s="1418"/>
      <c r="N1463" s="1418"/>
      <c r="R1463" s="1418" t="s">
        <v>1715</v>
      </c>
      <c r="T1463" s="1418" t="str">
        <f>IF(Q$987="Yes",M988,"")</f>
        <v/>
      </c>
    </row>
    <row r="1464" spans="1:22" s="1411" customFormat="1" x14ac:dyDescent="0.25">
      <c r="A1464" s="1430" t="s">
        <v>1402</v>
      </c>
      <c r="B1464" s="857" t="str">
        <f>IFERROR(_xlfn.CONCAT("D",('Configurable Tab'!$C$15+4)),"")</f>
        <v>D154</v>
      </c>
      <c r="C1464" s="857" t="str">
        <f>IFERROR(_xlfn.CONCAT("E",('Configurable Tab'!$C$15+4)),"")</f>
        <v>E154</v>
      </c>
      <c r="D1464" s="1418" t="s">
        <v>1367</v>
      </c>
      <c r="E1464" s="859" t="s">
        <v>1936</v>
      </c>
      <c r="F1464" s="1418"/>
      <c r="G1464" s="1418"/>
      <c r="H1464" s="1418"/>
      <c r="I1464" s="857" t="str">
        <f t="shared" si="259"/>
        <v>Incentive Effective Date</v>
      </c>
      <c r="J1464" s="1418" t="str">
        <f t="shared" si="260"/>
        <v>F</v>
      </c>
      <c r="K1464" s="1418" t="str">
        <f t="shared" si="258"/>
        <v>Incentives</v>
      </c>
      <c r="L1464" s="1418"/>
      <c r="M1464" s="1418"/>
      <c r="N1464" s="1418"/>
      <c r="R1464" s="1418" t="s">
        <v>1715</v>
      </c>
      <c r="T1464" s="1418" t="str">
        <f>IF(Q$987="Yes",M996,"")</f>
        <v/>
      </c>
    </row>
    <row r="1465" spans="1:22" s="1411" customFormat="1" x14ac:dyDescent="0.25">
      <c r="A1465" s="1430" t="s">
        <v>1403</v>
      </c>
      <c r="B1465" s="857" t="str">
        <f>IFERROR(_xlfn.CONCAT("D",('Configurable Tab'!$C$15+5)),"")</f>
        <v>D155</v>
      </c>
      <c r="C1465" s="857" t="str">
        <f>IFERROR(_xlfn.CONCAT("E",('Configurable Tab'!$C$15+5)),"")</f>
        <v>E155</v>
      </c>
      <c r="D1465" s="1418" t="s">
        <v>1367</v>
      </c>
      <c r="E1465" s="859" t="s">
        <v>1936</v>
      </c>
      <c r="F1465" s="1418"/>
      <c r="G1465" s="1418"/>
      <c r="H1465" s="1418"/>
      <c r="I1465" s="857" t="str">
        <f t="shared" si="259"/>
        <v>Incentive Expiration Date</v>
      </c>
      <c r="J1465" s="1418" t="str">
        <f t="shared" si="260"/>
        <v>F</v>
      </c>
      <c r="K1465" s="1418" t="str">
        <f t="shared" si="258"/>
        <v>Incentives</v>
      </c>
      <c r="L1465" s="1418"/>
      <c r="M1465" s="1418"/>
      <c r="N1465" s="1418"/>
      <c r="R1465" s="1418" t="s">
        <v>1715</v>
      </c>
      <c r="T1465" s="1418" t="str">
        <f>IF(Q$987="Yes",M997,"")</f>
        <v/>
      </c>
    </row>
    <row r="1466" spans="1:22" s="1411" customFormat="1" x14ac:dyDescent="0.25">
      <c r="A1466" s="1430" t="s">
        <v>1397</v>
      </c>
      <c r="B1466" s="857" t="str">
        <f>IFERROR(_xlfn.CONCAT("G",('Configurable Tab'!$C$15+1)),"")</f>
        <v>G151</v>
      </c>
      <c r="C1466" s="857" t="str">
        <f>IFERROR(_xlfn.CONCAT("G",('Configurable Tab'!$C$15+2)),"")</f>
        <v>G152</v>
      </c>
      <c r="D1466" s="1418" t="s">
        <v>1367</v>
      </c>
      <c r="E1466" s="859" t="s">
        <v>1936</v>
      </c>
      <c r="F1466" s="1418"/>
      <c r="G1466" s="1418"/>
      <c r="H1466" s="1418"/>
      <c r="I1466" s="857" t="str">
        <f t="shared" si="259"/>
        <v>Incentive Period</v>
      </c>
      <c r="J1466" s="1418" t="str">
        <f t="shared" si="260"/>
        <v>F</v>
      </c>
      <c r="K1466" s="1418" t="str">
        <f t="shared" si="258"/>
        <v>Incentives</v>
      </c>
      <c r="L1466" s="1418"/>
      <c r="M1466" s="1418"/>
      <c r="N1466" s="1418"/>
      <c r="R1466" s="1418" t="s">
        <v>1715</v>
      </c>
      <c r="T1466" s="1418" t="str">
        <f>IF(Q$987="Yes",M989,"")</f>
        <v/>
      </c>
    </row>
    <row r="1467" spans="1:22" s="1411" customFormat="1" x14ac:dyDescent="0.25">
      <c r="A1467" s="1430" t="s">
        <v>1398</v>
      </c>
      <c r="B1467" s="857" t="str">
        <f>IFERROR(_xlfn.CONCAT("I",('Configurable Tab'!$C$15+1)),"")</f>
        <v>I151</v>
      </c>
      <c r="C1467" s="857" t="str">
        <f>IFERROR(_xlfn.CONCAT("I",('Configurable Tab'!$C$15+2)),"")</f>
        <v>I152</v>
      </c>
      <c r="D1467" s="1418" t="s">
        <v>1367</v>
      </c>
      <c r="E1467" s="859" t="s">
        <v>1936</v>
      </c>
      <c r="F1467" s="1418"/>
      <c r="G1467" s="1418"/>
      <c r="H1467" s="1418"/>
      <c r="I1467" s="857" t="str">
        <f t="shared" si="259"/>
        <v>Payment Method</v>
      </c>
      <c r="J1467" s="1418" t="str">
        <f t="shared" si="260"/>
        <v>F</v>
      </c>
      <c r="K1467" s="1418" t="str">
        <f t="shared" si="258"/>
        <v>Incentives</v>
      </c>
      <c r="L1467" s="1418"/>
      <c r="M1467" s="1418"/>
      <c r="N1467" s="1418"/>
      <c r="R1467" s="1418" t="s">
        <v>1715</v>
      </c>
      <c r="T1467" s="1418" t="str">
        <f>IF(Q$987="Yes",M990,"")</f>
        <v/>
      </c>
    </row>
    <row r="1468" spans="1:22" s="1411" customFormat="1" x14ac:dyDescent="0.25">
      <c r="A1468" s="1430" t="s">
        <v>837</v>
      </c>
      <c r="B1468" s="857" t="str">
        <f>IFERROR(_xlfn.CONCAT("K",('Configurable Tab'!$C$15+1)),"")</f>
        <v>K151</v>
      </c>
      <c r="C1468" s="857" t="str">
        <f>IFERROR(_xlfn.CONCAT("K",('Configurable Tab'!$C$15+2)),"")</f>
        <v>K152</v>
      </c>
      <c r="D1468" s="1418" t="s">
        <v>1367</v>
      </c>
      <c r="E1468" s="859" t="s">
        <v>1936</v>
      </c>
      <c r="F1468" s="1418"/>
      <c r="G1468" s="1418"/>
      <c r="H1468" s="1418"/>
      <c r="I1468" s="857" t="str">
        <f t="shared" si="259"/>
        <v>Paid to:</v>
      </c>
      <c r="J1468" s="1418" t="str">
        <f t="shared" si="260"/>
        <v>F</v>
      </c>
      <c r="K1468" s="1418" t="str">
        <f t="shared" si="258"/>
        <v>Incentives</v>
      </c>
      <c r="L1468" s="1418"/>
      <c r="M1468" s="1418"/>
      <c r="N1468" s="1418"/>
      <c r="R1468" s="1418" t="s">
        <v>1715</v>
      </c>
      <c r="T1468" s="1418" t="str">
        <f>IF(Q$987="Yes",M991,"")</f>
        <v/>
      </c>
    </row>
    <row r="1469" spans="1:22" s="1411" customFormat="1" x14ac:dyDescent="0.25">
      <c r="A1469" s="1430" t="s">
        <v>1399</v>
      </c>
      <c r="B1469" s="857" t="str">
        <f>IFERROR(_xlfn.CONCAT("M",('Configurable Tab'!$C$15+1)),"")</f>
        <v>M151</v>
      </c>
      <c r="C1469" s="857" t="str">
        <f>IFERROR(_xlfn.CONCAT("M",('Configurable Tab'!$C$15+2)),"")</f>
        <v>M152</v>
      </c>
      <c r="D1469" s="1418" t="s">
        <v>1367</v>
      </c>
      <c r="E1469" s="859" t="s">
        <v>1936</v>
      </c>
      <c r="F1469" s="1418"/>
      <c r="G1469" s="1418"/>
      <c r="H1469" s="1418"/>
      <c r="I1469" s="857" t="str">
        <f t="shared" si="259"/>
        <v>AP/AR Vendor Number</v>
      </c>
      <c r="J1469" s="1418" t="str">
        <f t="shared" si="260"/>
        <v>F</v>
      </c>
      <c r="K1469" s="1418" t="str">
        <f t="shared" si="258"/>
        <v>Incentives</v>
      </c>
      <c r="L1469" s="1418"/>
      <c r="M1469" s="1418"/>
      <c r="N1469" s="1418"/>
      <c r="R1469" s="1418" t="s">
        <v>1715</v>
      </c>
      <c r="T1469" s="1418" t="str">
        <f>IF(Q$987="Yes",M992,"")</f>
        <v/>
      </c>
    </row>
    <row r="1470" spans="1:22" s="1411" customFormat="1" x14ac:dyDescent="0.25">
      <c r="A1470" s="1430" t="s">
        <v>1404</v>
      </c>
      <c r="B1470" s="857" t="str">
        <f>IFERROR(_xlfn.CONCAT("G",('Configurable Tab'!$C$15+4)),"")</f>
        <v>G154</v>
      </c>
      <c r="C1470" s="857" t="str">
        <f>IFERROR(_xlfn.CONCAT("G",('Configurable Tab'!$C$15+5)),"")</f>
        <v>G155</v>
      </c>
      <c r="D1470" s="1418" t="s">
        <v>1367</v>
      </c>
      <c r="E1470" s="859" t="s">
        <v>1936</v>
      </c>
      <c r="F1470" s="1418"/>
      <c r="G1470" s="1418"/>
      <c r="H1470" s="1418"/>
      <c r="I1470" s="857" t="str">
        <f t="shared" si="259"/>
        <v>Minimum Units</v>
      </c>
      <c r="J1470" s="1418" t="str">
        <f t="shared" si="260"/>
        <v>F</v>
      </c>
      <c r="K1470" s="1418" t="str">
        <f t="shared" si="258"/>
        <v>Incentives</v>
      </c>
      <c r="L1470" s="1418"/>
      <c r="M1470" s="1418"/>
      <c r="N1470" s="1418"/>
      <c r="R1470" s="1418" t="s">
        <v>1715</v>
      </c>
      <c r="T1470" s="1418" t="str">
        <f>IF(Q$987="Yes",M1001,"")</f>
        <v/>
      </c>
    </row>
    <row r="1471" spans="1:22" s="1411" customFormat="1" x14ac:dyDescent="0.25">
      <c r="A1471" s="1430" t="s">
        <v>1406</v>
      </c>
      <c r="B1471" s="857" t="str">
        <f>IFERROR(_xlfn.CONCAT("K",('Configurable Tab'!$C$15+4)),"")</f>
        <v>K154</v>
      </c>
      <c r="C1471" s="857" t="str">
        <f>IFERROR(_xlfn.CONCAT("K",('Configurable Tab'!$C$15+5)),"")</f>
        <v>K155</v>
      </c>
      <c r="D1471" s="1418" t="s">
        <v>1367</v>
      </c>
      <c r="E1471" s="859" t="s">
        <v>1936</v>
      </c>
      <c r="F1471" s="1418"/>
      <c r="G1471" s="1418"/>
      <c r="H1471" s="1418"/>
      <c r="I1471" s="857" t="str">
        <f t="shared" si="259"/>
        <v>Rate % of Sales</v>
      </c>
      <c r="J1471" s="1418" t="str">
        <f t="shared" si="260"/>
        <v>F</v>
      </c>
      <c r="K1471" s="1418" t="str">
        <f t="shared" si="258"/>
        <v>Incentives</v>
      </c>
      <c r="L1471" s="1418"/>
      <c r="M1471" s="1418"/>
      <c r="N1471" s="1418"/>
      <c r="R1471" s="1418" t="s">
        <v>1715</v>
      </c>
      <c r="T1471" s="1418" t="str">
        <f>IF(Q$987="Yes",M1003,"")</f>
        <v/>
      </c>
    </row>
    <row r="1472" spans="1:22" s="1411" customFormat="1" x14ac:dyDescent="0.25">
      <c r="A1472" s="926" t="s">
        <v>524</v>
      </c>
      <c r="B1472" s="857" t="str">
        <f>IFERROR(_xlfn.CONCAT("D",('Configurable Tab'!$C$16+1)),"")</f>
        <v>D159</v>
      </c>
      <c r="C1472" s="857" t="str">
        <f>IFERROR(_xlfn.CONCAT("E",('Configurable Tab'!$C$16+1)),"")</f>
        <v>E159</v>
      </c>
      <c r="D1472" s="1418" t="s">
        <v>1367</v>
      </c>
      <c r="E1472" s="859" t="s">
        <v>1936</v>
      </c>
      <c r="F1472" s="1418"/>
      <c r="G1472" s="1418"/>
      <c r="H1472" s="1418"/>
      <c r="I1472" s="857" t="str">
        <f t="shared" si="259"/>
        <v>Offer this Incentive?</v>
      </c>
      <c r="J1472" s="1418" t="str">
        <f>$Q$1&amp;IF(T$1472&lt;&gt;0,U1472,IF(T$1479&lt;&gt;0,U1479,""))</f>
        <v>F</v>
      </c>
      <c r="K1472" s="1418" t="str">
        <f t="shared" si="258"/>
        <v>Incentives</v>
      </c>
      <c r="L1472" s="1418"/>
      <c r="M1472" s="1418"/>
      <c r="N1472" s="1418"/>
      <c r="O1472" s="1411" t="s">
        <v>1960</v>
      </c>
      <c r="P1472" s="1411">
        <f>'Configurable Tab'!E16</f>
        <v>0</v>
      </c>
      <c r="Q1472" s="857" t="str">
        <f>IFERROR(_xlfn.CONCAT("C",('Configurable Tab'!$C16+1)),"")</f>
        <v>C159</v>
      </c>
      <c r="R1472" s="1418" t="s">
        <v>481</v>
      </c>
      <c r="S1472" s="1418" t="s">
        <v>1960</v>
      </c>
      <c r="T1472" s="1418">
        <f>IF(Q1005="Yes",IF(Q1016="Yes",2,1),0)</f>
        <v>0</v>
      </c>
      <c r="U1472" s="1418" t="str">
        <f>IF(Q$1005="Yes",M1005,"")</f>
        <v/>
      </c>
      <c r="V1472" s="1418" t="str">
        <f>IF(Q$1016="Yes",M1016,"")</f>
        <v/>
      </c>
    </row>
    <row r="1473" spans="1:22" s="1411" customFormat="1" x14ac:dyDescent="0.25">
      <c r="A1473" s="920" t="s">
        <v>1400</v>
      </c>
      <c r="B1473" s="857" t="str">
        <f>IFERROR(_xlfn.CONCAT("D",('Configurable Tab'!$C$16+2)),"")</f>
        <v>D160</v>
      </c>
      <c r="C1473" s="857" t="str">
        <f>IFERROR(_xlfn.CONCAT("E",('Configurable Tab'!$C$16+2)),"")</f>
        <v>E160</v>
      </c>
      <c r="D1473" s="1418" t="s">
        <v>1367</v>
      </c>
      <c r="E1473" s="859" t="s">
        <v>1936</v>
      </c>
      <c r="F1473" s="1418"/>
      <c r="G1473" s="1418"/>
      <c r="H1473" s="1418"/>
      <c r="I1473" s="857" t="str">
        <f t="shared" si="259"/>
        <v>Incentive Type</v>
      </c>
      <c r="J1473" s="1418" t="str">
        <f t="shared" ref="J1473:J1478" si="261">$Q$1&amp;IF(T$1472&lt;&gt;0,U1473,IF(T$1479&lt;&gt;0,U1480,""))</f>
        <v>F</v>
      </c>
      <c r="K1473" s="1418" t="str">
        <f t="shared" si="258"/>
        <v>Incentives</v>
      </c>
      <c r="L1473" s="1418"/>
      <c r="M1473" s="1418"/>
      <c r="N1473" s="1418"/>
      <c r="R1473" s="1418" t="s">
        <v>481</v>
      </c>
      <c r="S1473" s="1418" t="s">
        <v>1960</v>
      </c>
      <c r="U1473" s="1418" t="str">
        <f>IF(Q$1005="Yes",M1006,"")</f>
        <v/>
      </c>
      <c r="V1473" s="1418" t="str">
        <f>IF(Q$1016="Yes",M1017,"")</f>
        <v/>
      </c>
    </row>
    <row r="1474" spans="1:22" s="1411" customFormat="1" x14ac:dyDescent="0.25">
      <c r="A1474" s="920" t="s">
        <v>1402</v>
      </c>
      <c r="B1474" s="857" t="str">
        <f>IFERROR(_xlfn.CONCAT("D",('Configurable Tab'!$C$16+4)),"")</f>
        <v>D162</v>
      </c>
      <c r="C1474" s="857" t="str">
        <f>IFERROR(_xlfn.CONCAT("E",('Configurable Tab'!$C$16+4)),"")</f>
        <v>E162</v>
      </c>
      <c r="D1474" s="1418" t="s">
        <v>1367</v>
      </c>
      <c r="E1474" s="859" t="s">
        <v>1936</v>
      </c>
      <c r="F1474" s="1418"/>
      <c r="G1474" s="1418"/>
      <c r="H1474" s="1418"/>
      <c r="I1474" s="857" t="str">
        <f t="shared" si="259"/>
        <v>Incentive Effective Date</v>
      </c>
      <c r="J1474" s="1418" t="str">
        <f t="shared" si="261"/>
        <v>F</v>
      </c>
      <c r="K1474" s="1418" t="str">
        <f t="shared" si="258"/>
        <v>Incentives</v>
      </c>
      <c r="L1474" s="1418"/>
      <c r="M1474" s="1418"/>
      <c r="N1474" s="1418"/>
      <c r="R1474" s="1418" t="s">
        <v>481</v>
      </c>
      <c r="S1474" s="1418" t="s">
        <v>1960</v>
      </c>
      <c r="U1474" s="1418" t="str">
        <f>IF(Q$1005="Yes",M1010,"")</f>
        <v/>
      </c>
      <c r="V1474" s="1418" t="str">
        <f>IF(Q$1016="Yes",M1021,"")</f>
        <v/>
      </c>
    </row>
    <row r="1475" spans="1:22" s="1411" customFormat="1" x14ac:dyDescent="0.25">
      <c r="A1475" s="920" t="s">
        <v>1403</v>
      </c>
      <c r="B1475" s="857" t="str">
        <f>IFERROR(_xlfn.CONCAT("D",('Configurable Tab'!$C$16+5)),"")</f>
        <v>D163</v>
      </c>
      <c r="C1475" s="857" t="str">
        <f>IFERROR(_xlfn.CONCAT("E",('Configurable Tab'!$C$16+5)),"")</f>
        <v>E163</v>
      </c>
      <c r="D1475" s="1418" t="s">
        <v>1367</v>
      </c>
      <c r="E1475" s="859" t="s">
        <v>1936</v>
      </c>
      <c r="F1475" s="1418"/>
      <c r="G1475" s="1418"/>
      <c r="H1475" s="1418"/>
      <c r="I1475" s="857" t="str">
        <f t="shared" si="259"/>
        <v>Incentive Expiration Date</v>
      </c>
      <c r="J1475" s="1418" t="str">
        <f t="shared" si="261"/>
        <v>F</v>
      </c>
      <c r="K1475" s="1418" t="str">
        <f t="shared" si="258"/>
        <v>Incentives</v>
      </c>
      <c r="L1475" s="1418"/>
      <c r="M1475" s="1418"/>
      <c r="N1475" s="1418"/>
      <c r="R1475" s="1418" t="s">
        <v>481</v>
      </c>
      <c r="S1475" s="1418" t="s">
        <v>1960</v>
      </c>
      <c r="U1475" s="1418" t="str">
        <f>IF(Q$1005="Yes",M1011,"")</f>
        <v/>
      </c>
      <c r="V1475" s="1418" t="str">
        <f>IF(Q$1016="Yes",M1022,"")</f>
        <v/>
      </c>
    </row>
    <row r="1476" spans="1:22" s="1411" customFormat="1" x14ac:dyDescent="0.25">
      <c r="A1476" s="920" t="s">
        <v>1413</v>
      </c>
      <c r="B1476" s="857" t="str">
        <f>IFERROR(_xlfn.CONCAT("G",('Configurable Tab'!$C$16+4)),"")</f>
        <v>G162</v>
      </c>
      <c r="C1476" s="857" t="str">
        <f>IFERROR(_xlfn.CONCAT("G",('Configurable Tab'!$C$16+5)),"")</f>
        <v>G163</v>
      </c>
      <c r="D1476" s="1418" t="s">
        <v>1367</v>
      </c>
      <c r="E1476" s="859" t="s">
        <v>1936</v>
      </c>
      <c r="F1476" s="1418"/>
      <c r="G1476" s="1418"/>
      <c r="H1476" s="1418"/>
      <c r="I1476" s="857" t="str">
        <f t="shared" si="259"/>
        <v>FF Payment Amount</v>
      </c>
      <c r="J1476" s="1418" t="str">
        <f t="shared" si="261"/>
        <v>F</v>
      </c>
      <c r="K1476" s="1418" t="str">
        <f t="shared" si="258"/>
        <v>Incentives</v>
      </c>
      <c r="L1476" s="1418"/>
      <c r="M1476" s="1418"/>
      <c r="N1476" s="1418"/>
      <c r="R1476" s="1418" t="s">
        <v>481</v>
      </c>
      <c r="S1476" s="1418" t="s">
        <v>1960</v>
      </c>
      <c r="U1476" s="1418" t="str">
        <f>IF(Q$1005="Yes",M1014,"")</f>
        <v/>
      </c>
      <c r="V1476" s="1418" t="str">
        <f>IF(Q$1016="Yes",M1025,"")</f>
        <v/>
      </c>
    </row>
    <row r="1477" spans="1:22" s="1411" customFormat="1" x14ac:dyDescent="0.25">
      <c r="A1477" s="920" t="s">
        <v>1398</v>
      </c>
      <c r="B1477" s="857" t="str">
        <f>IFERROR(_xlfn.CONCAT("I",('Configurable Tab'!$C$16+1)),"")</f>
        <v>I159</v>
      </c>
      <c r="C1477" s="857" t="str">
        <f>IFERROR(_xlfn.CONCAT("I",('Configurable Tab'!$C$16+2)),"")</f>
        <v>I160</v>
      </c>
      <c r="D1477" s="1418" t="s">
        <v>1367</v>
      </c>
      <c r="E1477" s="859" t="s">
        <v>1936</v>
      </c>
      <c r="F1477" s="1418"/>
      <c r="G1477" s="1418"/>
      <c r="H1477" s="1418"/>
      <c r="I1477" s="857" t="str">
        <f t="shared" si="259"/>
        <v>Payment Method</v>
      </c>
      <c r="J1477" s="1418" t="str">
        <f t="shared" si="261"/>
        <v>F</v>
      </c>
      <c r="K1477" s="1418" t="str">
        <f t="shared" ref="K1477:K1540" si="262">IF(J1477&lt;&gt;"",E1477,"")</f>
        <v>Incentives</v>
      </c>
      <c r="L1477" s="1418"/>
      <c r="M1477" s="1418"/>
      <c r="N1477" s="1418"/>
      <c r="R1477" s="1418" t="s">
        <v>481</v>
      </c>
      <c r="S1477" s="1418" t="s">
        <v>1960</v>
      </c>
      <c r="U1477" s="1418" t="str">
        <f>IF(Q$1005="Yes",M1007,"")</f>
        <v/>
      </c>
      <c r="V1477" s="1418" t="str">
        <f>IF(Q$1016="Yes",M1018,"")</f>
        <v/>
      </c>
    </row>
    <row r="1478" spans="1:22" s="1411" customFormat="1" x14ac:dyDescent="0.25">
      <c r="A1478" s="920" t="s">
        <v>1399</v>
      </c>
      <c r="B1478" s="857" t="str">
        <f>IFERROR(_xlfn.CONCAT("M",('Configurable Tab'!$C$16+1)),"")</f>
        <v>M159</v>
      </c>
      <c r="C1478" s="857" t="str">
        <f>IFERROR(_xlfn.CONCAT("M",('Configurable Tab'!$C$16+2)),"")</f>
        <v>M160</v>
      </c>
      <c r="D1478" s="1418" t="s">
        <v>1367</v>
      </c>
      <c r="E1478" s="859" t="s">
        <v>1936</v>
      </c>
      <c r="F1478" s="1418"/>
      <c r="G1478" s="1418"/>
      <c r="H1478" s="1418"/>
      <c r="I1478" s="857" t="str">
        <f t="shared" ref="I1478:I1541" si="263">IF(J1478&lt;&gt;"",A1478,"")</f>
        <v>AP/AR Vendor Number</v>
      </c>
      <c r="J1478" s="1418" t="str">
        <f t="shared" si="261"/>
        <v>F</v>
      </c>
      <c r="K1478" s="1418" t="str">
        <f t="shared" si="262"/>
        <v>Incentives</v>
      </c>
      <c r="L1478" s="1418"/>
      <c r="M1478" s="1418"/>
      <c r="N1478" s="1418"/>
      <c r="R1478" s="1418" t="s">
        <v>481</v>
      </c>
      <c r="S1478" s="1418" t="s">
        <v>1960</v>
      </c>
      <c r="U1478" s="1418" t="str">
        <f>IF(Q$1005="Yes",M1009,"")</f>
        <v/>
      </c>
      <c r="V1478" s="1418" t="str">
        <f>IF(Q$1016="Yes",M1020,"")</f>
        <v/>
      </c>
    </row>
    <row r="1479" spans="1:22" s="1411" customFormat="1" x14ac:dyDescent="0.25">
      <c r="A1479" s="1102" t="s">
        <v>524</v>
      </c>
      <c r="B1479" s="857" t="str">
        <f>IFERROR(_xlfn.CONCAT("D",('Configurable Tab'!$C$17+1)),"")</f>
        <v>D167</v>
      </c>
      <c r="C1479" s="857" t="str">
        <f>IFERROR(_xlfn.CONCAT("E",('Configurable Tab'!$C$17+1)),"")</f>
        <v>E167</v>
      </c>
      <c r="D1479" s="1418" t="s">
        <v>1367</v>
      </c>
      <c r="E1479" s="859" t="s">
        <v>1936</v>
      </c>
      <c r="F1479" s="1418"/>
      <c r="G1479" s="1418"/>
      <c r="H1479" s="1418"/>
      <c r="I1479" s="857" t="str">
        <f t="shared" si="263"/>
        <v>Offer this Incentive?</v>
      </c>
      <c r="J1479" s="1418" t="str">
        <f>$Q$1&amp;IF(T$1472=2,V1472,IF(AND(T$1479=1,T$1472=1),U1479,""))</f>
        <v>F</v>
      </c>
      <c r="K1479" s="1418" t="str">
        <f t="shared" si="262"/>
        <v>Incentives</v>
      </c>
      <c r="L1479" s="1418"/>
      <c r="M1479" s="1418"/>
      <c r="N1479" s="1418"/>
      <c r="O1479" s="1411" t="s">
        <v>1960</v>
      </c>
      <c r="P1479" s="1411">
        <f>'Configurable Tab'!E17</f>
        <v>0</v>
      </c>
      <c r="Q1479" s="857" t="str">
        <f>IFERROR(_xlfn.CONCAT("C",('Configurable Tab'!$C17+1)),"")</f>
        <v>C167</v>
      </c>
      <c r="R1479" s="1418" t="s">
        <v>481</v>
      </c>
      <c r="S1479" s="1418" t="s">
        <v>1807</v>
      </c>
      <c r="T1479" s="1418">
        <f>IF(Q$1027="Yes",1,0)</f>
        <v>0</v>
      </c>
      <c r="U1479" s="1418" t="str">
        <f>IF(Q$1027="Yes",M1027,"")</f>
        <v/>
      </c>
    </row>
    <row r="1480" spans="1:22" s="1411" customFormat="1" x14ac:dyDescent="0.25">
      <c r="A1480" s="1103" t="s">
        <v>1400</v>
      </c>
      <c r="B1480" s="857" t="str">
        <f>IFERROR(_xlfn.CONCAT("D",('Configurable Tab'!$C$17+2)),"")</f>
        <v>D168</v>
      </c>
      <c r="C1480" s="857" t="str">
        <f>IFERROR(_xlfn.CONCAT("E",('Configurable Tab'!$C$17+2)),"")</f>
        <v>E168</v>
      </c>
      <c r="D1480" s="1418" t="s">
        <v>1367</v>
      </c>
      <c r="E1480" s="859" t="s">
        <v>1936</v>
      </c>
      <c r="F1480" s="1418"/>
      <c r="G1480" s="1418"/>
      <c r="H1480" s="1418"/>
      <c r="I1480" s="857" t="str">
        <f t="shared" si="263"/>
        <v>Incentive Type</v>
      </c>
      <c r="J1480" s="1418" t="str">
        <f t="shared" ref="J1480:J1485" si="264">$Q$1&amp;IF(T$1472=2,V1473,IF(AND(T$1479=1,T$1472=1),U1480,""))</f>
        <v>F</v>
      </c>
      <c r="K1480" s="1418" t="str">
        <f t="shared" si="262"/>
        <v>Incentives</v>
      </c>
      <c r="L1480" s="1418"/>
      <c r="M1480" s="1418"/>
      <c r="N1480" s="1418"/>
      <c r="R1480" s="1418" t="s">
        <v>481</v>
      </c>
      <c r="S1480" s="1418" t="s">
        <v>1807</v>
      </c>
      <c r="U1480" s="1418" t="str">
        <f>IF(Q$1027="Yes",M1028,"")</f>
        <v/>
      </c>
    </row>
    <row r="1481" spans="1:22" s="1411" customFormat="1" x14ac:dyDescent="0.25">
      <c r="A1481" s="1103" t="s">
        <v>1402</v>
      </c>
      <c r="B1481" s="857" t="str">
        <f>IFERROR(_xlfn.CONCAT("D",('Configurable Tab'!$C$17+4)),"")</f>
        <v>D170</v>
      </c>
      <c r="C1481" s="857" t="str">
        <f>IFERROR(_xlfn.CONCAT("E",('Configurable Tab'!$C$17+4)),"")</f>
        <v>E170</v>
      </c>
      <c r="D1481" s="1418" t="s">
        <v>1367</v>
      </c>
      <c r="E1481" s="859" t="s">
        <v>1936</v>
      </c>
      <c r="F1481" s="1418"/>
      <c r="G1481" s="1418"/>
      <c r="H1481" s="1418"/>
      <c r="I1481" s="857" t="str">
        <f t="shared" si="263"/>
        <v>Incentive Effective Date</v>
      </c>
      <c r="J1481" s="1418" t="str">
        <f t="shared" si="264"/>
        <v>F</v>
      </c>
      <c r="K1481" s="1418" t="str">
        <f t="shared" si="262"/>
        <v>Incentives</v>
      </c>
      <c r="L1481" s="1418"/>
      <c r="M1481" s="1418"/>
      <c r="N1481" s="1418"/>
      <c r="R1481" s="1418" t="s">
        <v>481</v>
      </c>
      <c r="S1481" s="1418" t="s">
        <v>1807</v>
      </c>
      <c r="U1481" s="1418" t="str">
        <f>IF(Q$1027="Yes",M1032,"")</f>
        <v/>
      </c>
    </row>
    <row r="1482" spans="1:22" s="1411" customFormat="1" x14ac:dyDescent="0.25">
      <c r="A1482" s="1103" t="s">
        <v>1403</v>
      </c>
      <c r="B1482" s="857" t="str">
        <f>IFERROR(_xlfn.CONCAT("D",('Configurable Tab'!$C$17+5)),"")</f>
        <v>D171</v>
      </c>
      <c r="C1482" s="857" t="str">
        <f>IFERROR(_xlfn.CONCAT("E",('Configurable Tab'!$C$17+5)),"")</f>
        <v>E171</v>
      </c>
      <c r="D1482" s="1418" t="s">
        <v>1367</v>
      </c>
      <c r="E1482" s="859" t="s">
        <v>1936</v>
      </c>
      <c r="F1482" s="1418"/>
      <c r="G1482" s="1418"/>
      <c r="H1482" s="1418"/>
      <c r="I1482" s="857" t="str">
        <f t="shared" si="263"/>
        <v>Incentive Expiration Date</v>
      </c>
      <c r="J1482" s="1418" t="str">
        <f t="shared" si="264"/>
        <v>F</v>
      </c>
      <c r="K1482" s="1418" t="str">
        <f t="shared" si="262"/>
        <v>Incentives</v>
      </c>
      <c r="L1482" s="1418"/>
      <c r="M1482" s="1418"/>
      <c r="N1482" s="1418"/>
      <c r="R1482" s="1418" t="s">
        <v>481</v>
      </c>
      <c r="S1482" s="1418" t="s">
        <v>1807</v>
      </c>
      <c r="U1482" s="1418" t="str">
        <f>IF(Q$1027="Yes",M1033,"")</f>
        <v/>
      </c>
    </row>
    <row r="1483" spans="1:22" s="1411" customFormat="1" x14ac:dyDescent="0.25">
      <c r="A1483" s="1103" t="s">
        <v>1413</v>
      </c>
      <c r="B1483" s="857" t="str">
        <f>IFERROR(_xlfn.CONCAT("G",('Configurable Tab'!$C$17+4)),"")</f>
        <v>G170</v>
      </c>
      <c r="C1483" s="857" t="str">
        <f>IFERROR(_xlfn.CONCAT("G",('Configurable Tab'!$C$17+5)),"")</f>
        <v>G171</v>
      </c>
      <c r="D1483" s="1418" t="s">
        <v>1367</v>
      </c>
      <c r="E1483" s="859" t="s">
        <v>1936</v>
      </c>
      <c r="F1483" s="1418"/>
      <c r="G1483" s="1418"/>
      <c r="H1483" s="1418"/>
      <c r="I1483" s="857" t="str">
        <f t="shared" si="263"/>
        <v>FF Payment Amount</v>
      </c>
      <c r="J1483" s="1418" t="str">
        <f t="shared" si="264"/>
        <v>F</v>
      </c>
      <c r="K1483" s="1418" t="str">
        <f t="shared" si="262"/>
        <v>Incentives</v>
      </c>
      <c r="L1483" s="1418"/>
      <c r="M1483" s="1418"/>
      <c r="N1483" s="1418"/>
      <c r="R1483" s="1418" t="s">
        <v>481</v>
      </c>
      <c r="S1483" s="1418" t="s">
        <v>1807</v>
      </c>
      <c r="U1483" s="1418" t="str">
        <f>IF(Q$1027="Yes",M1036,"")</f>
        <v/>
      </c>
    </row>
    <row r="1484" spans="1:22" s="1411" customFormat="1" x14ac:dyDescent="0.25">
      <c r="A1484" s="1103" t="s">
        <v>1398</v>
      </c>
      <c r="B1484" s="857" t="str">
        <f>IFERROR(_xlfn.CONCAT("I",('Configurable Tab'!$C$17+1)),"")</f>
        <v>I167</v>
      </c>
      <c r="C1484" s="857" t="str">
        <f>IFERROR(_xlfn.CONCAT("I",('Configurable Tab'!$C$17+2)),"")</f>
        <v>I168</v>
      </c>
      <c r="D1484" s="1418" t="s">
        <v>1367</v>
      </c>
      <c r="E1484" s="859" t="s">
        <v>1936</v>
      </c>
      <c r="F1484" s="1418"/>
      <c r="G1484" s="1418"/>
      <c r="H1484" s="1418"/>
      <c r="I1484" s="857" t="str">
        <f t="shared" si="263"/>
        <v>Payment Method</v>
      </c>
      <c r="J1484" s="1418" t="str">
        <f t="shared" si="264"/>
        <v>F</v>
      </c>
      <c r="K1484" s="1418" t="str">
        <f t="shared" si="262"/>
        <v>Incentives</v>
      </c>
      <c r="L1484" s="1418"/>
      <c r="M1484" s="1418"/>
      <c r="N1484" s="1418"/>
      <c r="R1484" s="1418" t="s">
        <v>481</v>
      </c>
      <c r="S1484" s="1418" t="s">
        <v>1807</v>
      </c>
      <c r="U1484" s="1418" t="str">
        <f>IF(Q$1027="Yes",M1030,"")</f>
        <v/>
      </c>
    </row>
    <row r="1485" spans="1:22" s="1411" customFormat="1" x14ac:dyDescent="0.25">
      <c r="A1485" s="1103" t="s">
        <v>1399</v>
      </c>
      <c r="B1485" s="857" t="str">
        <f>IFERROR(_xlfn.CONCAT("M",('Configurable Tab'!$C$17+1)),"")</f>
        <v>M167</v>
      </c>
      <c r="C1485" s="857" t="str">
        <f>IFERROR(_xlfn.CONCAT("M",('Configurable Tab'!$C$17+2)),"")</f>
        <v>M168</v>
      </c>
      <c r="D1485" s="1418" t="s">
        <v>1367</v>
      </c>
      <c r="E1485" s="859" t="s">
        <v>1936</v>
      </c>
      <c r="F1485" s="1418"/>
      <c r="G1485" s="1418"/>
      <c r="H1485" s="1418"/>
      <c r="I1485" s="857" t="str">
        <f t="shared" si="263"/>
        <v>AP/AR Vendor Number</v>
      </c>
      <c r="J1485" s="1418" t="str">
        <f t="shared" si="264"/>
        <v>F</v>
      </c>
      <c r="K1485" s="1418" t="str">
        <f t="shared" si="262"/>
        <v>Incentives</v>
      </c>
      <c r="L1485" s="1418"/>
      <c r="M1485" s="1418"/>
      <c r="N1485" s="1418"/>
      <c r="R1485" s="1418" t="s">
        <v>481</v>
      </c>
      <c r="S1485" s="1418" t="s">
        <v>1807</v>
      </c>
      <c r="U1485" s="1418" t="str">
        <f>IF(Q$1027="Yes",M1031,"")</f>
        <v/>
      </c>
    </row>
    <row r="1486" spans="1:22" s="1411" customFormat="1" x14ac:dyDescent="0.25">
      <c r="A1486" s="1429" t="s">
        <v>524</v>
      </c>
      <c r="B1486" s="857" t="str">
        <f>IFERROR(_xlfn.CONCAT("D",('Configurable Tab'!$C$18+1)),"")</f>
        <v>D175</v>
      </c>
      <c r="C1486" s="857" t="str">
        <f>IFERROR(_xlfn.CONCAT("E",('Configurable Tab'!$C$18+1)),"")</f>
        <v>E175</v>
      </c>
      <c r="D1486" s="1418" t="s">
        <v>1367</v>
      </c>
      <c r="E1486" s="859" t="s">
        <v>1936</v>
      </c>
      <c r="F1486" s="1418"/>
      <c r="G1486" s="1418"/>
      <c r="H1486" s="1418"/>
      <c r="I1486" s="857" t="str">
        <f t="shared" si="263"/>
        <v>Offer this Incentive?</v>
      </c>
      <c r="J1486" s="1418" t="str">
        <f>$Q$1&amp;T1486</f>
        <v>F</v>
      </c>
      <c r="K1486" s="1418" t="str">
        <f t="shared" si="262"/>
        <v>Incentives</v>
      </c>
      <c r="L1486" s="1418"/>
      <c r="M1486" s="1418"/>
      <c r="N1486" s="1418"/>
      <c r="O1486" s="1411" t="s">
        <v>1961</v>
      </c>
      <c r="P1486" s="1411">
        <f>'Configurable Tab'!E18</f>
        <v>0</v>
      </c>
      <c r="Q1486" s="857" t="str">
        <f>IFERROR(_xlfn.CONCAT("C",('Configurable Tab'!$C18+1)),"")</f>
        <v>C175</v>
      </c>
      <c r="R1486" s="1418" t="s">
        <v>1142</v>
      </c>
      <c r="T1486" s="1418" t="str">
        <f>IF(Q$1038="Yes",M1038,"")</f>
        <v/>
      </c>
    </row>
    <row r="1487" spans="1:22" s="1411" customFormat="1" x14ac:dyDescent="0.25">
      <c r="A1487" s="1430" t="s">
        <v>1400</v>
      </c>
      <c r="B1487" s="857" t="str">
        <f>IFERROR(_xlfn.CONCAT("D",('Configurable Tab'!$C$18+2)),"")</f>
        <v>D176</v>
      </c>
      <c r="C1487" s="857" t="str">
        <f>IFERROR(_xlfn.CONCAT("E",('Configurable Tab'!$C$18+2)),"")</f>
        <v>E176</v>
      </c>
      <c r="D1487" s="1418" t="s">
        <v>1367</v>
      </c>
      <c r="E1487" s="859" t="s">
        <v>1936</v>
      </c>
      <c r="F1487" s="1418"/>
      <c r="G1487" s="1418"/>
      <c r="H1487" s="1418"/>
      <c r="I1487" s="857" t="str">
        <f t="shared" si="263"/>
        <v>Incentive Type</v>
      </c>
      <c r="J1487" s="1418" t="str">
        <f t="shared" ref="J1487:J1494" si="265">$Q$1&amp;T1487</f>
        <v>F</v>
      </c>
      <c r="K1487" s="1418" t="str">
        <f t="shared" si="262"/>
        <v>Incentives</v>
      </c>
      <c r="L1487" s="1418"/>
      <c r="M1487" s="1418"/>
      <c r="N1487" s="1418"/>
      <c r="R1487" s="1418" t="s">
        <v>1142</v>
      </c>
      <c r="T1487" s="1418" t="str">
        <f>IF(Q$1038="Yes",M1039,"")</f>
        <v/>
      </c>
    </row>
    <row r="1488" spans="1:22" s="1411" customFormat="1" x14ac:dyDescent="0.25">
      <c r="A1488" s="1430" t="s">
        <v>1402</v>
      </c>
      <c r="B1488" s="857" t="str">
        <f>IFERROR(_xlfn.CONCAT("D",('Configurable Tab'!$C$18+4)),"")</f>
        <v>D178</v>
      </c>
      <c r="C1488" s="857" t="str">
        <f>IFERROR(_xlfn.CONCAT("E",('Configurable Tab'!$C$18+4)),"")</f>
        <v>E178</v>
      </c>
      <c r="D1488" s="1418" t="s">
        <v>1367</v>
      </c>
      <c r="E1488" s="859" t="s">
        <v>1936</v>
      </c>
      <c r="F1488" s="1418"/>
      <c r="G1488" s="1418"/>
      <c r="H1488" s="1418"/>
      <c r="I1488" s="857" t="str">
        <f t="shared" si="263"/>
        <v>Incentive Effective Date</v>
      </c>
      <c r="J1488" s="1418" t="str">
        <f t="shared" si="265"/>
        <v>F</v>
      </c>
      <c r="K1488" s="1418" t="str">
        <f t="shared" si="262"/>
        <v>Incentives</v>
      </c>
      <c r="L1488" s="1418"/>
      <c r="M1488" s="1418"/>
      <c r="N1488" s="1418"/>
      <c r="R1488" s="1418" t="s">
        <v>1142</v>
      </c>
      <c r="T1488" s="1418" t="str">
        <f>IF(Q$1038="Yes",M1046,"")</f>
        <v/>
      </c>
    </row>
    <row r="1489" spans="1:22" s="1411" customFormat="1" x14ac:dyDescent="0.25">
      <c r="A1489" s="1430" t="s">
        <v>1403</v>
      </c>
      <c r="B1489" s="857" t="str">
        <f>IFERROR(_xlfn.CONCAT("D",('Configurable Tab'!$C$18+5)),"")</f>
        <v>D179</v>
      </c>
      <c r="C1489" s="857" t="str">
        <f>IFERROR(_xlfn.CONCAT("E",('Configurable Tab'!$C$18+5)),"")</f>
        <v>E179</v>
      </c>
      <c r="D1489" s="1418" t="s">
        <v>1367</v>
      </c>
      <c r="E1489" s="859" t="s">
        <v>1936</v>
      </c>
      <c r="F1489" s="1418"/>
      <c r="G1489" s="1418"/>
      <c r="H1489" s="1418"/>
      <c r="I1489" s="857" t="str">
        <f t="shared" si="263"/>
        <v>Incentive Expiration Date</v>
      </c>
      <c r="J1489" s="1418" t="str">
        <f t="shared" si="265"/>
        <v>F</v>
      </c>
      <c r="K1489" s="1418" t="str">
        <f t="shared" si="262"/>
        <v>Incentives</v>
      </c>
      <c r="L1489" s="1418"/>
      <c r="M1489" s="1418"/>
      <c r="N1489" s="1418"/>
      <c r="R1489" s="1418" t="s">
        <v>1142</v>
      </c>
      <c r="T1489" s="1418" t="str">
        <f>IF(Q$1038="Yes",M1047,"")</f>
        <v/>
      </c>
    </row>
    <row r="1490" spans="1:22" s="1411" customFormat="1" x14ac:dyDescent="0.25">
      <c r="A1490" s="1430" t="s">
        <v>1397</v>
      </c>
      <c r="B1490" s="857" t="str">
        <f>IFERROR(_xlfn.CONCAT("G",('Configurable Tab'!$C$18+1)),"")</f>
        <v>G175</v>
      </c>
      <c r="C1490" s="857" t="str">
        <f>IFERROR(_xlfn.CONCAT("G",('Configurable Tab'!$C$18+2)),"")</f>
        <v>G176</v>
      </c>
      <c r="D1490" s="1418" t="s">
        <v>1367</v>
      </c>
      <c r="E1490" s="859" t="s">
        <v>1936</v>
      </c>
      <c r="F1490" s="1418"/>
      <c r="G1490" s="1418"/>
      <c r="H1490" s="1418"/>
      <c r="I1490" s="857" t="str">
        <f t="shared" si="263"/>
        <v>Incentive Period</v>
      </c>
      <c r="J1490" s="1418" t="str">
        <f t="shared" si="265"/>
        <v>F</v>
      </c>
      <c r="K1490" s="1418" t="str">
        <f t="shared" si="262"/>
        <v>Incentives</v>
      </c>
      <c r="L1490" s="1418"/>
      <c r="M1490" s="1418"/>
      <c r="N1490" s="1418"/>
      <c r="R1490" s="1418" t="s">
        <v>1142</v>
      </c>
      <c r="T1490" s="1418" t="str">
        <f>IF(Q$1038="Yes",M1818,"")</f>
        <v/>
      </c>
    </row>
    <row r="1491" spans="1:22" s="1411" customFormat="1" x14ac:dyDescent="0.25">
      <c r="A1491" s="1430" t="s">
        <v>1398</v>
      </c>
      <c r="B1491" s="857" t="str">
        <f>IFERROR(_xlfn.CONCAT("I",('Configurable Tab'!$C$18+1)),"")</f>
        <v>I175</v>
      </c>
      <c r="C1491" s="857" t="str">
        <f>IFERROR(_xlfn.CONCAT("I",('Configurable Tab'!$C$18+2)),"")</f>
        <v>I176</v>
      </c>
      <c r="D1491" s="1418" t="s">
        <v>1367</v>
      </c>
      <c r="E1491" s="859" t="s">
        <v>1936</v>
      </c>
      <c r="F1491" s="1418"/>
      <c r="G1491" s="1418"/>
      <c r="H1491" s="1418"/>
      <c r="I1491" s="857" t="str">
        <f t="shared" si="263"/>
        <v>Payment Method</v>
      </c>
      <c r="J1491" s="1418" t="str">
        <f t="shared" si="265"/>
        <v>F</v>
      </c>
      <c r="K1491" s="1418" t="str">
        <f t="shared" si="262"/>
        <v>Incentives</v>
      </c>
      <c r="L1491" s="1418"/>
      <c r="M1491" s="1418"/>
      <c r="N1491" s="1418"/>
      <c r="R1491" s="1418" t="s">
        <v>1142</v>
      </c>
      <c r="T1491" s="1418" t="str">
        <f>IF(Q$1038="Yes",M1040,"")</f>
        <v/>
      </c>
    </row>
    <row r="1492" spans="1:22" s="1411" customFormat="1" x14ac:dyDescent="0.25">
      <c r="A1492" s="1430" t="s">
        <v>837</v>
      </c>
      <c r="B1492" s="857" t="str">
        <f>IFERROR(_xlfn.CONCAT("K",('Configurable Tab'!$C$18+1)),"")</f>
        <v>K175</v>
      </c>
      <c r="C1492" s="857" t="str">
        <f>IFERROR(_xlfn.CONCAT("K",('Configurable Tab'!$C$18+2)),"")</f>
        <v>K176</v>
      </c>
      <c r="D1492" s="1418" t="s">
        <v>1367</v>
      </c>
      <c r="E1492" s="859" t="s">
        <v>1936</v>
      </c>
      <c r="F1492" s="1418"/>
      <c r="G1492" s="1418"/>
      <c r="H1492" s="1418"/>
      <c r="I1492" s="857" t="str">
        <f t="shared" si="263"/>
        <v>Paid to:</v>
      </c>
      <c r="J1492" s="1418" t="str">
        <f t="shared" si="265"/>
        <v>F</v>
      </c>
      <c r="K1492" s="1418" t="str">
        <f t="shared" si="262"/>
        <v>Incentives</v>
      </c>
      <c r="L1492" s="1418"/>
      <c r="M1492" s="1418"/>
      <c r="N1492" s="1418"/>
      <c r="R1492" s="1418" t="s">
        <v>1142</v>
      </c>
      <c r="T1492" s="1418" t="str">
        <f>IF(Q$1038="Yes",M1041,"")</f>
        <v/>
      </c>
    </row>
    <row r="1493" spans="1:22" s="1411" customFormat="1" x14ac:dyDescent="0.25">
      <c r="A1493" s="1430" t="s">
        <v>1399</v>
      </c>
      <c r="B1493" s="857" t="str">
        <f>IFERROR(_xlfn.CONCAT("M",('Configurable Tab'!$C$18+1)),"")</f>
        <v>M175</v>
      </c>
      <c r="C1493" s="857" t="str">
        <f>IFERROR(_xlfn.CONCAT("M",('Configurable Tab'!$C$18+2)),"")</f>
        <v>M176</v>
      </c>
      <c r="D1493" s="1418" t="s">
        <v>1367</v>
      </c>
      <c r="E1493" s="859" t="s">
        <v>1936</v>
      </c>
      <c r="F1493" s="1418"/>
      <c r="G1493" s="1418"/>
      <c r="H1493" s="1418"/>
      <c r="I1493" s="857" t="str">
        <f t="shared" si="263"/>
        <v>AP/AR Vendor Number</v>
      </c>
      <c r="J1493" s="1418" t="str">
        <f t="shared" si="265"/>
        <v>F</v>
      </c>
      <c r="K1493" s="1418" t="str">
        <f t="shared" si="262"/>
        <v>Incentives</v>
      </c>
      <c r="L1493" s="1418"/>
      <c r="M1493" s="1418"/>
      <c r="N1493" s="1418"/>
      <c r="R1493" s="1418" t="s">
        <v>1142</v>
      </c>
      <c r="T1493" s="1418" t="str">
        <f>IF(Q$1038="Yes",M1042,"")</f>
        <v/>
      </c>
    </row>
    <row r="1494" spans="1:22" s="1411" customFormat="1" x14ac:dyDescent="0.25">
      <c r="A1494" s="1430" t="s">
        <v>1406</v>
      </c>
      <c r="B1494" s="857" t="str">
        <f>IFERROR(_xlfn.CONCAT("K",('Configurable Tab'!$C$18+4)),"")</f>
        <v>K178</v>
      </c>
      <c r="C1494" s="857" t="str">
        <f>IFERROR(_xlfn.CONCAT("K",('Configurable Tab'!$C$18+5)),"")</f>
        <v>K179</v>
      </c>
      <c r="D1494" s="1418" t="s">
        <v>1367</v>
      </c>
      <c r="E1494" s="859" t="s">
        <v>1936</v>
      </c>
      <c r="F1494" s="1418"/>
      <c r="G1494" s="1418"/>
      <c r="H1494" s="1418"/>
      <c r="I1494" s="857" t="str">
        <f t="shared" si="263"/>
        <v>Rate % of Sales</v>
      </c>
      <c r="J1494" s="1418" t="str">
        <f t="shared" si="265"/>
        <v>F</v>
      </c>
      <c r="K1494" s="1418" t="str">
        <f t="shared" si="262"/>
        <v>Incentives</v>
      </c>
      <c r="L1494" s="1418"/>
      <c r="M1494" s="1418"/>
      <c r="N1494" s="1418"/>
      <c r="R1494" s="1418" t="s">
        <v>1142</v>
      </c>
      <c r="T1494" s="1418" t="str">
        <f>IF(Q$1038="Yes",M1050,"")</f>
        <v/>
      </c>
    </row>
    <row r="1495" spans="1:22" s="1411" customFormat="1" x14ac:dyDescent="0.25">
      <c r="A1495" s="1424" t="s">
        <v>524</v>
      </c>
      <c r="B1495" s="857" t="str">
        <f>IFERROR(_xlfn.CONCAT("D",('Configurable Tab'!$C$19+1)),"")</f>
        <v>D183</v>
      </c>
      <c r="C1495" s="857" t="str">
        <f>IFERROR(_xlfn.CONCAT("E",('Configurable Tab'!$C$19+1)),"")</f>
        <v>E183</v>
      </c>
      <c r="D1495" s="1418" t="s">
        <v>1367</v>
      </c>
      <c r="E1495" s="859" t="s">
        <v>1936</v>
      </c>
      <c r="F1495" s="1418"/>
      <c r="G1495" s="1418"/>
      <c r="H1495" s="1418"/>
      <c r="I1495" s="857" t="str">
        <f t="shared" si="263"/>
        <v>Offer this Incentive?</v>
      </c>
      <c r="J1495" s="1418" t="str">
        <f>$Q$1&amp;IF($Q$1052="Yes",T1495,IF($Q$1069="Yes",V1495,""))</f>
        <v>F</v>
      </c>
      <c r="K1495" s="1418" t="str">
        <f t="shared" si="262"/>
        <v>Incentives</v>
      </c>
      <c r="L1495" s="1418"/>
      <c r="M1495" s="1418"/>
      <c r="N1495" s="1418"/>
      <c r="O1495" s="1411" t="s">
        <v>1719</v>
      </c>
      <c r="P1495" s="1411">
        <f>'Configurable Tab'!E19</f>
        <v>0</v>
      </c>
      <c r="Q1495" s="857" t="str">
        <f>IFERROR(_xlfn.CONCAT("C",('Configurable Tab'!$C19+1)),"")</f>
        <v>C183</v>
      </c>
      <c r="R1495" s="1418" t="s">
        <v>1719</v>
      </c>
      <c r="S1495" s="1418" t="s">
        <v>1139</v>
      </c>
      <c r="T1495" s="1418" t="str">
        <f>IF(Q$1052="Yes",M1052,"")</f>
        <v/>
      </c>
      <c r="U1495" s="1418" t="s">
        <v>1962</v>
      </c>
      <c r="V1495" s="1418" t="str">
        <f>IF(Q$1069="Yes",M1069,"")</f>
        <v/>
      </c>
    </row>
    <row r="1496" spans="1:22" s="1411" customFormat="1" x14ac:dyDescent="0.25">
      <c r="A1496" s="858" t="s">
        <v>1400</v>
      </c>
      <c r="B1496" s="857" t="str">
        <f>IFERROR(_xlfn.CONCAT("D",('Configurable Tab'!$C$19+2)),"")</f>
        <v>D184</v>
      </c>
      <c r="C1496" s="857" t="str">
        <f>IFERROR(_xlfn.CONCAT("E",('Configurable Tab'!$C$19+2)),"")</f>
        <v>E184</v>
      </c>
      <c r="D1496" s="1418" t="s">
        <v>1367</v>
      </c>
      <c r="E1496" s="859" t="s">
        <v>1936</v>
      </c>
      <c r="F1496" s="1418"/>
      <c r="G1496" s="1418"/>
      <c r="H1496" s="1418"/>
      <c r="I1496" s="857" t="str">
        <f t="shared" si="263"/>
        <v>Incentive Type</v>
      </c>
      <c r="J1496" s="1418" t="str">
        <f t="shared" ref="J1496:J1509" si="266">$Q$1&amp;IF($Q$1052="Yes",T1496,IF($Q$1069="Yes",V1496,""))</f>
        <v>F</v>
      </c>
      <c r="K1496" s="1418" t="str">
        <f t="shared" si="262"/>
        <v>Incentives</v>
      </c>
      <c r="L1496" s="1418"/>
      <c r="M1496" s="1418"/>
      <c r="N1496" s="1418"/>
      <c r="R1496" s="1418" t="s">
        <v>1719</v>
      </c>
      <c r="S1496" s="1418" t="s">
        <v>1139</v>
      </c>
      <c r="T1496" s="1418" t="str">
        <f>IF(Q$1052="Yes",M1053,"")</f>
        <v/>
      </c>
      <c r="U1496" s="1418" t="s">
        <v>1962</v>
      </c>
      <c r="V1496" s="1418" t="str">
        <f>IF(Q$1069="Yes",M1070,"")</f>
        <v/>
      </c>
    </row>
    <row r="1497" spans="1:22" s="1411" customFormat="1" x14ac:dyDescent="0.25">
      <c r="A1497" s="858" t="s">
        <v>1402</v>
      </c>
      <c r="B1497" s="857" t="str">
        <f>IFERROR(_xlfn.CONCAT("D",('Configurable Tab'!$C$19+4)),"")</f>
        <v>D186</v>
      </c>
      <c r="C1497" s="857" t="str">
        <f>IFERROR(_xlfn.CONCAT("E",('Configurable Tab'!$C$19+4)),"")</f>
        <v>E186</v>
      </c>
      <c r="D1497" s="1418" t="s">
        <v>1367</v>
      </c>
      <c r="E1497" s="859" t="s">
        <v>1936</v>
      </c>
      <c r="F1497" s="1418"/>
      <c r="G1497" s="1418"/>
      <c r="H1497" s="1418"/>
      <c r="I1497" s="857" t="str">
        <f t="shared" si="263"/>
        <v>Incentive Effective Date</v>
      </c>
      <c r="J1497" s="1418" t="str">
        <f t="shared" si="266"/>
        <v>F</v>
      </c>
      <c r="K1497" s="1418" t="str">
        <f t="shared" si="262"/>
        <v>Incentives</v>
      </c>
      <c r="L1497" s="1418"/>
      <c r="M1497" s="1418"/>
      <c r="N1497" s="1418"/>
      <c r="R1497" s="1418" t="s">
        <v>1719</v>
      </c>
      <c r="S1497" s="1418" t="s">
        <v>1139</v>
      </c>
      <c r="T1497" s="1418" t="str">
        <f>IF(Q$1052="Yes",M1056,"")</f>
        <v/>
      </c>
      <c r="U1497" s="1418" t="s">
        <v>1962</v>
      </c>
      <c r="V1497" s="1418" t="str">
        <f>IF(Q$1069="Yes",M1073,"")</f>
        <v/>
      </c>
    </row>
    <row r="1498" spans="1:22" s="1411" customFormat="1" x14ac:dyDescent="0.25">
      <c r="A1498" s="858" t="s">
        <v>1403</v>
      </c>
      <c r="B1498" s="857" t="str">
        <f>IFERROR(_xlfn.CONCAT("D",('Configurable Tab'!$C$19+5)),"")</f>
        <v>D187</v>
      </c>
      <c r="C1498" s="857" t="str">
        <f>IFERROR(_xlfn.CONCAT("E",('Configurable Tab'!$C$19+5)),"")</f>
        <v>E187</v>
      </c>
      <c r="D1498" s="1418" t="s">
        <v>1367</v>
      </c>
      <c r="E1498" s="859" t="s">
        <v>1936</v>
      </c>
      <c r="F1498" s="1418"/>
      <c r="G1498" s="1418"/>
      <c r="H1498" s="1418"/>
      <c r="I1498" s="857" t="str">
        <f t="shared" si="263"/>
        <v>Incentive Expiration Date</v>
      </c>
      <c r="J1498" s="1418" t="str">
        <f t="shared" si="266"/>
        <v>F</v>
      </c>
      <c r="K1498" s="1418" t="str">
        <f t="shared" si="262"/>
        <v>Incentives</v>
      </c>
      <c r="L1498" s="1418"/>
      <c r="M1498" s="1418"/>
      <c r="N1498" s="1418"/>
      <c r="R1498" s="1418" t="s">
        <v>1719</v>
      </c>
      <c r="S1498" s="1418" t="s">
        <v>1139</v>
      </c>
      <c r="T1498" s="1418" t="str">
        <f>IF(Q$1052="Yes",M1057,"")</f>
        <v/>
      </c>
      <c r="U1498" s="1418" t="s">
        <v>1962</v>
      </c>
      <c r="V1498" s="1418" t="str">
        <f>IF(Q$1069="Yes",M1074,"")</f>
        <v/>
      </c>
    </row>
    <row r="1499" spans="1:22" s="1411" customFormat="1" x14ac:dyDescent="0.25">
      <c r="A1499" s="858" t="s">
        <v>1398</v>
      </c>
      <c r="B1499" s="857" t="str">
        <f>IFERROR(_xlfn.CONCAT("I",('Configurable Tab'!$C$19+1)),"")</f>
        <v>I183</v>
      </c>
      <c r="C1499" s="857" t="str">
        <f>IFERROR(_xlfn.CONCAT("I",('Configurable Tab'!$C$19+2)),"")</f>
        <v>I184</v>
      </c>
      <c r="D1499" s="1418" t="s">
        <v>1367</v>
      </c>
      <c r="E1499" s="859" t="s">
        <v>1936</v>
      </c>
      <c r="F1499" s="1418"/>
      <c r="G1499" s="1418"/>
      <c r="H1499" s="1418"/>
      <c r="I1499" s="857" t="str">
        <f t="shared" si="263"/>
        <v>Payment Method</v>
      </c>
      <c r="J1499" s="1418" t="str">
        <f t="shared" si="266"/>
        <v>F</v>
      </c>
      <c r="K1499" s="1418" t="str">
        <f t="shared" si="262"/>
        <v>Incentives</v>
      </c>
      <c r="L1499" s="1418"/>
      <c r="M1499" s="1418"/>
      <c r="N1499" s="1418"/>
      <c r="R1499" s="1418" t="s">
        <v>1719</v>
      </c>
      <c r="S1499" s="1418" t="s">
        <v>1139</v>
      </c>
      <c r="T1499" s="1418" t="str">
        <f>IF(Q$1052="Yes",M1054,"")</f>
        <v/>
      </c>
      <c r="U1499" s="1418" t="s">
        <v>1962</v>
      </c>
      <c r="V1499" s="1418" t="str">
        <f>IF(Q$1069="Yes",M1071,"")</f>
        <v/>
      </c>
    </row>
    <row r="1500" spans="1:22" s="1411" customFormat="1" x14ac:dyDescent="0.25">
      <c r="A1500" s="858" t="s">
        <v>1399</v>
      </c>
      <c r="B1500" s="857" t="str">
        <f>IFERROR(_xlfn.CONCAT("M",('Configurable Tab'!$C$19+1)),"")</f>
        <v>M183</v>
      </c>
      <c r="C1500" s="857" t="str">
        <f>IFERROR(_xlfn.CONCAT("M",('Configurable Tab'!$C$19+2)),"")</f>
        <v>M184</v>
      </c>
      <c r="D1500" s="1418" t="s">
        <v>1367</v>
      </c>
      <c r="E1500" s="859" t="s">
        <v>1936</v>
      </c>
      <c r="F1500" s="1418"/>
      <c r="G1500" s="1418"/>
      <c r="H1500" s="1418"/>
      <c r="I1500" s="857" t="str">
        <f t="shared" si="263"/>
        <v>AP/AR Vendor Number</v>
      </c>
      <c r="J1500" s="1418" t="str">
        <f t="shared" si="266"/>
        <v>F</v>
      </c>
      <c r="K1500" s="1418" t="str">
        <f t="shared" si="262"/>
        <v>Incentives</v>
      </c>
      <c r="L1500" s="1418"/>
      <c r="M1500" s="1418"/>
      <c r="N1500" s="1418"/>
      <c r="R1500" s="1418" t="s">
        <v>1719</v>
      </c>
      <c r="S1500" s="1418" t="s">
        <v>1139</v>
      </c>
      <c r="T1500" s="1418" t="str">
        <f>IF(Q$1052="Yes",M1055,"")</f>
        <v/>
      </c>
      <c r="U1500" s="1418" t="s">
        <v>1962</v>
      </c>
      <c r="V1500" s="1418" t="str">
        <f>IF(Q$1069="Yes",M1072,"")</f>
        <v/>
      </c>
    </row>
    <row r="1501" spans="1:22" s="1411" customFormat="1" x14ac:dyDescent="0.25">
      <c r="A1501" s="858" t="s">
        <v>1413</v>
      </c>
      <c r="B1501" s="857" t="str">
        <f>IFERROR(_xlfn.CONCAT("G",('Configurable Tab'!$C$19+4)),"")</f>
        <v>G186</v>
      </c>
      <c r="C1501" s="857" t="str">
        <f>IFERROR(_xlfn.CONCAT("G",('Configurable Tab'!$C$19+5)),"")</f>
        <v>G187</v>
      </c>
      <c r="D1501" s="1418" t="s">
        <v>1367</v>
      </c>
      <c r="E1501" s="859" t="s">
        <v>1936</v>
      </c>
      <c r="F1501" s="1412"/>
      <c r="G1501" s="1428"/>
      <c r="H1501" s="1418"/>
      <c r="I1501" s="857" t="str">
        <f t="shared" si="263"/>
        <v>FF Payment Amount</v>
      </c>
      <c r="J1501" s="1418" t="str">
        <f t="shared" si="266"/>
        <v>F</v>
      </c>
      <c r="K1501" s="1418" t="str">
        <f t="shared" si="262"/>
        <v>Incentives</v>
      </c>
      <c r="L1501" s="1418"/>
      <c r="M1501" s="1418"/>
      <c r="N1501" s="1418"/>
      <c r="R1501" s="1418" t="s">
        <v>1719</v>
      </c>
      <c r="S1501" s="1418" t="s">
        <v>1139</v>
      </c>
      <c r="T1501" s="1418" t="str">
        <f>IF(Q$1052="Yes",M1060,"")</f>
        <v/>
      </c>
      <c r="U1501" s="1418" t="s">
        <v>1962</v>
      </c>
      <c r="V1501" s="1418" t="str">
        <f>IF(Q$1069="Yes",M1077,"")</f>
        <v/>
      </c>
    </row>
    <row r="1502" spans="1:22" s="1411" customFormat="1" x14ac:dyDescent="0.25">
      <c r="A1502" s="858" t="s">
        <v>1493</v>
      </c>
      <c r="B1502" s="857" t="str">
        <f>IFERROR(_xlfn.CONCAT("I",('Configurable Tab'!$C$19+4)),"")</f>
        <v>I186</v>
      </c>
      <c r="C1502" s="857" t="str">
        <f>IFERROR(_xlfn.CONCAT("I",('Configurable Tab'!$C$19+5)),"")</f>
        <v>I187</v>
      </c>
      <c r="D1502" s="1418" t="s">
        <v>1367</v>
      </c>
      <c r="E1502" s="859" t="s">
        <v>1936</v>
      </c>
      <c r="F1502" s="1412"/>
      <c r="G1502" s="1060"/>
      <c r="H1502" s="1418"/>
      <c r="I1502" s="857" t="str">
        <f t="shared" si="263"/>
        <v>Unamortized Prepaid Amount</v>
      </c>
      <c r="J1502" s="1418" t="str">
        <f t="shared" si="266"/>
        <v>F</v>
      </c>
      <c r="K1502" s="1418" t="str">
        <f t="shared" si="262"/>
        <v>Incentives</v>
      </c>
      <c r="L1502" s="1418"/>
      <c r="M1502" s="1418"/>
      <c r="N1502" s="1418"/>
      <c r="R1502" s="1418" t="s">
        <v>1719</v>
      </c>
      <c r="S1502" s="1418" t="s">
        <v>1139</v>
      </c>
      <c r="T1502" s="1418" t="str">
        <f>IF(Q$1052="Yes",M1061,"")</f>
        <v/>
      </c>
      <c r="U1502" s="1418" t="s">
        <v>1962</v>
      </c>
      <c r="V1502" s="1418" t="str">
        <f>IF(Q$1069="Yes",M1078,"")</f>
        <v/>
      </c>
    </row>
    <row r="1503" spans="1:22" s="1411" customFormat="1" x14ac:dyDescent="0.25">
      <c r="A1503" s="858" t="s">
        <v>1494</v>
      </c>
      <c r="B1503" s="857" t="str">
        <f>IFERROR(_xlfn.CONCAT("K",('Configurable Tab'!$C$19+4)),"")</f>
        <v>K186</v>
      </c>
      <c r="C1503" s="857" t="str">
        <f>IFERROR(_xlfn.CONCAT("K",('Configurable Tab'!$C$19+5)),"")</f>
        <v>K187</v>
      </c>
      <c r="D1503" s="1418" t="s">
        <v>1367</v>
      </c>
      <c r="E1503" s="859" t="s">
        <v>1936</v>
      </c>
      <c r="F1503" s="1060"/>
      <c r="G1503" s="1412"/>
      <c r="H1503" s="1418"/>
      <c r="I1503" s="857" t="str">
        <f t="shared" si="263"/>
        <v>Net Prepaid Amount</v>
      </c>
      <c r="J1503" s="1418" t="str">
        <f t="shared" si="266"/>
        <v>F</v>
      </c>
      <c r="K1503" s="1418" t="str">
        <f t="shared" si="262"/>
        <v>Incentives</v>
      </c>
      <c r="L1503" s="1418"/>
      <c r="M1503" s="1418"/>
      <c r="N1503" s="1418"/>
      <c r="R1503" s="1418" t="s">
        <v>1719</v>
      </c>
      <c r="S1503" s="1418" t="s">
        <v>1139</v>
      </c>
      <c r="T1503" s="1418" t="str">
        <f>IF(Q$1052="Yes",M1062,"")</f>
        <v/>
      </c>
      <c r="U1503" s="1418" t="s">
        <v>1962</v>
      </c>
      <c r="V1503" s="1418"/>
    </row>
    <row r="1504" spans="1:22" s="1411" customFormat="1" x14ac:dyDescent="0.25">
      <c r="A1504" s="858" t="s">
        <v>1419</v>
      </c>
      <c r="B1504" s="857" t="str">
        <f>IFERROR(_xlfn.CONCAT("M",('Configurable Tab'!$C$19+4)),"")</f>
        <v>M186</v>
      </c>
      <c r="C1504" s="857" t="str">
        <f>IFERROR(_xlfn.CONCAT("M",('Configurable Tab'!$C$19+5)),"")</f>
        <v>M187</v>
      </c>
      <c r="D1504" s="1418" t="s">
        <v>1367</v>
      </c>
      <c r="E1504" s="859" t="s">
        <v>1936</v>
      </c>
      <c r="F1504" s="1060"/>
      <c r="G1504" s="1412"/>
      <c r="H1504" s="1418"/>
      <c r="I1504" s="857" t="str">
        <f t="shared" si="263"/>
        <v>Agreement Classification</v>
      </c>
      <c r="J1504" s="1418" t="str">
        <f t="shared" si="266"/>
        <v>F</v>
      </c>
      <c r="K1504" s="1418" t="str">
        <f t="shared" si="262"/>
        <v>Incentives</v>
      </c>
      <c r="L1504" s="1418"/>
      <c r="M1504" s="1418"/>
      <c r="N1504" s="1418"/>
      <c r="R1504" s="1418" t="s">
        <v>1719</v>
      </c>
      <c r="S1504" s="1418" t="s">
        <v>1139</v>
      </c>
      <c r="T1504" s="1418" t="str">
        <f>IF(Q$1052="Yes",M1065,"")</f>
        <v/>
      </c>
      <c r="U1504" s="1418" t="s">
        <v>1962</v>
      </c>
      <c r="V1504" s="1418" t="str">
        <f>IF(Q$1069="Yes",M1081,"")</f>
        <v/>
      </c>
    </row>
    <row r="1505" spans="1:26" s="1411" customFormat="1" x14ac:dyDescent="0.25">
      <c r="A1505" s="858" t="s">
        <v>1497</v>
      </c>
      <c r="B1505" s="857" t="str">
        <f>IFERROR(_xlfn.CONCAT("G",('Configurable Tab'!$C$19+7)),"")</f>
        <v>G189</v>
      </c>
      <c r="C1505" s="857" t="str">
        <f>IFERROR(_xlfn.CONCAT("G",('Configurable Tab'!$C$19+8)),"")</f>
        <v>G190</v>
      </c>
      <c r="D1505" s="1418" t="s">
        <v>1367</v>
      </c>
      <c r="E1505" s="859" t="s">
        <v>1936</v>
      </c>
      <c r="F1505" s="955"/>
      <c r="G1505" s="1428"/>
      <c r="H1505" s="1418"/>
      <c r="I1505" s="857" t="str">
        <f t="shared" si="263"/>
        <v>Previous Agreement ID</v>
      </c>
      <c r="J1505" s="1418" t="str">
        <f t="shared" si="266"/>
        <v>F</v>
      </c>
      <c r="K1505" s="1418" t="str">
        <f t="shared" si="262"/>
        <v>Incentives</v>
      </c>
      <c r="L1505" s="1418"/>
      <c r="M1505" s="1418"/>
      <c r="N1505" s="1418"/>
      <c r="R1505" s="1418" t="s">
        <v>1719</v>
      </c>
      <c r="S1505" s="1418" t="s">
        <v>1139</v>
      </c>
      <c r="T1505" s="1418" t="str">
        <f>IF(Q$1052="Yes",M1902,"")</f>
        <v/>
      </c>
      <c r="U1505" s="1418" t="s">
        <v>1962</v>
      </c>
      <c r="V1505" s="1418" t="str">
        <f>IF(Q$1069="Yes",M1907,"")</f>
        <v/>
      </c>
    </row>
    <row r="1506" spans="1:26" s="1411" customFormat="1" ht="30" x14ac:dyDescent="0.25">
      <c r="A1506" s="858" t="s">
        <v>1498</v>
      </c>
      <c r="B1506" s="857" t="str">
        <f>IFERROR(_xlfn.CONCAT("I",('Configurable Tab'!$C$19+7)),"")</f>
        <v>I189</v>
      </c>
      <c r="C1506" s="857" t="str">
        <f>IFERROR(_xlfn.CONCAT("I",('Configurable Tab'!$C$19+8)),"")</f>
        <v>I190</v>
      </c>
      <c r="D1506" s="1418" t="s">
        <v>1367</v>
      </c>
      <c r="E1506" s="859" t="s">
        <v>1936</v>
      </c>
      <c r="F1506" s="52"/>
      <c r="G1506" s="52"/>
      <c r="H1506" s="1418"/>
      <c r="I1506" s="857" t="str">
        <f t="shared" si="263"/>
        <v>Previous Agreement Incentive Reference Number</v>
      </c>
      <c r="J1506" s="1418" t="str">
        <f t="shared" si="266"/>
        <v>F</v>
      </c>
      <c r="K1506" s="1418" t="str">
        <f t="shared" si="262"/>
        <v>Incentives</v>
      </c>
      <c r="L1506" s="1418"/>
      <c r="M1506" s="1418"/>
      <c r="N1506" s="1418"/>
      <c r="R1506" s="1418" t="s">
        <v>1719</v>
      </c>
      <c r="S1506" s="1418" t="s">
        <v>1139</v>
      </c>
      <c r="T1506" s="1418" t="str">
        <f>IF(Q$1052="Yes",M1063,"")</f>
        <v/>
      </c>
      <c r="U1506" s="1418" t="s">
        <v>1962</v>
      </c>
      <c r="V1506" s="1418" t="str">
        <f>IF(Q$1069="Yes",M1079,"")</f>
        <v/>
      </c>
    </row>
    <row r="1507" spans="1:26" s="1411" customFormat="1" x14ac:dyDescent="0.25">
      <c r="A1507" s="858" t="s">
        <v>1141</v>
      </c>
      <c r="B1507" s="857" t="str">
        <f>IFERROR(_xlfn.CONCAT("K",('Configurable Tab'!$C$19+7)),"")</f>
        <v>K189</v>
      </c>
      <c r="C1507" s="857" t="str">
        <f>IFERROR(_xlfn.CONCAT("K",('Configurable Tab'!$C$19+8)),"")</f>
        <v>K190</v>
      </c>
      <c r="D1507" s="1418" t="s">
        <v>1367</v>
      </c>
      <c r="E1507" s="859" t="s">
        <v>1936</v>
      </c>
      <c r="F1507" s="1418"/>
      <c r="G1507" s="1418"/>
      <c r="H1507" s="1418"/>
      <c r="I1507" s="857" t="str">
        <f t="shared" si="263"/>
        <v>Previous Agreement Effective Date</v>
      </c>
      <c r="J1507" s="1418" t="str">
        <f t="shared" si="266"/>
        <v>F</v>
      </c>
      <c r="K1507" s="1418" t="str">
        <f t="shared" si="262"/>
        <v>Incentives</v>
      </c>
      <c r="L1507" s="1418"/>
      <c r="M1507" s="1418"/>
      <c r="N1507" s="1418"/>
      <c r="R1507" s="1418" t="s">
        <v>1719</v>
      </c>
      <c r="S1507" s="1418" t="s">
        <v>1139</v>
      </c>
      <c r="T1507" s="1418" t="str">
        <f>IF(Q$1052="Yes",M1064,"")</f>
        <v/>
      </c>
      <c r="U1507" s="1418" t="s">
        <v>1962</v>
      </c>
      <c r="V1507" s="1418" t="str">
        <f>IF(Q$1069="Yes",M1080,"")</f>
        <v/>
      </c>
    </row>
    <row r="1508" spans="1:26" s="1411" customFormat="1" x14ac:dyDescent="0.25">
      <c r="A1508" s="858" t="s">
        <v>1499</v>
      </c>
      <c r="B1508" s="857" t="str">
        <f>IFERROR(_xlfn.CONCAT("M",('Configurable Tab'!$C$19+7)),"")</f>
        <v>M189</v>
      </c>
      <c r="C1508" s="857" t="str">
        <f>IFERROR(_xlfn.CONCAT("M",('Configurable Tab'!$C$19+8)),"")</f>
        <v>M190</v>
      </c>
      <c r="D1508" s="1418" t="s">
        <v>1367</v>
      </c>
      <c r="E1508" s="859" t="s">
        <v>1936</v>
      </c>
      <c r="F1508" s="1418"/>
      <c r="G1508" s="1418"/>
      <c r="H1508" s="1418"/>
      <c r="I1508" s="857" t="str">
        <f t="shared" si="263"/>
        <v>Previous Agreement Expiration Date</v>
      </c>
      <c r="J1508" s="1418" t="str">
        <f t="shared" si="266"/>
        <v>F</v>
      </c>
      <c r="K1508" s="1418" t="str">
        <f t="shared" si="262"/>
        <v>Incentives</v>
      </c>
      <c r="L1508" s="1418"/>
      <c r="M1508" s="1418"/>
      <c r="N1508" s="1418"/>
      <c r="R1508" s="1418" t="s">
        <v>1719</v>
      </c>
      <c r="S1508" s="1418" t="s">
        <v>1139</v>
      </c>
      <c r="T1508" s="1418" t="str">
        <f>IF(Q$1052="Yes",M1066,"")</f>
        <v/>
      </c>
      <c r="U1508" s="1418" t="s">
        <v>1962</v>
      </c>
      <c r="V1508" s="1418" t="str">
        <f>IF(Q$1069="Yes",M1082,"")</f>
        <v/>
      </c>
    </row>
    <row r="1509" spans="1:26" s="1411" customFormat="1" x14ac:dyDescent="0.25">
      <c r="A1509" s="858" t="s">
        <v>1140</v>
      </c>
      <c r="B1509" s="857" t="str">
        <f>IFERROR(_xlfn.CONCAT("O",('Configurable Tab'!$C$19+7)),"")</f>
        <v>O189</v>
      </c>
      <c r="C1509" s="857" t="str">
        <f>IFERROR(_xlfn.CONCAT("O",('Configurable Tab'!$C$19+8)),"")</f>
        <v>O190</v>
      </c>
      <c r="D1509" s="1418" t="s">
        <v>1367</v>
      </c>
      <c r="E1509" s="859" t="s">
        <v>1936</v>
      </c>
      <c r="F1509" s="1418"/>
      <c r="G1509" s="1418"/>
      <c r="H1509" s="1418"/>
      <c r="I1509" s="857" t="str">
        <f t="shared" si="263"/>
        <v>Previous Prepaid Amount</v>
      </c>
      <c r="J1509" s="1418" t="str">
        <f t="shared" si="266"/>
        <v>F</v>
      </c>
      <c r="K1509" s="1418" t="str">
        <f t="shared" si="262"/>
        <v>Incentives</v>
      </c>
      <c r="L1509" s="1418"/>
      <c r="M1509" s="1418"/>
      <c r="N1509" s="1418"/>
      <c r="R1509" s="1418" t="s">
        <v>1719</v>
      </c>
      <c r="S1509" s="1418" t="s">
        <v>1139</v>
      </c>
      <c r="T1509" s="1418" t="str">
        <f>IF(Q$1052="Yes",M1067,"")</f>
        <v/>
      </c>
      <c r="U1509" s="1418" t="s">
        <v>1962</v>
      </c>
      <c r="V1509" s="1418" t="str">
        <f>IF(Q$1069="Yes",M1083,"")</f>
        <v/>
      </c>
    </row>
    <row r="1510" spans="1:26" s="1411" customFormat="1" x14ac:dyDescent="0.25">
      <c r="A1510" s="1435" t="s">
        <v>524</v>
      </c>
      <c r="B1510" s="857" t="str">
        <f>IFERROR(_xlfn.CONCAT("D",('Configurable Tab'!$C$20+1)),"")</f>
        <v>D194</v>
      </c>
      <c r="C1510" s="857" t="str">
        <f>IFERROR(_xlfn.CONCAT("E",('Configurable Tab'!$C$20+1)),"")</f>
        <v>E194</v>
      </c>
      <c r="D1510" s="1418" t="s">
        <v>1367</v>
      </c>
      <c r="E1510" s="859" t="s">
        <v>1936</v>
      </c>
      <c r="F1510" s="1418"/>
      <c r="G1510" s="1418"/>
      <c r="H1510" s="1418"/>
      <c r="I1510" s="857" t="str">
        <f t="shared" si="263"/>
        <v>Offer this Incentive?</v>
      </c>
      <c r="J1510" s="1418" t="str">
        <f>$Q$1&amp;IF(T$1510&lt;&gt;0,U1510,IF(T$1529&lt;&gt;0,U1529,IF(X$1510&lt;&gt;0,Y1510,"")))</f>
        <v>F</v>
      </c>
      <c r="K1510" s="1418" t="str">
        <f t="shared" si="262"/>
        <v>Incentives</v>
      </c>
      <c r="L1510" s="1418"/>
      <c r="M1510" s="1418"/>
      <c r="N1510" s="1418"/>
      <c r="O1510" s="1411" t="s">
        <v>1963</v>
      </c>
      <c r="P1510" s="1411">
        <f>'Configurable Tab'!E20</f>
        <v>0</v>
      </c>
      <c r="Q1510" s="857" t="str">
        <f>IFERROR(_xlfn.CONCAT("C",('Configurable Tab'!$C20+1)),"")</f>
        <v>C194</v>
      </c>
      <c r="R1510" s="1414" t="s">
        <v>1105</v>
      </c>
      <c r="S1510" s="1418" t="s">
        <v>1633</v>
      </c>
      <c r="T1510" s="1418">
        <f>IF(Q$1085="Yes",IF(Q$1095="Yes",2,1),0)</f>
        <v>0</v>
      </c>
      <c r="U1510" s="1418" t="str">
        <f>IF(Q$1085="Yes",M1085,"")</f>
        <v/>
      </c>
      <c r="V1510" s="1418" t="str">
        <f>IF(Q$1095="Yes",M1095,"")</f>
        <v/>
      </c>
      <c r="W1510" s="1418" t="s">
        <v>1636</v>
      </c>
      <c r="X1510" s="1418">
        <f>IF(Q$1105="Yes",IF(Q$1134="Yes",2,1),0)</f>
        <v>0</v>
      </c>
      <c r="Y1510" s="1418" t="str">
        <f>IF(Q$1105="Yes",M1105,"")</f>
        <v/>
      </c>
      <c r="Z1510" s="1418" t="str">
        <f>IF(Q$1134="Yes",M1134,"")</f>
        <v/>
      </c>
    </row>
    <row r="1511" spans="1:26" s="1411" customFormat="1" x14ac:dyDescent="0.25">
      <c r="A1511" s="1436" t="s">
        <v>1400</v>
      </c>
      <c r="B1511" s="857" t="str">
        <f>IFERROR(_xlfn.CONCAT("D",('Configurable Tab'!$C$20+2)),"")</f>
        <v>D195</v>
      </c>
      <c r="C1511" s="857" t="str">
        <f>IFERROR(_xlfn.CONCAT("E",('Configurable Tab'!$C$20+2)),"")</f>
        <v>E195</v>
      </c>
      <c r="D1511" s="1418" t="s">
        <v>1367</v>
      </c>
      <c r="E1511" s="859" t="s">
        <v>1936</v>
      </c>
      <c r="F1511" s="1418"/>
      <c r="G1511" s="1418"/>
      <c r="H1511" s="1418"/>
      <c r="I1511" s="857" t="str">
        <f t="shared" si="263"/>
        <v>Incentive Type</v>
      </c>
      <c r="J1511" s="1418" t="str">
        <f t="shared" ref="J1511:J1528" si="267">$Q$1&amp;IF(T$1510&lt;&gt;0,U1511,IF(T$1529&lt;&gt;0,U1530,IF(X$1510&lt;&gt;0,Y1511,"")))</f>
        <v>F</v>
      </c>
      <c r="K1511" s="1418" t="str">
        <f t="shared" si="262"/>
        <v>Incentives</v>
      </c>
      <c r="L1511" s="1418"/>
      <c r="M1511" s="1418"/>
      <c r="N1511" s="1418"/>
      <c r="R1511" s="1418" t="s">
        <v>1105</v>
      </c>
      <c r="S1511" s="1418" t="s">
        <v>1633</v>
      </c>
      <c r="U1511" s="1418" t="str">
        <f>IF(Q$1085="Yes",M1086,"")</f>
        <v/>
      </c>
      <c r="V1511" s="1418" t="str">
        <f>IF(Q$1095="Yes",M1096,"")</f>
        <v/>
      </c>
      <c r="W1511" s="1418" t="s">
        <v>1636</v>
      </c>
      <c r="Y1511" s="1418" t="str">
        <f>IF(Q$1105="Yes",M1106,"")</f>
        <v/>
      </c>
      <c r="Z1511" s="1418" t="str">
        <f>IF(Q$1134="Yes",M1135,"")</f>
        <v/>
      </c>
    </row>
    <row r="1512" spans="1:26" s="1411" customFormat="1" x14ac:dyDescent="0.25">
      <c r="A1512" s="1436" t="s">
        <v>1402</v>
      </c>
      <c r="B1512" s="857" t="str">
        <f>IFERROR(_xlfn.CONCAT("D",('Configurable Tab'!$C$20+4)),"")</f>
        <v>D197</v>
      </c>
      <c r="C1512" s="857" t="str">
        <f>IFERROR(_xlfn.CONCAT("E",('Configurable Tab'!$C$20+4)),"")</f>
        <v>E197</v>
      </c>
      <c r="D1512" s="1418" t="s">
        <v>1367</v>
      </c>
      <c r="E1512" s="859" t="s">
        <v>1936</v>
      </c>
      <c r="F1512" s="1418"/>
      <c r="G1512" s="1418"/>
      <c r="H1512" s="1418"/>
      <c r="I1512" s="857" t="str">
        <f t="shared" si="263"/>
        <v>Incentive Effective Date</v>
      </c>
      <c r="J1512" s="1418" t="str">
        <f t="shared" si="267"/>
        <v>F</v>
      </c>
      <c r="K1512" s="1418" t="str">
        <f t="shared" si="262"/>
        <v>Incentives</v>
      </c>
      <c r="L1512" s="1418"/>
      <c r="M1512" s="1418"/>
      <c r="N1512" s="1418"/>
      <c r="R1512" s="1418" t="s">
        <v>1105</v>
      </c>
      <c r="S1512" s="1418" t="s">
        <v>1633</v>
      </c>
      <c r="U1512" s="1418" t="str">
        <f>IF(Q$1085="Yes",M1089,"")</f>
        <v/>
      </c>
      <c r="V1512" s="1418" t="str">
        <f>IF(Q$1095="Yes",M1099,"")</f>
        <v/>
      </c>
      <c r="W1512" s="1418" t="s">
        <v>1636</v>
      </c>
      <c r="Y1512" s="1418" t="str">
        <f>IF(Q$1105="Yes",M1112,"")</f>
        <v/>
      </c>
      <c r="Z1512" s="1418" t="str">
        <f>IF(Q$1134="Yes",M1141,"")</f>
        <v/>
      </c>
    </row>
    <row r="1513" spans="1:26" s="1411" customFormat="1" x14ac:dyDescent="0.25">
      <c r="A1513" s="1436" t="s">
        <v>1403</v>
      </c>
      <c r="B1513" s="857" t="str">
        <f>IFERROR(_xlfn.CONCAT("D",('Configurable Tab'!$C$20+5)),"")</f>
        <v>D198</v>
      </c>
      <c r="C1513" s="857" t="str">
        <f>IFERROR(_xlfn.CONCAT("E",('Configurable Tab'!$C$20+5)),"")</f>
        <v>E198</v>
      </c>
      <c r="D1513" s="1418" t="s">
        <v>1367</v>
      </c>
      <c r="E1513" s="859" t="s">
        <v>1936</v>
      </c>
      <c r="F1513" s="1418"/>
      <c r="G1513" s="1418"/>
      <c r="H1513" s="1418"/>
      <c r="I1513" s="857" t="str">
        <f t="shared" si="263"/>
        <v>Incentive Expiration Date</v>
      </c>
      <c r="J1513" s="1418" t="str">
        <f t="shared" si="267"/>
        <v>F</v>
      </c>
      <c r="K1513" s="1418" t="str">
        <f t="shared" si="262"/>
        <v>Incentives</v>
      </c>
      <c r="L1513" s="1418"/>
      <c r="M1513" s="1418"/>
      <c r="N1513" s="1418"/>
      <c r="R1513" s="1418" t="s">
        <v>1105</v>
      </c>
      <c r="S1513" s="1418" t="s">
        <v>1633</v>
      </c>
      <c r="U1513" s="1418" t="str">
        <f>IF(Q$1085="Yes",M1090,"")</f>
        <v/>
      </c>
      <c r="V1513" s="1418" t="str">
        <f>IF(Q$1095="Yes",M1100,"")</f>
        <v/>
      </c>
      <c r="W1513" s="1418" t="s">
        <v>1636</v>
      </c>
      <c r="Y1513" s="1418" t="str">
        <f>IF(Q$1105="Yes",M1113,"")</f>
        <v/>
      </c>
      <c r="Z1513" s="1418" t="str">
        <f>IF(Q$1134="Yes",M1142,"")</f>
        <v/>
      </c>
    </row>
    <row r="1514" spans="1:26" s="1411" customFormat="1" x14ac:dyDescent="0.25">
      <c r="A1514" s="1436" t="s">
        <v>1397</v>
      </c>
      <c r="B1514" s="857" t="str">
        <f>IFERROR(_xlfn.CONCAT("G",('Configurable Tab'!$C$20+1)),"")</f>
        <v>G194</v>
      </c>
      <c r="C1514" s="857" t="str">
        <f>IFERROR(_xlfn.CONCAT("G",('Configurable Tab'!$C$20+2)),"")</f>
        <v>G195</v>
      </c>
      <c r="D1514" s="1418" t="s">
        <v>1367</v>
      </c>
      <c r="E1514" s="859" t="s">
        <v>1936</v>
      </c>
      <c r="F1514" s="1418"/>
      <c r="G1514" s="1418"/>
      <c r="H1514" s="1418"/>
      <c r="I1514" s="857" t="str">
        <f t="shared" si="263"/>
        <v>Incentive Period</v>
      </c>
      <c r="J1514" s="1418" t="str">
        <f t="shared" si="267"/>
        <v>F</v>
      </c>
      <c r="K1514" s="1418" t="str">
        <f t="shared" si="262"/>
        <v>Incentives</v>
      </c>
      <c r="L1514" s="1418"/>
      <c r="M1514" s="1418"/>
      <c r="N1514" s="1418"/>
      <c r="R1514" s="1418" t="s">
        <v>1105</v>
      </c>
      <c r="W1514" s="1418" t="s">
        <v>1636</v>
      </c>
      <c r="Y1514" s="1418" t="str">
        <f>IF(Q$1105="Yes",M1107,"")</f>
        <v/>
      </c>
      <c r="Z1514" s="1418" t="str">
        <f>IF(Q$1134="Yes",M1136,"")</f>
        <v/>
      </c>
    </row>
    <row r="1515" spans="1:26" s="1411" customFormat="1" x14ac:dyDescent="0.25">
      <c r="A1515" s="1436" t="s">
        <v>1398</v>
      </c>
      <c r="B1515" s="857" t="str">
        <f>IFERROR(_xlfn.CONCAT("I",('Configurable Tab'!$C$20+1)),"")</f>
        <v>I194</v>
      </c>
      <c r="C1515" s="857" t="str">
        <f>IFERROR(_xlfn.CONCAT("I",('Configurable Tab'!$C$20+2)),"")</f>
        <v>I195</v>
      </c>
      <c r="D1515" s="1418" t="s">
        <v>1367</v>
      </c>
      <c r="E1515" s="859" t="s">
        <v>1936</v>
      </c>
      <c r="F1515" s="1418"/>
      <c r="G1515" s="1418"/>
      <c r="H1515" s="1418"/>
      <c r="I1515" s="857" t="str">
        <f t="shared" si="263"/>
        <v>Payment Method</v>
      </c>
      <c r="J1515" s="1418" t="str">
        <f t="shared" si="267"/>
        <v>F</v>
      </c>
      <c r="K1515" s="1418" t="str">
        <f t="shared" si="262"/>
        <v>Incentives</v>
      </c>
      <c r="L1515" s="1418"/>
      <c r="M1515" s="1418"/>
      <c r="N1515" s="1418"/>
      <c r="R1515" s="1418" t="s">
        <v>1105</v>
      </c>
      <c r="S1515" s="1418" t="s">
        <v>1633</v>
      </c>
      <c r="U1515" s="1418" t="str">
        <f>IF(Q$1085="Yes",M1087,"")</f>
        <v/>
      </c>
      <c r="V1515" s="1418" t="str">
        <f>IF(Q$1095="Yes",M1097,"")</f>
        <v/>
      </c>
      <c r="W1515" s="1418" t="s">
        <v>1636</v>
      </c>
      <c r="Y1515" s="1418" t="str">
        <f>IF(Q$1105="Yes",M1108,"")</f>
        <v/>
      </c>
      <c r="Z1515" s="1418" t="str">
        <f>IF(Q$1134="Yes",M1137,"")</f>
        <v/>
      </c>
    </row>
    <row r="1516" spans="1:26" s="1411" customFormat="1" x14ac:dyDescent="0.25">
      <c r="A1516" s="1436" t="s">
        <v>1399</v>
      </c>
      <c r="B1516" s="857" t="str">
        <f>IFERROR(_xlfn.CONCAT("M",('Configurable Tab'!$C$20+1)),"")</f>
        <v>M194</v>
      </c>
      <c r="C1516" s="857" t="str">
        <f>IFERROR(_xlfn.CONCAT("M",('Configurable Tab'!$C$20+2)),"")</f>
        <v>M195</v>
      </c>
      <c r="D1516" s="1418" t="s">
        <v>1367</v>
      </c>
      <c r="E1516" s="859" t="s">
        <v>1936</v>
      </c>
      <c r="F1516" s="1418"/>
      <c r="G1516" s="1418"/>
      <c r="H1516" s="1418"/>
      <c r="I1516" s="857" t="str">
        <f t="shared" si="263"/>
        <v>AP/AR Vendor Number</v>
      </c>
      <c r="J1516" s="1418" t="str">
        <f t="shared" si="267"/>
        <v>F</v>
      </c>
      <c r="K1516" s="1418" t="str">
        <f t="shared" si="262"/>
        <v>Incentives</v>
      </c>
      <c r="L1516" s="1418"/>
      <c r="M1516" s="1418"/>
      <c r="N1516" s="1418"/>
      <c r="R1516" s="1418" t="s">
        <v>1105</v>
      </c>
      <c r="S1516" s="1418" t="s">
        <v>1633</v>
      </c>
      <c r="U1516" s="1418" t="str">
        <f>IF(Q$1085="Yes",M1088,"")</f>
        <v/>
      </c>
      <c r="V1516" s="1418" t="str">
        <f>IF(Q$1095="Yes",M1098,"")</f>
        <v/>
      </c>
      <c r="W1516" s="1418" t="s">
        <v>1636</v>
      </c>
      <c r="Y1516" s="1418" t="str">
        <f>IF(Q$1105="Yes",M1109,"")</f>
        <v/>
      </c>
      <c r="Z1516" s="1418" t="str">
        <f>IF(Q$1134="Yes",M1138,"")</f>
        <v/>
      </c>
    </row>
    <row r="1517" spans="1:26" s="1411" customFormat="1" x14ac:dyDescent="0.25">
      <c r="A1517" s="1436" t="s">
        <v>1413</v>
      </c>
      <c r="B1517" s="857" t="str">
        <f>IFERROR(_xlfn.CONCAT("G",('Configurable Tab'!$C$20+4)),"")</f>
        <v>G197</v>
      </c>
      <c r="C1517" s="857" t="str">
        <f>IFERROR(_xlfn.CONCAT("G",('Configurable Tab'!$C$20+5)),"")</f>
        <v>G198</v>
      </c>
      <c r="D1517" s="1418" t="s">
        <v>1367</v>
      </c>
      <c r="E1517" s="859" t="s">
        <v>1936</v>
      </c>
      <c r="F1517" s="1412"/>
      <c r="G1517" s="1428"/>
      <c r="H1517" s="1418"/>
      <c r="I1517" s="857" t="str">
        <f t="shared" si="263"/>
        <v>FF Payment Amount</v>
      </c>
      <c r="J1517" s="1418" t="str">
        <f t="shared" si="267"/>
        <v>F</v>
      </c>
      <c r="K1517" s="1418" t="str">
        <f t="shared" si="262"/>
        <v>Incentives</v>
      </c>
      <c r="L1517" s="1418"/>
      <c r="M1517" s="1418"/>
      <c r="N1517" s="1418"/>
      <c r="R1517" s="1418" t="s">
        <v>1105</v>
      </c>
      <c r="S1517" s="1418" t="s">
        <v>1633</v>
      </c>
      <c r="U1517" s="1418" t="str">
        <f>IF(Q$1085="Yes",M1093,"")</f>
        <v/>
      </c>
      <c r="V1517" s="1418" t="str">
        <f>IF(Q$1095="Yes",M1103,"")</f>
        <v/>
      </c>
      <c r="W1517" s="1418" t="s">
        <v>1636</v>
      </c>
      <c r="Y1517" s="1418" t="str">
        <f>IF(Q$1105="Yes",M1117,"")</f>
        <v/>
      </c>
      <c r="Z1517" s="1418" t="str">
        <f>IF(Q$1134="Yes",M1146,"")</f>
        <v/>
      </c>
    </row>
    <row r="1518" spans="1:26" s="1411" customFormat="1" x14ac:dyDescent="0.25">
      <c r="A1518" s="1436" t="s">
        <v>1406</v>
      </c>
      <c r="B1518" s="857" t="str">
        <f>IFERROR(_xlfn.CONCAT("G",('Configurable Tab'!$C$20+7)),"")</f>
        <v>G200</v>
      </c>
      <c r="C1518" s="857" t="str">
        <f>IFERROR(_xlfn.CONCAT("G",('Configurable Tab'!$C$20+8)),"")</f>
        <v>G201</v>
      </c>
      <c r="D1518" s="1418" t="s">
        <v>1367</v>
      </c>
      <c r="E1518" s="859" t="s">
        <v>1936</v>
      </c>
      <c r="F1518" s="1418"/>
      <c r="G1518" s="1418"/>
      <c r="H1518" s="1418"/>
      <c r="I1518" s="857" t="str">
        <f t="shared" si="263"/>
        <v>Rate % of Sales</v>
      </c>
      <c r="J1518" s="1418" t="str">
        <f t="shared" si="267"/>
        <v>F</v>
      </c>
      <c r="K1518" s="1418" t="str">
        <f t="shared" si="262"/>
        <v>Incentives</v>
      </c>
      <c r="L1518" s="1418"/>
      <c r="M1518" s="1418"/>
      <c r="N1518" s="1418"/>
      <c r="R1518" s="1418" t="s">
        <v>1105</v>
      </c>
    </row>
    <row r="1519" spans="1:26" s="1411" customFormat="1" x14ac:dyDescent="0.25">
      <c r="A1519" s="1436" t="s">
        <v>728</v>
      </c>
      <c r="B1519" s="857" t="str">
        <f>IFERROR(_xlfn.CONCAT("K",('Configurable Tab'!$C$20+4)),"")</f>
        <v>K197</v>
      </c>
      <c r="C1519" s="857" t="str">
        <f>IFERROR(_xlfn.CONCAT("K",('Configurable Tab'!$C$20+5)),"")</f>
        <v>K198</v>
      </c>
      <c r="D1519" s="1418" t="s">
        <v>1367</v>
      </c>
      <c r="E1519" s="859" t="s">
        <v>1936</v>
      </c>
      <c r="F1519" s="1418"/>
      <c r="G1519" s="1418"/>
      <c r="H1519" s="1418"/>
      <c r="I1519" s="857" t="str">
        <f t="shared" si="263"/>
        <v>Payment Amount</v>
      </c>
      <c r="J1519" s="1418" t="str">
        <f t="shared" si="267"/>
        <v>F</v>
      </c>
      <c r="K1519" s="1418" t="str">
        <f t="shared" si="262"/>
        <v>Incentives</v>
      </c>
      <c r="L1519" s="1418"/>
      <c r="M1519" s="1418"/>
      <c r="N1519" s="1418"/>
      <c r="R1519" s="1418" t="s">
        <v>1105</v>
      </c>
      <c r="W1519" s="1418" t="s">
        <v>1636</v>
      </c>
      <c r="Y1519" s="1418" t="str">
        <f>IF(Q$1105="Yes",M1119,"")</f>
        <v/>
      </c>
      <c r="Z1519" s="1418" t="str">
        <f>IF(Q$1134="Yes",M1148,"")</f>
        <v/>
      </c>
    </row>
    <row r="1520" spans="1:26" s="1411" customFormat="1" x14ac:dyDescent="0.25">
      <c r="A1520" s="1436" t="s">
        <v>728</v>
      </c>
      <c r="B1520" s="857" t="str">
        <f>IFERROR(_xlfn.CONCAT("K",('Configurable Tab'!$C$20+4)),"")</f>
        <v>K197</v>
      </c>
      <c r="C1520" s="857" t="str">
        <f>IFERROR(_xlfn.CONCAT("K",('Configurable Tab'!$C$20+6)),"")</f>
        <v>K199</v>
      </c>
      <c r="D1520" s="1418" t="s">
        <v>1367</v>
      </c>
      <c r="E1520" s="859" t="s">
        <v>1936</v>
      </c>
      <c r="F1520" s="1418"/>
      <c r="G1520" s="1418"/>
      <c r="H1520" s="1418"/>
      <c r="I1520" s="857" t="str">
        <f t="shared" si="263"/>
        <v>Payment Amount</v>
      </c>
      <c r="J1520" s="1418" t="str">
        <f t="shared" si="267"/>
        <v>F</v>
      </c>
      <c r="K1520" s="1418" t="str">
        <f t="shared" si="262"/>
        <v>Incentives</v>
      </c>
      <c r="L1520" s="1418"/>
      <c r="M1520" s="1418"/>
      <c r="N1520" s="1418"/>
      <c r="R1520" s="1418" t="s">
        <v>1105</v>
      </c>
      <c r="W1520" s="1418" t="s">
        <v>1636</v>
      </c>
      <c r="Y1520" s="1418" t="str">
        <f>IF(Q$1105="Yes",M1122,"")</f>
        <v/>
      </c>
      <c r="Z1520" s="1418" t="str">
        <f>IF(Q$1134="Yes",M1151,"")</f>
        <v/>
      </c>
    </row>
    <row r="1521" spans="1:26" s="1411" customFormat="1" x14ac:dyDescent="0.25">
      <c r="A1521" s="1436" t="s">
        <v>728</v>
      </c>
      <c r="B1521" s="857" t="str">
        <f>IFERROR(_xlfn.CONCAT("K",('Configurable Tab'!$C$20+4)),"")</f>
        <v>K197</v>
      </c>
      <c r="C1521" s="857" t="str">
        <f>IFERROR(_xlfn.CONCAT("K",('Configurable Tab'!$C$20+7)),"")</f>
        <v>K200</v>
      </c>
      <c r="D1521" s="1418" t="s">
        <v>1367</v>
      </c>
      <c r="E1521" s="859" t="s">
        <v>1936</v>
      </c>
      <c r="F1521" s="1418"/>
      <c r="G1521" s="1418"/>
      <c r="H1521" s="1418"/>
      <c r="I1521" s="857" t="str">
        <f t="shared" si="263"/>
        <v>Payment Amount</v>
      </c>
      <c r="J1521" s="1418" t="str">
        <f t="shared" si="267"/>
        <v>F</v>
      </c>
      <c r="K1521" s="1418" t="str">
        <f t="shared" si="262"/>
        <v>Incentives</v>
      </c>
      <c r="L1521" s="1418"/>
      <c r="M1521" s="1418"/>
      <c r="N1521" s="1418"/>
      <c r="R1521" s="1418" t="s">
        <v>1105</v>
      </c>
      <c r="W1521" s="1418" t="s">
        <v>1636</v>
      </c>
      <c r="Y1521" s="1418" t="str">
        <f>IF(Q$1105="Yes",M1125,"")</f>
        <v/>
      </c>
      <c r="Z1521" s="1418" t="str">
        <f>IF(Q$1134="Yes",M1154,"")</f>
        <v/>
      </c>
    </row>
    <row r="1522" spans="1:26" s="1411" customFormat="1" x14ac:dyDescent="0.25">
      <c r="A1522" s="1436" t="s">
        <v>728</v>
      </c>
      <c r="B1522" s="857" t="str">
        <f>IFERROR(_xlfn.CONCAT("K",('Configurable Tab'!$C$20+4)),"")</f>
        <v>K197</v>
      </c>
      <c r="C1522" s="857" t="str">
        <f>IFERROR(_xlfn.CONCAT("K",('Configurable Tab'!$C$20+8)),"")</f>
        <v>K201</v>
      </c>
      <c r="D1522" s="1418" t="s">
        <v>1367</v>
      </c>
      <c r="E1522" s="859" t="s">
        <v>1936</v>
      </c>
      <c r="F1522" s="1418"/>
      <c r="G1522" s="1418"/>
      <c r="H1522" s="1418"/>
      <c r="I1522" s="857" t="str">
        <f t="shared" si="263"/>
        <v>Payment Amount</v>
      </c>
      <c r="J1522" s="1418" t="str">
        <f t="shared" si="267"/>
        <v>F</v>
      </c>
      <c r="K1522" s="1418" t="str">
        <f t="shared" si="262"/>
        <v>Incentives</v>
      </c>
      <c r="L1522" s="1418"/>
      <c r="M1522" s="1418"/>
      <c r="N1522" s="1418"/>
      <c r="R1522" s="1418" t="s">
        <v>1105</v>
      </c>
      <c r="W1522" s="1418" t="s">
        <v>1636</v>
      </c>
      <c r="Y1522" s="1418" t="str">
        <f>IF(Q$1105="Yes",M1128,"")</f>
        <v/>
      </c>
      <c r="Z1522" s="1418" t="str">
        <f>IF(Q$1134="Yes",M1157,"")</f>
        <v/>
      </c>
    </row>
    <row r="1523" spans="1:26" s="1411" customFormat="1" x14ac:dyDescent="0.25">
      <c r="A1523" s="1436" t="s">
        <v>728</v>
      </c>
      <c r="B1523" s="857" t="str">
        <f>IFERROR(_xlfn.CONCAT("K",('Configurable Tab'!$C$20+4)),"")</f>
        <v>K197</v>
      </c>
      <c r="C1523" s="857" t="str">
        <f>IFERROR(_xlfn.CONCAT("K",('Configurable Tab'!$C$20+9)),"")</f>
        <v>K202</v>
      </c>
      <c r="D1523" s="1418" t="s">
        <v>1367</v>
      </c>
      <c r="E1523" s="859" t="s">
        <v>1936</v>
      </c>
      <c r="F1523" s="1418"/>
      <c r="G1523" s="1418"/>
      <c r="H1523" s="1418"/>
      <c r="I1523" s="857" t="str">
        <f t="shared" si="263"/>
        <v>Payment Amount</v>
      </c>
      <c r="J1523" s="1418" t="str">
        <f t="shared" si="267"/>
        <v>F</v>
      </c>
      <c r="K1523" s="1418" t="str">
        <f t="shared" si="262"/>
        <v>Incentives</v>
      </c>
      <c r="L1523" s="1418"/>
      <c r="M1523" s="1418"/>
      <c r="N1523" s="1418"/>
      <c r="R1523" s="1418" t="s">
        <v>1105</v>
      </c>
      <c r="W1523" s="1418" t="s">
        <v>1636</v>
      </c>
      <c r="Y1523" s="1418" t="str">
        <f>IF(Q$1105="Yes",M1131,"")</f>
        <v/>
      </c>
      <c r="Z1523" s="1418" t="str">
        <f>IF(Q$1134="Yes",M1160,"")</f>
        <v/>
      </c>
    </row>
    <row r="1524" spans="1:26" s="1411" customFormat="1" x14ac:dyDescent="0.25">
      <c r="A1524" s="1436" t="s">
        <v>1501</v>
      </c>
      <c r="B1524" s="857" t="str">
        <f>IFERROR(_xlfn.CONCAT("M",('Configurable Tab'!$C$20+4)),"")</f>
        <v>M197</v>
      </c>
      <c r="C1524" s="857" t="str">
        <f>IFERROR(_xlfn.CONCAT("M",('Configurable Tab'!$C$20+5)),"")</f>
        <v>M198</v>
      </c>
      <c r="D1524" s="1418" t="s">
        <v>1367</v>
      </c>
      <c r="E1524" s="859" t="s">
        <v>1936</v>
      </c>
      <c r="F1524" s="1418"/>
      <c r="G1524" s="1418"/>
      <c r="H1524" s="1418"/>
      <c r="I1524" s="857" t="str">
        <f t="shared" si="263"/>
        <v>Purchase Commitment</v>
      </c>
      <c r="J1524" s="1418" t="str">
        <f t="shared" si="267"/>
        <v>F</v>
      </c>
      <c r="K1524" s="1418" t="str">
        <f t="shared" si="262"/>
        <v>Incentives</v>
      </c>
      <c r="L1524" s="1418"/>
      <c r="M1524" s="1418"/>
      <c r="N1524" s="1418"/>
      <c r="R1524" s="1418" t="s">
        <v>1105</v>
      </c>
      <c r="W1524" s="1418" t="s">
        <v>1636</v>
      </c>
      <c r="Y1524" s="1418" t="str">
        <f>IF(Q$1105="Yes",M1120,"")</f>
        <v/>
      </c>
      <c r="Z1524" s="1418" t="str">
        <f>IF(Q$1134="Yes",M1149,"")</f>
        <v/>
      </c>
    </row>
    <row r="1525" spans="1:26" s="1411" customFormat="1" x14ac:dyDescent="0.25">
      <c r="A1525" s="1436" t="s">
        <v>1501</v>
      </c>
      <c r="B1525" s="857" t="str">
        <f>IFERROR(_xlfn.CONCAT("M",('Configurable Tab'!$C$20+4)),"")</f>
        <v>M197</v>
      </c>
      <c r="C1525" s="857" t="str">
        <f>IFERROR(_xlfn.CONCAT("M",('Configurable Tab'!$C$20+6)),"")</f>
        <v>M199</v>
      </c>
      <c r="D1525" s="1418" t="s">
        <v>1367</v>
      </c>
      <c r="E1525" s="859" t="s">
        <v>1936</v>
      </c>
      <c r="F1525" s="1418"/>
      <c r="G1525" s="1418"/>
      <c r="H1525" s="1418"/>
      <c r="I1525" s="857" t="str">
        <f t="shared" si="263"/>
        <v>Purchase Commitment</v>
      </c>
      <c r="J1525" s="1418" t="str">
        <f t="shared" si="267"/>
        <v>F</v>
      </c>
      <c r="K1525" s="1418" t="str">
        <f t="shared" si="262"/>
        <v>Incentives</v>
      </c>
      <c r="L1525" s="1418"/>
      <c r="M1525" s="1418"/>
      <c r="N1525" s="1418"/>
      <c r="R1525" s="1418" t="s">
        <v>1105</v>
      </c>
      <c r="W1525" s="1418" t="s">
        <v>1636</v>
      </c>
      <c r="Y1525" s="1418" t="str">
        <f>IF(Q$1105="Yes",M1123,"")</f>
        <v/>
      </c>
      <c r="Z1525" s="1418" t="str">
        <f>IF(Q$1134="Yes",M1152,"")</f>
        <v/>
      </c>
    </row>
    <row r="1526" spans="1:26" s="1411" customFormat="1" x14ac:dyDescent="0.25">
      <c r="A1526" s="1436" t="s">
        <v>1501</v>
      </c>
      <c r="B1526" s="857" t="str">
        <f>IFERROR(_xlfn.CONCAT("M",('Configurable Tab'!$C$20+4)),"")</f>
        <v>M197</v>
      </c>
      <c r="C1526" s="857" t="str">
        <f>IFERROR(_xlfn.CONCAT("M",('Configurable Tab'!$C$20+7)),"")</f>
        <v>M200</v>
      </c>
      <c r="D1526" s="1418" t="s">
        <v>1367</v>
      </c>
      <c r="E1526" s="859" t="s">
        <v>1936</v>
      </c>
      <c r="F1526" s="1418"/>
      <c r="G1526" s="1418"/>
      <c r="H1526" s="1418"/>
      <c r="I1526" s="857" t="str">
        <f t="shared" si="263"/>
        <v>Purchase Commitment</v>
      </c>
      <c r="J1526" s="1418" t="str">
        <f t="shared" si="267"/>
        <v>F</v>
      </c>
      <c r="K1526" s="1418" t="str">
        <f t="shared" si="262"/>
        <v>Incentives</v>
      </c>
      <c r="L1526" s="1418"/>
      <c r="M1526" s="1418"/>
      <c r="N1526" s="1418"/>
      <c r="R1526" s="1418" t="s">
        <v>1105</v>
      </c>
      <c r="W1526" s="1418" t="s">
        <v>1636</v>
      </c>
      <c r="Y1526" s="1418" t="str">
        <f>IF(Q$1105="Yes",M1126,"")</f>
        <v/>
      </c>
      <c r="Z1526" s="1418" t="str">
        <f>IF(Q$1134="Yes",M1155,"")</f>
        <v/>
      </c>
    </row>
    <row r="1527" spans="1:26" s="1411" customFormat="1" x14ac:dyDescent="0.25">
      <c r="A1527" s="1436" t="s">
        <v>1501</v>
      </c>
      <c r="B1527" s="857" t="str">
        <f>IFERROR(_xlfn.CONCAT("M",('Configurable Tab'!$C$20+4)),"")</f>
        <v>M197</v>
      </c>
      <c r="C1527" s="857" t="str">
        <f>IFERROR(_xlfn.CONCAT("M",('Configurable Tab'!$C$20+8)),"")</f>
        <v>M201</v>
      </c>
      <c r="D1527" s="1418" t="s">
        <v>1367</v>
      </c>
      <c r="E1527" s="859" t="s">
        <v>1936</v>
      </c>
      <c r="F1527" s="1418"/>
      <c r="G1527" s="1418"/>
      <c r="H1527" s="1418"/>
      <c r="I1527" s="857" t="str">
        <f t="shared" si="263"/>
        <v>Purchase Commitment</v>
      </c>
      <c r="J1527" s="1418" t="str">
        <f t="shared" si="267"/>
        <v>F</v>
      </c>
      <c r="K1527" s="1418" t="str">
        <f t="shared" si="262"/>
        <v>Incentives</v>
      </c>
      <c r="L1527" s="1418"/>
      <c r="M1527" s="1418"/>
      <c r="N1527" s="1418"/>
      <c r="R1527" s="1418" t="s">
        <v>1105</v>
      </c>
      <c r="W1527" s="1418" t="s">
        <v>1636</v>
      </c>
      <c r="Y1527" s="1418" t="str">
        <f>IF(Q$1105="Yes",M1129,"")</f>
        <v/>
      </c>
      <c r="Z1527" s="1418" t="str">
        <f>IF(Q$1134="Yes",M1158,"")</f>
        <v/>
      </c>
    </row>
    <row r="1528" spans="1:26" s="1411" customFormat="1" x14ac:dyDescent="0.25">
      <c r="A1528" s="1436" t="s">
        <v>1501</v>
      </c>
      <c r="B1528" s="857" t="str">
        <f>IFERROR(_xlfn.CONCAT("M",('Configurable Tab'!$C$20+4)),"")</f>
        <v>M197</v>
      </c>
      <c r="C1528" s="857" t="str">
        <f>IFERROR(_xlfn.CONCAT("M",('Configurable Tab'!$C$20+9)),"")</f>
        <v>M202</v>
      </c>
      <c r="D1528" s="1418" t="s">
        <v>1367</v>
      </c>
      <c r="E1528" s="859" t="s">
        <v>1936</v>
      </c>
      <c r="F1528" s="1418"/>
      <c r="G1528" s="1418"/>
      <c r="H1528" s="1418"/>
      <c r="I1528" s="857" t="str">
        <f t="shared" si="263"/>
        <v>Purchase Commitment</v>
      </c>
      <c r="J1528" s="1418" t="str">
        <f t="shared" si="267"/>
        <v>F</v>
      </c>
      <c r="K1528" s="1418" t="str">
        <f t="shared" si="262"/>
        <v>Incentives</v>
      </c>
      <c r="L1528" s="1418"/>
      <c r="M1528" s="1418"/>
      <c r="N1528" s="1418"/>
      <c r="R1528" s="1418" t="s">
        <v>1105</v>
      </c>
      <c r="W1528" s="1418" t="s">
        <v>1636</v>
      </c>
      <c r="Y1528" s="1418" t="str">
        <f>IF(Q$1105="Yes",M1132,"")</f>
        <v/>
      </c>
      <c r="Z1528" s="1418" t="str">
        <f>IF(Q$1134="Yes",M1161,"")</f>
        <v/>
      </c>
    </row>
    <row r="1529" spans="1:26" s="1411" customFormat="1" x14ac:dyDescent="0.25">
      <c r="A1529" s="1429" t="s">
        <v>524</v>
      </c>
      <c r="B1529" s="857" t="str">
        <f>IFERROR(_xlfn.CONCAT("D",('Configurable Tab'!$C$21+1)),"")</f>
        <v>D206</v>
      </c>
      <c r="C1529" s="857" t="str">
        <f>IFERROR(_xlfn.CONCAT("E",('Configurable Tab'!$C$21+1)),"")</f>
        <v>E206</v>
      </c>
      <c r="D1529" s="1418" t="s">
        <v>1367</v>
      </c>
      <c r="E1529" s="859" t="s">
        <v>1936</v>
      </c>
      <c r="F1529" s="1418"/>
      <c r="G1529" s="1418"/>
      <c r="H1529" s="1418"/>
      <c r="I1529" s="857" t="str">
        <f t="shared" si="263"/>
        <v>Offer this Incentive?</v>
      </c>
      <c r="J1529" s="1418" t="str">
        <f>$Q$1&amp;IF(T$1510=2,V1510,IF(T$1510=1,IF(AND(T$1529=1,T$1529&lt;&gt;0),U1529,IF(AND(X$1510=1,X$1510&lt;&gt;0),Y1510,"")),IF(T$1529=2,V1529,IF(T$1529=1,IF(AND(X$1510=1,X$1510&lt;&gt;0),Y1510,""),IF(X$1510=2,Z1510,"")))))</f>
        <v>F</v>
      </c>
      <c r="K1529" s="1418" t="str">
        <f t="shared" si="262"/>
        <v>Incentives</v>
      </c>
      <c r="L1529" s="1418"/>
      <c r="M1529" s="1418"/>
      <c r="N1529" s="1418"/>
      <c r="O1529" s="1411" t="s">
        <v>1964</v>
      </c>
      <c r="P1529" s="1411">
        <f>'Configurable Tab'!E21</f>
        <v>0</v>
      </c>
      <c r="Q1529" s="857" t="str">
        <f>IFERROR(_xlfn.CONCAT("C",('Configurable Tab'!$C21+1)),"")</f>
        <v>C206</v>
      </c>
      <c r="R1529" s="1418" t="s">
        <v>1105</v>
      </c>
      <c r="S1529" s="1417" t="s">
        <v>1965</v>
      </c>
      <c r="T1529" s="1418">
        <f>IF(Q$1163="Yes",IF(Q$1188="Yes",2,1),0)</f>
        <v>0</v>
      </c>
      <c r="U1529" s="1418" t="str">
        <f>IF(Q$1163="Yes",M1163,"")</f>
        <v/>
      </c>
      <c r="V1529" s="1418" t="str">
        <f>IF(Q$1188="Yes",M1188,"")</f>
        <v/>
      </c>
    </row>
    <row r="1530" spans="1:26" s="1411" customFormat="1" x14ac:dyDescent="0.25">
      <c r="A1530" s="1430" t="s">
        <v>1400</v>
      </c>
      <c r="B1530" s="857" t="str">
        <f>IFERROR(_xlfn.CONCAT("D",('Configurable Tab'!$C$21+2)),"")</f>
        <v>D207</v>
      </c>
      <c r="C1530" s="857" t="str">
        <f>IFERROR(_xlfn.CONCAT("E",('Configurable Tab'!$C$21+2)),"")</f>
        <v>E207</v>
      </c>
      <c r="D1530" s="1418" t="s">
        <v>1367</v>
      </c>
      <c r="E1530" s="859" t="s">
        <v>1936</v>
      </c>
      <c r="F1530" s="1418"/>
      <c r="G1530" s="1418"/>
      <c r="H1530" s="1418"/>
      <c r="I1530" s="857" t="str">
        <f t="shared" si="263"/>
        <v>Incentive Type</v>
      </c>
      <c r="J1530" s="1418" t="str">
        <f t="shared" ref="J1530:J1547" si="268">$Q$1&amp;IF(T$1510=2,V1511,IF(T$1510=1,IF(AND(T$1529=1,T$1529&lt;&gt;0),U1530,IF(AND(X$1510=1,X$1510&lt;&gt;0),Y1511,"")),IF(T$1529=2,V1530,IF(T$1529=1,IF(AND(X$1510=1,X$1510&lt;&gt;0),Y1511,""),IF(X$1510=2,Z1511,"")))))</f>
        <v>F</v>
      </c>
      <c r="K1530" s="1418" t="str">
        <f t="shared" si="262"/>
        <v>Incentives</v>
      </c>
      <c r="L1530" s="1418"/>
      <c r="M1530" s="1418"/>
      <c r="N1530" s="1418"/>
      <c r="R1530" s="1418" t="s">
        <v>1105</v>
      </c>
      <c r="U1530" s="1418" t="str">
        <f>IF(Q$1163="Yes",M1164,"")</f>
        <v/>
      </c>
      <c r="V1530" s="1418" t="str">
        <f>IF(Q$1188="Yes",M1189,"")</f>
        <v/>
      </c>
    </row>
    <row r="1531" spans="1:26" s="1411" customFormat="1" x14ac:dyDescent="0.25">
      <c r="A1531" s="1430" t="s">
        <v>1402</v>
      </c>
      <c r="B1531" s="857" t="str">
        <f>IFERROR(_xlfn.CONCAT("D",('Configurable Tab'!$C$21+4)),"")</f>
        <v>D209</v>
      </c>
      <c r="C1531" s="857" t="str">
        <f>IFERROR(_xlfn.CONCAT("E",('Configurable Tab'!$C$21+4)),"")</f>
        <v>E209</v>
      </c>
      <c r="D1531" s="1418" t="s">
        <v>1367</v>
      </c>
      <c r="E1531" s="859" t="s">
        <v>1936</v>
      </c>
      <c r="F1531" s="1418"/>
      <c r="G1531" s="1418"/>
      <c r="H1531" s="1418"/>
      <c r="I1531" s="857" t="str">
        <f t="shared" si="263"/>
        <v>Incentive Effective Date</v>
      </c>
      <c r="J1531" s="1418" t="str">
        <f t="shared" si="268"/>
        <v>F</v>
      </c>
      <c r="K1531" s="1418" t="str">
        <f t="shared" si="262"/>
        <v>Incentives</v>
      </c>
      <c r="L1531" s="1418"/>
      <c r="M1531" s="1418"/>
      <c r="N1531" s="1418"/>
      <c r="R1531" s="1418" t="s">
        <v>1105</v>
      </c>
      <c r="U1531" s="1418" t="str">
        <f>IF(Q$1163="Yes",M1167,"")</f>
        <v/>
      </c>
      <c r="V1531" s="1418" t="str">
        <f>IF(Q$1188="Yes",M1192,"")</f>
        <v/>
      </c>
    </row>
    <row r="1532" spans="1:26" s="1411" customFormat="1" x14ac:dyDescent="0.25">
      <c r="A1532" s="1430" t="s">
        <v>1403</v>
      </c>
      <c r="B1532" s="857" t="str">
        <f>IFERROR(_xlfn.CONCAT("D",('Configurable Tab'!$C$21+5)),"")</f>
        <v>D210</v>
      </c>
      <c r="C1532" s="857" t="str">
        <f>IFERROR(_xlfn.CONCAT("E",('Configurable Tab'!$C$21+5)),"")</f>
        <v>E210</v>
      </c>
      <c r="D1532" s="1418" t="s">
        <v>1367</v>
      </c>
      <c r="E1532" s="859" t="s">
        <v>1936</v>
      </c>
      <c r="F1532" s="1418"/>
      <c r="G1532" s="1418"/>
      <c r="H1532" s="1418"/>
      <c r="I1532" s="857" t="str">
        <f t="shared" si="263"/>
        <v>Incentive Expiration Date</v>
      </c>
      <c r="J1532" s="1418" t="str">
        <f t="shared" si="268"/>
        <v>F</v>
      </c>
      <c r="K1532" s="1418" t="str">
        <f t="shared" si="262"/>
        <v>Incentives</v>
      </c>
      <c r="L1532" s="1418"/>
      <c r="M1532" s="1418"/>
      <c r="N1532" s="1418"/>
      <c r="R1532" s="1418" t="s">
        <v>1105</v>
      </c>
      <c r="U1532" s="1418" t="str">
        <f>IF(Q$1163="Yes",M1168,"")</f>
        <v/>
      </c>
      <c r="V1532" s="1418" t="str">
        <f>IF(Q$1188="Yes",M1193,"")</f>
        <v/>
      </c>
    </row>
    <row r="1533" spans="1:26" s="1411" customFormat="1" x14ac:dyDescent="0.25">
      <c r="A1533" s="1430" t="s">
        <v>1397</v>
      </c>
      <c r="B1533" s="857" t="str">
        <f>IFERROR(_xlfn.CONCAT("G",('Configurable Tab'!$C$21+1)),"")</f>
        <v>G206</v>
      </c>
      <c r="C1533" s="857" t="str">
        <f>IFERROR(_xlfn.CONCAT("G",('Configurable Tab'!$C$21+2)),"")</f>
        <v>G207</v>
      </c>
      <c r="D1533" s="1418" t="s">
        <v>1367</v>
      </c>
      <c r="E1533" s="859" t="s">
        <v>1936</v>
      </c>
      <c r="F1533" s="1418"/>
      <c r="G1533" s="1418"/>
      <c r="H1533" s="1418"/>
      <c r="I1533" s="857" t="str">
        <f t="shared" si="263"/>
        <v>Incentive Period</v>
      </c>
      <c r="J1533" s="1418" t="str">
        <f t="shared" si="268"/>
        <v>F</v>
      </c>
      <c r="K1533" s="1418" t="str">
        <f t="shared" si="262"/>
        <v>Incentives</v>
      </c>
      <c r="L1533" s="1418"/>
      <c r="M1533" s="1418"/>
      <c r="N1533" s="1418"/>
      <c r="R1533" s="1418" t="s">
        <v>1105</v>
      </c>
    </row>
    <row r="1534" spans="1:26" s="1411" customFormat="1" x14ac:dyDescent="0.25">
      <c r="A1534" s="1430" t="s">
        <v>1398</v>
      </c>
      <c r="B1534" s="857" t="str">
        <f>IFERROR(_xlfn.CONCAT("I",('Configurable Tab'!$C$21+1)),"")</f>
        <v>I206</v>
      </c>
      <c r="C1534" s="857" t="str">
        <f>IFERROR(_xlfn.CONCAT("I",('Configurable Tab'!$C$21+2)),"")</f>
        <v>I207</v>
      </c>
      <c r="D1534" s="1418" t="s">
        <v>1367</v>
      </c>
      <c r="E1534" s="859" t="s">
        <v>1936</v>
      </c>
      <c r="F1534" s="1418"/>
      <c r="G1534" s="1418"/>
      <c r="H1534" s="1418"/>
      <c r="I1534" s="857" t="str">
        <f t="shared" si="263"/>
        <v>Payment Method</v>
      </c>
      <c r="J1534" s="1418" t="str">
        <f t="shared" si="268"/>
        <v>F</v>
      </c>
      <c r="K1534" s="1418" t="str">
        <f t="shared" si="262"/>
        <v>Incentives</v>
      </c>
      <c r="L1534" s="1418"/>
      <c r="M1534" s="1418"/>
      <c r="N1534" s="1418"/>
      <c r="R1534" s="1418" t="s">
        <v>1105</v>
      </c>
      <c r="U1534" s="1418" t="str">
        <f>IF(Q$1163="Yes",M1165,"")</f>
        <v/>
      </c>
      <c r="V1534" s="1418" t="str">
        <f>IF(Q$1188="Yes",M1190,"")</f>
        <v/>
      </c>
    </row>
    <row r="1535" spans="1:26" s="1411" customFormat="1" x14ac:dyDescent="0.25">
      <c r="A1535" s="1430" t="s">
        <v>1399</v>
      </c>
      <c r="B1535" s="857" t="str">
        <f>IFERROR(_xlfn.CONCAT("M",('Configurable Tab'!$C$21+1)),"")</f>
        <v>M206</v>
      </c>
      <c r="C1535" s="857" t="str">
        <f>IFERROR(_xlfn.CONCAT("M",('Configurable Tab'!$C$21+2)),"")</f>
        <v>M207</v>
      </c>
      <c r="D1535" s="1418" t="s">
        <v>1367</v>
      </c>
      <c r="E1535" s="859" t="s">
        <v>1936</v>
      </c>
      <c r="F1535" s="1418"/>
      <c r="G1535" s="1418"/>
      <c r="H1535" s="1418"/>
      <c r="I1535" s="857" t="str">
        <f t="shared" si="263"/>
        <v>AP/AR Vendor Number</v>
      </c>
      <c r="J1535" s="1418" t="str">
        <f t="shared" si="268"/>
        <v>F</v>
      </c>
      <c r="K1535" s="1418" t="str">
        <f t="shared" si="262"/>
        <v>Incentives</v>
      </c>
      <c r="L1535" s="1418"/>
      <c r="M1535" s="1418"/>
      <c r="N1535" s="1418"/>
      <c r="R1535" s="1418" t="s">
        <v>1105</v>
      </c>
      <c r="U1535" s="1418" t="str">
        <f>IF(Q$1163="Yes",M1166,"")</f>
        <v/>
      </c>
      <c r="V1535" s="1418" t="str">
        <f>IF(Q$1188="Yes",M1191,"")</f>
        <v/>
      </c>
    </row>
    <row r="1536" spans="1:26" s="1411" customFormat="1" x14ac:dyDescent="0.25">
      <c r="A1536" s="1430" t="s">
        <v>1413</v>
      </c>
      <c r="B1536" s="857" t="str">
        <f>IFERROR(_xlfn.CONCAT("G",('Configurable Tab'!$C$21+4)),"")</f>
        <v>G209</v>
      </c>
      <c r="C1536" s="857" t="str">
        <f>IFERROR(_xlfn.CONCAT("G",('Configurable Tab'!$C$21+5)),"")</f>
        <v>G210</v>
      </c>
      <c r="D1536" s="1418" t="s">
        <v>1367</v>
      </c>
      <c r="E1536" s="859" t="s">
        <v>1936</v>
      </c>
      <c r="F1536" s="1412"/>
      <c r="G1536" s="1428"/>
      <c r="H1536" s="1418"/>
      <c r="I1536" s="857" t="str">
        <f t="shared" si="263"/>
        <v>FF Payment Amount</v>
      </c>
      <c r="J1536" s="1418" t="str">
        <f t="shared" si="268"/>
        <v>F</v>
      </c>
      <c r="K1536" s="1418" t="str">
        <f t="shared" si="262"/>
        <v>Incentives</v>
      </c>
      <c r="L1536" s="1418"/>
      <c r="M1536" s="1418"/>
      <c r="N1536" s="1418"/>
      <c r="R1536" s="1418" t="s">
        <v>1105</v>
      </c>
      <c r="U1536" s="1418" t="str">
        <f>IF(Q$1163="Yes",M1171,"")</f>
        <v/>
      </c>
      <c r="V1536" s="1418" t="str">
        <f>IF(Q$1188="Yes",M1196,"")</f>
        <v/>
      </c>
    </row>
    <row r="1537" spans="1:22" s="1411" customFormat="1" x14ac:dyDescent="0.25">
      <c r="A1537" s="1430" t="s">
        <v>1406</v>
      </c>
      <c r="B1537" s="857" t="str">
        <f>IFERROR(_xlfn.CONCAT("G",('Configurable Tab'!$C$21+7)),"")</f>
        <v>G212</v>
      </c>
      <c r="C1537" s="857" t="str">
        <f>IFERROR(_xlfn.CONCAT("G",('Configurable Tab'!$C$21+8)),"")</f>
        <v>G213</v>
      </c>
      <c r="D1537" s="1418" t="s">
        <v>1367</v>
      </c>
      <c r="E1537" s="859" t="s">
        <v>1936</v>
      </c>
      <c r="F1537" s="1418"/>
      <c r="G1537" s="1418"/>
      <c r="H1537" s="1418"/>
      <c r="I1537" s="857" t="str">
        <f t="shared" si="263"/>
        <v>Rate % of Sales</v>
      </c>
      <c r="J1537" s="1418" t="str">
        <f t="shared" si="268"/>
        <v>F</v>
      </c>
      <c r="K1537" s="1418" t="str">
        <f t="shared" si="262"/>
        <v>Incentives</v>
      </c>
      <c r="L1537" s="1418"/>
      <c r="M1537" s="1418"/>
      <c r="N1537" s="1418"/>
      <c r="R1537" s="1418" t="s">
        <v>1105</v>
      </c>
    </row>
    <row r="1538" spans="1:22" s="1411" customFormat="1" x14ac:dyDescent="0.25">
      <c r="A1538" s="1430" t="s">
        <v>728</v>
      </c>
      <c r="B1538" s="857" t="str">
        <f>IFERROR(_xlfn.CONCAT("K",('Configurable Tab'!$C$21+4)),"")</f>
        <v>K209</v>
      </c>
      <c r="C1538" s="857" t="str">
        <f>IFERROR(_xlfn.CONCAT("K",('Configurable Tab'!$C$21+5)),"")</f>
        <v>K210</v>
      </c>
      <c r="D1538" s="1418" t="s">
        <v>1367</v>
      </c>
      <c r="E1538" s="859" t="s">
        <v>1936</v>
      </c>
      <c r="F1538" s="1418"/>
      <c r="G1538" s="1418"/>
      <c r="H1538" s="1418"/>
      <c r="I1538" s="857" t="str">
        <f t="shared" si="263"/>
        <v>Payment Amount</v>
      </c>
      <c r="J1538" s="1418" t="str">
        <f t="shared" si="268"/>
        <v>F</v>
      </c>
      <c r="K1538" s="1418" t="str">
        <f t="shared" si="262"/>
        <v>Incentives</v>
      </c>
      <c r="L1538" s="1418"/>
      <c r="M1538" s="1418"/>
      <c r="N1538" s="1418"/>
      <c r="R1538" s="1418" t="s">
        <v>1105</v>
      </c>
      <c r="U1538" s="1418" t="str">
        <f>IF(Q$1163="Yes",M1173,"")</f>
        <v/>
      </c>
      <c r="V1538" s="1418" t="str">
        <f>IF(Q$1188="Yes",M1198,"")</f>
        <v/>
      </c>
    </row>
    <row r="1539" spans="1:22" s="1411" customFormat="1" x14ac:dyDescent="0.25">
      <c r="A1539" s="1430" t="s">
        <v>728</v>
      </c>
      <c r="B1539" s="857" t="str">
        <f>IFERROR(_xlfn.CONCAT("K",('Configurable Tab'!$C$21+4)),"")</f>
        <v>K209</v>
      </c>
      <c r="C1539" s="857" t="str">
        <f>IFERROR(_xlfn.CONCAT("K",('Configurable Tab'!$C$21+6)),"")</f>
        <v>K211</v>
      </c>
      <c r="D1539" s="1418" t="s">
        <v>1367</v>
      </c>
      <c r="E1539" s="859" t="s">
        <v>1936</v>
      </c>
      <c r="F1539" s="1418"/>
      <c r="G1539" s="1418"/>
      <c r="H1539" s="1418"/>
      <c r="I1539" s="857" t="str">
        <f t="shared" si="263"/>
        <v>Payment Amount</v>
      </c>
      <c r="J1539" s="1418" t="str">
        <f t="shared" si="268"/>
        <v>F</v>
      </c>
      <c r="K1539" s="1418" t="str">
        <f t="shared" si="262"/>
        <v>Incentives</v>
      </c>
      <c r="L1539" s="1418"/>
      <c r="M1539" s="1418"/>
      <c r="N1539" s="1418"/>
      <c r="R1539" s="1418" t="s">
        <v>1105</v>
      </c>
      <c r="U1539" s="1418" t="str">
        <f>IF(Q$1163="Yes",M1176,"")</f>
        <v/>
      </c>
      <c r="V1539" s="1418" t="str">
        <f>IF(Q$1188="Yes",M1201,"")</f>
        <v/>
      </c>
    </row>
    <row r="1540" spans="1:22" s="1411" customFormat="1" x14ac:dyDescent="0.25">
      <c r="A1540" s="1430" t="s">
        <v>728</v>
      </c>
      <c r="B1540" s="857" t="str">
        <f>IFERROR(_xlfn.CONCAT("K",('Configurable Tab'!$C$21+4)),"")</f>
        <v>K209</v>
      </c>
      <c r="C1540" s="857" t="str">
        <f>IFERROR(_xlfn.CONCAT("K",('Configurable Tab'!$C$21+7)),"")</f>
        <v>K212</v>
      </c>
      <c r="D1540" s="1418" t="s">
        <v>1367</v>
      </c>
      <c r="E1540" s="859" t="s">
        <v>1936</v>
      </c>
      <c r="F1540" s="1418"/>
      <c r="G1540" s="1418"/>
      <c r="H1540" s="1418"/>
      <c r="I1540" s="857" t="str">
        <f t="shared" si="263"/>
        <v>Payment Amount</v>
      </c>
      <c r="J1540" s="1418" t="str">
        <f t="shared" si="268"/>
        <v>F</v>
      </c>
      <c r="K1540" s="1418" t="str">
        <f t="shared" si="262"/>
        <v>Incentives</v>
      </c>
      <c r="L1540" s="1418"/>
      <c r="M1540" s="1418"/>
      <c r="N1540" s="1418"/>
      <c r="R1540" s="1418" t="s">
        <v>1105</v>
      </c>
      <c r="U1540" s="1418" t="str">
        <f>IF(Q$1163="Yes",M1179,"")</f>
        <v/>
      </c>
      <c r="V1540" s="1418" t="str">
        <f>IF(Q$1188="Yes",M1204,"")</f>
        <v/>
      </c>
    </row>
    <row r="1541" spans="1:22" s="1411" customFormat="1" x14ac:dyDescent="0.25">
      <c r="A1541" s="1430" t="s">
        <v>728</v>
      </c>
      <c r="B1541" s="857" t="str">
        <f>IFERROR(_xlfn.CONCAT("K",('Configurable Tab'!$C$21+4)),"")</f>
        <v>K209</v>
      </c>
      <c r="C1541" s="857" t="str">
        <f>IFERROR(_xlfn.CONCAT("K",('Configurable Tab'!$C$21+8)),"")</f>
        <v>K213</v>
      </c>
      <c r="D1541" s="1418" t="s">
        <v>1367</v>
      </c>
      <c r="E1541" s="859" t="s">
        <v>1936</v>
      </c>
      <c r="F1541" s="1418"/>
      <c r="G1541" s="1418"/>
      <c r="H1541" s="1418"/>
      <c r="I1541" s="857" t="str">
        <f t="shared" si="263"/>
        <v>Payment Amount</v>
      </c>
      <c r="J1541" s="1418" t="str">
        <f t="shared" si="268"/>
        <v>F</v>
      </c>
      <c r="K1541" s="1418" t="str">
        <f t="shared" ref="K1541:K1553" si="269">IF(J1541&lt;&gt;"",E1541,"")</f>
        <v>Incentives</v>
      </c>
      <c r="L1541" s="1418"/>
      <c r="M1541" s="1418"/>
      <c r="N1541" s="1418"/>
      <c r="R1541" s="1418" t="s">
        <v>1105</v>
      </c>
      <c r="U1541" s="1418" t="str">
        <f>IF(Q$1163="Yes",M1182,"")</f>
        <v/>
      </c>
      <c r="V1541" s="1418" t="str">
        <f>IF(Q$1188="Yes",M1207,"")</f>
        <v/>
      </c>
    </row>
    <row r="1542" spans="1:22" s="1411" customFormat="1" x14ac:dyDescent="0.25">
      <c r="A1542" s="1430" t="s">
        <v>728</v>
      </c>
      <c r="B1542" s="857" t="str">
        <f>IFERROR(_xlfn.CONCAT("K",('Configurable Tab'!$C$21+4)),"")</f>
        <v>K209</v>
      </c>
      <c r="C1542" s="857" t="str">
        <f>IFERROR(_xlfn.CONCAT("K",('Configurable Tab'!$C$21+9)),"")</f>
        <v>K214</v>
      </c>
      <c r="D1542" s="1418" t="s">
        <v>1367</v>
      </c>
      <c r="E1542" s="859" t="s">
        <v>1936</v>
      </c>
      <c r="F1542" s="1418"/>
      <c r="G1542" s="1418"/>
      <c r="H1542" s="1418"/>
      <c r="I1542" s="857" t="str">
        <f t="shared" ref="I1542:I1553" si="270">IF(J1542&lt;&gt;"",A1542,"")</f>
        <v>Payment Amount</v>
      </c>
      <c r="J1542" s="1418" t="str">
        <f t="shared" si="268"/>
        <v>F</v>
      </c>
      <c r="K1542" s="1418" t="str">
        <f t="shared" si="269"/>
        <v>Incentives</v>
      </c>
      <c r="L1542" s="1418"/>
      <c r="M1542" s="1418"/>
      <c r="N1542" s="1418"/>
      <c r="R1542" s="1418" t="s">
        <v>1105</v>
      </c>
      <c r="U1542" s="1418" t="str">
        <f>IF(Q$1163="Yes",M1185,"")</f>
        <v/>
      </c>
      <c r="V1542" s="1418" t="str">
        <f>IF(Q$1188="Yes",M1210,"")</f>
        <v/>
      </c>
    </row>
    <row r="1543" spans="1:22" s="1411" customFormat="1" x14ac:dyDescent="0.25">
      <c r="A1543" s="1430" t="s">
        <v>1501</v>
      </c>
      <c r="B1543" s="857" t="str">
        <f>IFERROR(_xlfn.CONCAT("M",('Configurable Tab'!$C$21+4)),"")</f>
        <v>M209</v>
      </c>
      <c r="C1543" s="857" t="str">
        <f>IFERROR(_xlfn.CONCAT("M",('Configurable Tab'!$C$21+5)),"")</f>
        <v>M210</v>
      </c>
      <c r="D1543" s="1418" t="s">
        <v>1367</v>
      </c>
      <c r="E1543" s="859" t="s">
        <v>1936</v>
      </c>
      <c r="F1543" s="1418"/>
      <c r="G1543" s="1418"/>
      <c r="H1543" s="1418"/>
      <c r="I1543" s="857" t="str">
        <f t="shared" si="270"/>
        <v>Purchase Commitment</v>
      </c>
      <c r="J1543" s="1418" t="str">
        <f t="shared" si="268"/>
        <v>F</v>
      </c>
      <c r="K1543" s="1418" t="str">
        <f t="shared" si="269"/>
        <v>Incentives</v>
      </c>
      <c r="L1543" s="1418"/>
      <c r="M1543" s="1418"/>
      <c r="N1543" s="1418"/>
      <c r="R1543" s="1418" t="s">
        <v>1105</v>
      </c>
    </row>
    <row r="1544" spans="1:22" s="1411" customFormat="1" x14ac:dyDescent="0.25">
      <c r="A1544" s="1430" t="s">
        <v>1501</v>
      </c>
      <c r="B1544" s="857" t="str">
        <f>IFERROR(_xlfn.CONCAT("M",('Configurable Tab'!$C$21+4)),"")</f>
        <v>M209</v>
      </c>
      <c r="C1544" s="857" t="str">
        <f>IFERROR(_xlfn.CONCAT("M",('Configurable Tab'!$C$21+6)),"")</f>
        <v>M211</v>
      </c>
      <c r="D1544" s="1418" t="s">
        <v>1367</v>
      </c>
      <c r="E1544" s="859" t="s">
        <v>1936</v>
      </c>
      <c r="F1544" s="1418"/>
      <c r="G1544" s="1418"/>
      <c r="H1544" s="1418"/>
      <c r="I1544" s="857" t="str">
        <f t="shared" si="270"/>
        <v>Purchase Commitment</v>
      </c>
      <c r="J1544" s="1418" t="str">
        <f t="shared" si="268"/>
        <v>F</v>
      </c>
      <c r="K1544" s="1418" t="str">
        <f t="shared" si="269"/>
        <v>Incentives</v>
      </c>
      <c r="L1544" s="1418"/>
      <c r="M1544" s="1418"/>
      <c r="N1544" s="1418"/>
      <c r="R1544" s="1418" t="s">
        <v>1105</v>
      </c>
    </row>
    <row r="1545" spans="1:22" s="1411" customFormat="1" x14ac:dyDescent="0.25">
      <c r="A1545" s="1430" t="s">
        <v>1501</v>
      </c>
      <c r="B1545" s="857" t="str">
        <f>IFERROR(_xlfn.CONCAT("M",('Configurable Tab'!$C$21+4)),"")</f>
        <v>M209</v>
      </c>
      <c r="C1545" s="857" t="str">
        <f>IFERROR(_xlfn.CONCAT("M",('Configurable Tab'!$C$21+7)),"")</f>
        <v>M212</v>
      </c>
      <c r="D1545" s="1418" t="s">
        <v>1367</v>
      </c>
      <c r="E1545" s="859" t="s">
        <v>1936</v>
      </c>
      <c r="F1545" s="1418"/>
      <c r="G1545" s="1418"/>
      <c r="H1545" s="1418"/>
      <c r="I1545" s="857" t="str">
        <f t="shared" si="270"/>
        <v>Purchase Commitment</v>
      </c>
      <c r="J1545" s="1418" t="str">
        <f t="shared" si="268"/>
        <v>F</v>
      </c>
      <c r="K1545" s="1418" t="str">
        <f t="shared" si="269"/>
        <v>Incentives</v>
      </c>
      <c r="L1545" s="1418"/>
      <c r="M1545" s="1418"/>
      <c r="N1545" s="1418"/>
      <c r="R1545" s="1418" t="s">
        <v>1105</v>
      </c>
    </row>
    <row r="1546" spans="1:22" s="1411" customFormat="1" x14ac:dyDescent="0.25">
      <c r="A1546" s="1430" t="s">
        <v>1501</v>
      </c>
      <c r="B1546" s="857" t="str">
        <f>IFERROR(_xlfn.CONCAT("M",('Configurable Tab'!$C$21+4)),"")</f>
        <v>M209</v>
      </c>
      <c r="C1546" s="857" t="str">
        <f>IFERROR(_xlfn.CONCAT("M",('Configurable Tab'!$C$21+8)),"")</f>
        <v>M213</v>
      </c>
      <c r="D1546" s="1418" t="s">
        <v>1367</v>
      </c>
      <c r="E1546" s="859" t="s">
        <v>1936</v>
      </c>
      <c r="F1546" s="1418"/>
      <c r="G1546" s="1418"/>
      <c r="H1546" s="1418"/>
      <c r="I1546" s="857" t="str">
        <f t="shared" si="270"/>
        <v>Purchase Commitment</v>
      </c>
      <c r="J1546" s="1418" t="str">
        <f t="shared" si="268"/>
        <v>F</v>
      </c>
      <c r="K1546" s="1418" t="str">
        <f t="shared" si="269"/>
        <v>Incentives</v>
      </c>
      <c r="L1546" s="1418"/>
      <c r="M1546" s="1418"/>
      <c r="N1546" s="1418"/>
      <c r="R1546" s="1418" t="s">
        <v>1105</v>
      </c>
    </row>
    <row r="1547" spans="1:22" s="1411" customFormat="1" x14ac:dyDescent="0.25">
      <c r="A1547" s="1430" t="s">
        <v>1501</v>
      </c>
      <c r="B1547" s="857" t="str">
        <f>IFERROR(_xlfn.CONCAT("M",('Configurable Tab'!$C$21+4)),"")</f>
        <v>M209</v>
      </c>
      <c r="C1547" s="857" t="str">
        <f>IFERROR(_xlfn.CONCAT("M",('Configurable Tab'!$C$21+9)),"")</f>
        <v>M214</v>
      </c>
      <c r="D1547" s="1418" t="s">
        <v>1367</v>
      </c>
      <c r="E1547" s="859" t="s">
        <v>1936</v>
      </c>
      <c r="F1547" s="1418"/>
      <c r="G1547" s="1418"/>
      <c r="H1547" s="1418"/>
      <c r="I1547" s="857" t="str">
        <f t="shared" si="270"/>
        <v>Purchase Commitment</v>
      </c>
      <c r="J1547" s="1418" t="str">
        <f t="shared" si="268"/>
        <v>F</v>
      </c>
      <c r="K1547" s="1418" t="str">
        <f t="shared" si="269"/>
        <v>Incentives</v>
      </c>
      <c r="L1547" s="1418"/>
      <c r="M1547" s="1418"/>
      <c r="N1547" s="1418"/>
      <c r="R1547" s="1418" t="s">
        <v>1105</v>
      </c>
    </row>
    <row r="1548" spans="1:22" s="1411" customFormat="1" x14ac:dyDescent="0.25">
      <c r="A1548" s="926" t="s">
        <v>524</v>
      </c>
      <c r="B1548" s="857" t="str">
        <f>IFERROR(_xlfn.CONCAT("D",('Configurable Tab'!$C$22+1)),"")</f>
        <v>D218</v>
      </c>
      <c r="C1548" s="857" t="str">
        <f>IFERROR(_xlfn.CONCAT("E",('Configurable Tab'!$C$22+1)),"")</f>
        <v>E218</v>
      </c>
      <c r="D1548" s="1418" t="s">
        <v>1367</v>
      </c>
      <c r="E1548" s="859" t="s">
        <v>1936</v>
      </c>
      <c r="F1548" s="1418"/>
      <c r="G1548" s="1418"/>
      <c r="H1548" s="1418"/>
      <c r="I1548" s="857" t="str">
        <f t="shared" si="270"/>
        <v>Offer this Incentive?</v>
      </c>
      <c r="J1548" s="1418" t="str">
        <f t="shared" ref="J1548:J1553" si="271">$Q$1&amp;T1548</f>
        <v>F</v>
      </c>
      <c r="K1548" s="1418" t="str">
        <f t="shared" si="269"/>
        <v>Incentives</v>
      </c>
      <c r="L1548" s="1418"/>
      <c r="M1548" s="1418"/>
      <c r="N1548" s="1418"/>
      <c r="O1548" s="1411" t="s">
        <v>1966</v>
      </c>
      <c r="P1548" s="1411">
        <f>'Configurable Tab'!E21</f>
        <v>0</v>
      </c>
      <c r="Q1548" s="857" t="str">
        <f>IFERROR(_xlfn.CONCAT("C",('Configurable Tab'!$C22+1)),"")</f>
        <v>C218</v>
      </c>
      <c r="R1548" s="1418" t="s">
        <v>1163</v>
      </c>
      <c r="T1548" s="1418" t="str">
        <f>IF(Q$1213="Yes",M1213,"")</f>
        <v/>
      </c>
    </row>
    <row r="1549" spans="1:22" s="1411" customFormat="1" x14ac:dyDescent="0.25">
      <c r="A1549" s="920" t="s">
        <v>1400</v>
      </c>
      <c r="B1549" s="857" t="str">
        <f>IFERROR(_xlfn.CONCAT("D",('Configurable Tab'!$C$22+2)),"")</f>
        <v>D219</v>
      </c>
      <c r="C1549" s="857" t="str">
        <f>IFERROR(_xlfn.CONCAT("E",('Configurable Tab'!$C$22+2)),"")</f>
        <v>E219</v>
      </c>
      <c r="D1549" s="1418" t="s">
        <v>1367</v>
      </c>
      <c r="E1549" s="859" t="s">
        <v>1936</v>
      </c>
      <c r="F1549" s="1418"/>
      <c r="G1549" s="1418"/>
      <c r="H1549" s="1418"/>
      <c r="I1549" s="857" t="str">
        <f t="shared" si="270"/>
        <v>Incentive Type</v>
      </c>
      <c r="J1549" s="1418" t="str">
        <f t="shared" si="271"/>
        <v>F</v>
      </c>
      <c r="K1549" s="1418" t="str">
        <f t="shared" si="269"/>
        <v>Incentives</v>
      </c>
      <c r="L1549" s="1418"/>
      <c r="M1549" s="1418"/>
      <c r="N1549" s="1418"/>
      <c r="R1549" s="1418" t="s">
        <v>1163</v>
      </c>
      <c r="T1549" s="1418" t="str">
        <f>IF(Q$1213="Yes",M1214,"")</f>
        <v/>
      </c>
    </row>
    <row r="1550" spans="1:22" s="1411" customFormat="1" x14ac:dyDescent="0.25">
      <c r="A1550" s="920" t="s">
        <v>1402</v>
      </c>
      <c r="B1550" s="857" t="str">
        <f>IFERROR(_xlfn.CONCAT("D",('Configurable Tab'!$C$22+4)),"")</f>
        <v>D221</v>
      </c>
      <c r="C1550" s="857" t="str">
        <f>IFERROR(_xlfn.CONCAT("E",('Configurable Tab'!$C$22+4)),"")</f>
        <v>E221</v>
      </c>
      <c r="D1550" s="1418" t="s">
        <v>1367</v>
      </c>
      <c r="E1550" s="859" t="s">
        <v>1936</v>
      </c>
      <c r="F1550" s="1418"/>
      <c r="G1550" s="1418"/>
      <c r="H1550" s="1418"/>
      <c r="I1550" s="857" t="str">
        <f t="shared" si="270"/>
        <v>Incentive Effective Date</v>
      </c>
      <c r="J1550" s="1418" t="str">
        <f t="shared" si="271"/>
        <v>F</v>
      </c>
      <c r="K1550" s="1418" t="str">
        <f t="shared" si="269"/>
        <v>Incentives</v>
      </c>
      <c r="L1550" s="1418"/>
      <c r="M1550" s="1418"/>
      <c r="N1550" s="1418"/>
      <c r="R1550" s="1418" t="s">
        <v>1163</v>
      </c>
      <c r="T1550" s="1418" t="str">
        <f>IF(Q$1213="Yes",M1216,"")</f>
        <v/>
      </c>
    </row>
    <row r="1551" spans="1:22" s="1411" customFormat="1" x14ac:dyDescent="0.25">
      <c r="A1551" s="920" t="s">
        <v>1403</v>
      </c>
      <c r="B1551" s="857" t="str">
        <f>IFERROR(_xlfn.CONCAT("D",('Configurable Tab'!$C$22+5)),"")</f>
        <v>D222</v>
      </c>
      <c r="C1551" s="857" t="str">
        <f>IFERROR(_xlfn.CONCAT("E",('Configurable Tab'!$C$22+5)),"")</f>
        <v>E222</v>
      </c>
      <c r="D1551" s="1418" t="s">
        <v>1367</v>
      </c>
      <c r="E1551" s="859" t="s">
        <v>1936</v>
      </c>
      <c r="F1551" s="1418"/>
      <c r="G1551" s="1418"/>
      <c r="H1551" s="1418"/>
      <c r="I1551" s="857" t="str">
        <f t="shared" si="270"/>
        <v>Incentive Expiration Date</v>
      </c>
      <c r="J1551" s="1418" t="str">
        <f t="shared" si="271"/>
        <v>F</v>
      </c>
      <c r="K1551" s="1418" t="str">
        <f t="shared" si="269"/>
        <v>Incentives</v>
      </c>
      <c r="L1551" s="1418"/>
      <c r="M1551" s="1418"/>
      <c r="N1551" s="1418"/>
      <c r="R1551" s="1418" t="s">
        <v>1163</v>
      </c>
      <c r="T1551" s="1418" t="str">
        <f>IF(Q$1213="Yes",M1217,"")</f>
        <v/>
      </c>
    </row>
    <row r="1552" spans="1:22" s="1411" customFormat="1" x14ac:dyDescent="0.25">
      <c r="A1552" s="920" t="s">
        <v>1398</v>
      </c>
      <c r="B1552" s="857" t="str">
        <f>IFERROR(_xlfn.CONCAT("I",('Configurable Tab'!$C$22+1)),"")</f>
        <v>I218</v>
      </c>
      <c r="C1552" s="857" t="str">
        <f>IFERROR(_xlfn.CONCAT("I",('Configurable Tab'!$C$22+2)),"")</f>
        <v>I219</v>
      </c>
      <c r="D1552" s="1418" t="s">
        <v>1367</v>
      </c>
      <c r="E1552" s="859" t="s">
        <v>1936</v>
      </c>
      <c r="F1552" s="1418"/>
      <c r="G1552" s="1418"/>
      <c r="H1552" s="1418"/>
      <c r="I1552" s="857" t="str">
        <f t="shared" si="270"/>
        <v>Payment Method</v>
      </c>
      <c r="J1552" s="1418" t="str">
        <f t="shared" si="271"/>
        <v>F</v>
      </c>
      <c r="K1552" s="1418" t="str">
        <f t="shared" si="269"/>
        <v>Incentives</v>
      </c>
      <c r="L1552" s="1418"/>
      <c r="M1552" s="1418"/>
      <c r="N1552" s="1418"/>
      <c r="R1552" s="1418" t="s">
        <v>1163</v>
      </c>
      <c r="T1552" s="1418" t="str">
        <f>IF(Q$1213="Yes",M1215,"")</f>
        <v/>
      </c>
    </row>
    <row r="1553" spans="1:20" s="1411" customFormat="1" x14ac:dyDescent="0.25">
      <c r="A1553" s="920" t="s">
        <v>1406</v>
      </c>
      <c r="B1553" s="857" t="str">
        <f>IFERROR(_xlfn.CONCAT("K",('Configurable Tab'!$C$22+4)),"")</f>
        <v>K221</v>
      </c>
      <c r="C1553" s="857" t="str">
        <f>IFERROR(_xlfn.CONCAT("K",('Configurable Tab'!$C$22+5)),"")</f>
        <v>K222</v>
      </c>
      <c r="D1553" s="1418" t="s">
        <v>1367</v>
      </c>
      <c r="E1553" s="859" t="s">
        <v>1936</v>
      </c>
      <c r="F1553" s="1418"/>
      <c r="G1553" s="1418"/>
      <c r="H1553" s="1418"/>
      <c r="I1553" s="857" t="str">
        <f t="shared" si="270"/>
        <v>Rate % of Sales</v>
      </c>
      <c r="J1553" s="1418" t="str">
        <f t="shared" si="271"/>
        <v>F</v>
      </c>
      <c r="K1553" s="1418" t="str">
        <f t="shared" si="269"/>
        <v>Incentives</v>
      </c>
      <c r="L1553" s="1418"/>
      <c r="M1553" s="1418"/>
      <c r="N1553" s="1418"/>
      <c r="R1553" s="1418" t="s">
        <v>1163</v>
      </c>
      <c r="T1553" s="1418" t="str">
        <f>IF(Q$1213="Yes",M1219,"")</f>
        <v/>
      </c>
    </row>
    <row r="1554" spans="1:20" s="1411" customFormat="1" x14ac:dyDescent="0.25">
      <c r="A1554" s="859" t="s">
        <v>1280</v>
      </c>
      <c r="B1554" s="859" t="str">
        <f ca="1">_xlfn.CONCAT(IFERROR(SUBSTITUTE(ADDRESS(1,MATCH(A1554,INDIRECT("'"&amp;E1554&amp;"'"&amp;"!A4:Z4"),0),4),1,""),""),4)</f>
        <v>F4</v>
      </c>
      <c r="C1554" s="859" t="str">
        <f ca="1">_xlfn.CONCAT(IFERROR(SUBSTITUTE(ADDRESS(1,MATCH(A1554,INDIRECT("'"&amp;E1554&amp;"'"&amp;"!A4:Z4"),0),4),1,""),""),5)</f>
        <v>F5</v>
      </c>
      <c r="D1554" s="859" t="s">
        <v>1367</v>
      </c>
      <c r="E1554" s="859" t="s">
        <v>1291</v>
      </c>
      <c r="F1554" s="859" t="s">
        <v>1280</v>
      </c>
      <c r="G1554" s="859" t="s">
        <v>657</v>
      </c>
      <c r="H1554" s="859" t="s">
        <v>1276</v>
      </c>
      <c r="I1554" s="857"/>
      <c r="J1554" s="1418"/>
      <c r="K1554" s="1418"/>
      <c r="L1554" s="1418"/>
      <c r="M1554" s="1418"/>
      <c r="N1554" s="1418"/>
    </row>
    <row r="1555" spans="1:20" s="1411" customFormat="1" x14ac:dyDescent="0.25">
      <c r="A1555" s="859" t="s">
        <v>1281</v>
      </c>
      <c r="B1555" s="859" t="str">
        <f ca="1">_xlfn.CONCAT(IFERROR(SUBSTITUTE(ADDRESS(1,MATCH(A1555,INDIRECT("'"&amp;E1555&amp;"'"&amp;"!A4:Z4"),0),4),1,""),""),4)</f>
        <v>G4</v>
      </c>
      <c r="C1555" s="859" t="str">
        <f ca="1">_xlfn.CONCAT(IFERROR(SUBSTITUTE(ADDRESS(1,MATCH(A1555,INDIRECT("'"&amp;E1555&amp;"'"&amp;"!A4:Z4"),0),4),1,""),""),5)</f>
        <v>G5</v>
      </c>
      <c r="D1555" s="859" t="s">
        <v>1367</v>
      </c>
      <c r="E1555" s="859" t="s">
        <v>1291</v>
      </c>
      <c r="F1555" s="859" t="s">
        <v>1281</v>
      </c>
      <c r="G1555" s="859" t="s">
        <v>1373</v>
      </c>
      <c r="H1555" s="859" t="s">
        <v>1276</v>
      </c>
      <c r="I1555" s="857"/>
      <c r="J1555" s="1418"/>
      <c r="K1555" s="1418"/>
      <c r="L1555" s="1418"/>
      <c r="M1555" s="1418"/>
      <c r="N1555" s="1418"/>
    </row>
    <row r="1556" spans="1:20" s="1411" customFormat="1" x14ac:dyDescent="0.25">
      <c r="A1556" s="859" t="s">
        <v>1282</v>
      </c>
      <c r="B1556" s="859" t="str">
        <f ca="1">_xlfn.CONCAT(IFERROR(SUBSTITUTE(ADDRESS(1,MATCH(A1556,INDIRECT("'"&amp;E1556&amp;"'"&amp;"!A4:Z4"),0),4),1,""),""),4)</f>
        <v>H4</v>
      </c>
      <c r="C1556" s="859" t="str">
        <f ca="1">_xlfn.CONCAT(IFERROR(SUBSTITUTE(ADDRESS(1,MATCH(A1556,INDIRECT("'"&amp;E1556&amp;"'"&amp;"!A4:Z4"),0),4),1,""),""),5)</f>
        <v>H5</v>
      </c>
      <c r="D1556" s="859" t="s">
        <v>1367</v>
      </c>
      <c r="E1556" s="859" t="s">
        <v>1291</v>
      </c>
      <c r="F1556" s="859" t="s">
        <v>1282</v>
      </c>
      <c r="G1556" s="859" t="s">
        <v>1378</v>
      </c>
      <c r="H1556" s="859" t="s">
        <v>1276</v>
      </c>
      <c r="I1556" s="857"/>
      <c r="J1556" s="1418"/>
      <c r="K1556" s="1418"/>
      <c r="L1556" s="1418"/>
      <c r="M1556" s="1418"/>
      <c r="N1556" s="1418"/>
    </row>
    <row r="1557" spans="1:20" s="1411" customFormat="1" x14ac:dyDescent="0.25">
      <c r="A1557" s="858" t="s">
        <v>1277</v>
      </c>
      <c r="B1557" s="859" t="str">
        <f ca="1">_xlfn.CONCAT(IFERROR(SUBSTITUTE(ADDRESS(1,MATCH(A1557,INDIRECT("'"&amp;E1557&amp;"'"&amp;"!A4:Z4"),0),4),1,""),""),4)</f>
        <v>B4</v>
      </c>
      <c r="C1557" s="859" t="str">
        <f ca="1">_xlfn.CONCAT(IFERROR(SUBSTITUTE(ADDRESS(1,MATCH(A1557,INDIRECT("'"&amp;E1557&amp;"'"&amp;"!A4:Z4"),0),4),1,""),""),5)</f>
        <v>B5</v>
      </c>
      <c r="D1557" s="859" t="s">
        <v>1367</v>
      </c>
      <c r="E1557" s="859" t="s">
        <v>1291</v>
      </c>
      <c r="F1557" s="858" t="s">
        <v>1277</v>
      </c>
      <c r="G1557" s="859" t="s">
        <v>1370</v>
      </c>
      <c r="H1557" s="859" t="s">
        <v>1925</v>
      </c>
      <c r="I1557" s="857"/>
      <c r="J1557" s="1418"/>
      <c r="K1557" s="1418"/>
      <c r="L1557" s="1418"/>
      <c r="M1557" s="1418"/>
      <c r="N1557" s="1418"/>
    </row>
    <row r="1558" spans="1:20" s="1411" customFormat="1" x14ac:dyDescent="0.25">
      <c r="A1558" s="919" t="s">
        <v>1301</v>
      </c>
      <c r="B1558" s="859" t="str">
        <f ca="1">IF('Pricing Schedule'!$K$5="No",_xlfn.CONCAT(IFERROR(SUBSTITUTE(ADDRESS(1,MATCH(A1558,INDIRECT("'"&amp;E1558&amp;"'"&amp;"!A10:Z10"),0),4),1,""),""),11),_xlfn.CONCAT(IFERROR(SUBSTITUTE(ADDRESS(1,MATCH(A1558,INDIRECT("'"&amp;E1558&amp;"'"&amp;"!A10:Z10"),0),4),1,""),""),35))</f>
        <v>N11</v>
      </c>
      <c r="C1558" s="859" t="str">
        <f ca="1">IF('Pricing Schedule'!$K$5="No",IFERROR(SUBSTITUTE(ADDRESS(1,MATCH(A1558,INDIRECT("'"&amp;E1558&amp;"'"&amp;"!A10:Z10"),0),4),1,""),""),IFERROR(SUBSTITUTE(ADDRESS(1,MATCH(A1558,INDIRECT("'"&amp;E1558&amp;"'"&amp;"!A10:Z10"),0),4),1,""),""))</f>
        <v>N</v>
      </c>
      <c r="D1558" s="859" t="s">
        <v>1374</v>
      </c>
      <c r="E1558" s="859" t="s">
        <v>1291</v>
      </c>
      <c r="F1558" s="52" t="s">
        <v>1967</v>
      </c>
      <c r="G1558" s="52" t="s">
        <v>134</v>
      </c>
      <c r="H1558" s="52" t="s">
        <v>1291</v>
      </c>
      <c r="I1558" s="857"/>
      <c r="J1558" s="1418"/>
      <c r="K1558" s="1418"/>
      <c r="L1558" s="1418"/>
      <c r="M1558" s="1418"/>
      <c r="N1558" s="1418"/>
    </row>
    <row r="1559" spans="1:20" s="1411" customFormat="1" x14ac:dyDescent="0.25">
      <c r="A1559" s="1424" t="s">
        <v>1292</v>
      </c>
      <c r="B1559" s="859" t="str">
        <f ca="1">IF('Pricing Schedule'!$K$5="No",_xlfn.CONCAT(IFERROR(SUBSTITUTE(ADDRESS(1,MATCH(A1559,INDIRECT("'"&amp;E1559&amp;"'"&amp;"!A10:Z10"),0),4),1,""),""),11),_xlfn.CONCAT(IFERROR(SUBSTITUTE(ADDRESS(1,MATCH(A1559,INDIRECT("'"&amp;E1559&amp;"'"&amp;"!A10:Z10"),0),4),1,""),""),35))</f>
        <v>C11</v>
      </c>
      <c r="C1559" s="859" t="str">
        <f ca="1">IF('Pricing Schedule'!$K$5="No",IFERROR(SUBSTITUTE(ADDRESS(1,MATCH(A1559,INDIRECT("'"&amp;E1559&amp;"'"&amp;"!A10:Z10"),0),4),1,""),""),IFERROR(SUBSTITUTE(ADDRESS(1,MATCH(A1559,INDIRECT("'"&amp;E1559&amp;"'"&amp;"!A10:Z10"),0),4),1,""),""))</f>
        <v>C</v>
      </c>
      <c r="D1559" s="859" t="s">
        <v>1374</v>
      </c>
      <c r="E1559" s="859" t="s">
        <v>1291</v>
      </c>
      <c r="F1559" s="52" t="s">
        <v>1292</v>
      </c>
      <c r="G1559" s="52" t="s">
        <v>1372</v>
      </c>
      <c r="H1559" s="52" t="s">
        <v>1291</v>
      </c>
      <c r="I1559" s="857"/>
      <c r="J1559" s="1418"/>
      <c r="K1559" s="1418"/>
      <c r="L1559" s="1418"/>
      <c r="M1559" s="1418"/>
      <c r="N1559" s="1418"/>
    </row>
    <row r="1560" spans="1:20" s="1411" customFormat="1" x14ac:dyDescent="0.25">
      <c r="A1560" s="1424" t="s">
        <v>1257</v>
      </c>
      <c r="B1560" s="859" t="str">
        <f ca="1">IF('Pricing Schedule'!$K$5="No",_xlfn.CONCAT(IFERROR(SUBSTITUTE(ADDRESS(1,MATCH(A1560,INDIRECT("'"&amp;E1560&amp;"'"&amp;"!A10:Z10"),0),4),1,""),""),11),_xlfn.CONCAT(IFERROR(SUBSTITUTE(ADDRESS(1,MATCH(A1560,INDIRECT("'"&amp;E1560&amp;"'"&amp;"!A10:Z10"),0),4),1,""),""),35))</f>
        <v>H11</v>
      </c>
      <c r="C1560" s="859" t="str">
        <f ca="1">IF('Pricing Schedule'!$K$5="No",IFERROR(SUBSTITUTE(ADDRESS(1,MATCH(A1560,INDIRECT("'"&amp;E1560&amp;"'"&amp;"!A10:Z10"),0),4),1,""),""),IFERROR(SUBSTITUTE(ADDRESS(1,MATCH(A1560,INDIRECT("'"&amp;E1560&amp;"'"&amp;"!A10:Z10"),0),4),1,""),""))</f>
        <v>H</v>
      </c>
      <c r="D1560" s="859" t="s">
        <v>1374</v>
      </c>
      <c r="E1560" s="859" t="s">
        <v>1291</v>
      </c>
      <c r="F1560" s="52" t="s">
        <v>1257</v>
      </c>
      <c r="G1560" s="52" t="s">
        <v>1380</v>
      </c>
      <c r="H1560" s="52" t="s">
        <v>1291</v>
      </c>
      <c r="I1560" s="857"/>
      <c r="J1560" s="1418"/>
      <c r="K1560" s="1418"/>
      <c r="L1560" s="1418"/>
      <c r="M1560" s="1418"/>
      <c r="N1560" s="1418"/>
    </row>
    <row r="1561" spans="1:20" s="1411" customFormat="1" x14ac:dyDescent="0.25">
      <c r="A1561" s="1424" t="s">
        <v>1295</v>
      </c>
      <c r="B1561" s="859" t="str">
        <f ca="1">IF('Pricing Schedule'!$K$5="No",_xlfn.CONCAT(IFERROR(SUBSTITUTE(ADDRESS(1,MATCH(A1561,INDIRECT("'"&amp;E1561&amp;"'"&amp;"!A10:Z10"),0),4),1,""),""),11),_xlfn.CONCAT(IFERROR(SUBSTITUTE(ADDRESS(1,MATCH(A1561,INDIRECT("'"&amp;E1561&amp;"'"&amp;"!A10:Z10"),0),4),1,""),""),35))</f>
        <v>F11</v>
      </c>
      <c r="C1561" s="859" t="str">
        <f ca="1">IF('Pricing Schedule'!$K$5="No",IFERROR(SUBSTITUTE(ADDRESS(1,MATCH(A1561,INDIRECT("'"&amp;E1561&amp;"'"&amp;"!A10:Z10"),0),4),1,""),""),IFERROR(SUBSTITUTE(ADDRESS(1,MATCH(A1561,INDIRECT("'"&amp;E1561&amp;"'"&amp;"!A10:Z10"),0),4),1,""),""))</f>
        <v>F</v>
      </c>
      <c r="D1561" s="859" t="s">
        <v>1374</v>
      </c>
      <c r="E1561" s="859" t="s">
        <v>1291</v>
      </c>
      <c r="F1561" s="52" t="s">
        <v>1295</v>
      </c>
      <c r="G1561" s="52" t="s">
        <v>1378</v>
      </c>
      <c r="H1561" s="52" t="s">
        <v>1291</v>
      </c>
      <c r="I1561" s="857"/>
      <c r="J1561" s="1418"/>
      <c r="K1561" s="1418"/>
      <c r="L1561" s="1418"/>
      <c r="M1561" s="1418"/>
      <c r="N1561" s="1418"/>
    </row>
    <row r="1562" spans="1:20" s="1411" customFormat="1" x14ac:dyDescent="0.25">
      <c r="A1562" s="1422" t="s">
        <v>1294</v>
      </c>
      <c r="B1562" s="859" t="str">
        <f ca="1">IF('Pricing Schedule'!$K$5="No",_xlfn.CONCAT(IFERROR(SUBSTITUTE(ADDRESS(1,MATCH(A1562,INDIRECT("'"&amp;E1562&amp;"'"&amp;"!A10:Z10"),0),4),1,""),""),11),_xlfn.CONCAT(IFERROR(SUBSTITUTE(ADDRESS(1,MATCH(A1562,INDIRECT("'"&amp;E1562&amp;"'"&amp;"!A10:Z10"),0),4),1,""),""),35))</f>
        <v>E11</v>
      </c>
      <c r="C1562" s="859" t="str">
        <f ca="1">IF('Pricing Schedule'!$K$5="No",IFERROR(SUBSTITUTE(ADDRESS(1,MATCH(A1562,INDIRECT("'"&amp;E1562&amp;"'"&amp;"!A10:Z10"),0),4),1,""),""),IFERROR(SUBSTITUTE(ADDRESS(1,MATCH(A1562,INDIRECT("'"&amp;E1562&amp;"'"&amp;"!A10:Z10"),0),4),1,""),""))</f>
        <v>E</v>
      </c>
      <c r="D1562" s="859" t="s">
        <v>1374</v>
      </c>
      <c r="E1562" s="859" t="s">
        <v>1291</v>
      </c>
      <c r="F1562" s="52" t="s">
        <v>1294</v>
      </c>
      <c r="G1562" s="52" t="s">
        <v>1373</v>
      </c>
      <c r="H1562" s="52" t="s">
        <v>1291</v>
      </c>
      <c r="I1562" s="857"/>
      <c r="J1562" s="1418"/>
      <c r="K1562" s="1418"/>
      <c r="L1562" s="1418"/>
      <c r="M1562" s="1418"/>
      <c r="N1562" s="1418"/>
    </row>
    <row r="1563" spans="1:20" s="1411" customFormat="1" x14ac:dyDescent="0.25">
      <c r="A1563" s="1422" t="s">
        <v>1298</v>
      </c>
      <c r="B1563" s="859" t="str">
        <f ca="1">IF('Pricing Schedule'!$K$5="No",_xlfn.CONCAT(IFERROR(SUBSTITUTE(ADDRESS(1,MATCH(A1563,INDIRECT("'"&amp;E1563&amp;"'"&amp;"!A10:Z10"),0),4),1,""),""),11),_xlfn.CONCAT(IFERROR(SUBSTITUTE(ADDRESS(1,MATCH(A1563,INDIRECT("'"&amp;E1563&amp;"'"&amp;"!A10:Z10"),0),4),1,""),""),35))</f>
        <v>J11</v>
      </c>
      <c r="C1563" s="859" t="str">
        <f ca="1">IF('Pricing Schedule'!$K$5="No",IFERROR(SUBSTITUTE(ADDRESS(1,MATCH(A1563,INDIRECT("'"&amp;E1563&amp;"'"&amp;"!A10:Z10"),0),4),1,""),""),IFERROR(SUBSTITUTE(ADDRESS(1,MATCH(A1563,INDIRECT("'"&amp;E1563&amp;"'"&amp;"!A10:Z10"),0),4),1,""),""))</f>
        <v>J</v>
      </c>
      <c r="D1563" s="859" t="s">
        <v>1374</v>
      </c>
      <c r="E1563" s="859" t="s">
        <v>1291</v>
      </c>
      <c r="F1563" s="1422" t="s">
        <v>1298</v>
      </c>
      <c r="G1563" s="52" t="s">
        <v>1381</v>
      </c>
      <c r="H1563" s="52" t="s">
        <v>1291</v>
      </c>
      <c r="I1563" s="857"/>
      <c r="J1563" s="1418"/>
      <c r="K1563" s="1418"/>
      <c r="L1563" s="1418"/>
      <c r="M1563" s="1418"/>
      <c r="N1563" s="1418"/>
    </row>
    <row r="1564" spans="1:20" s="1411" customFormat="1" x14ac:dyDescent="0.25">
      <c r="A1564" s="1422" t="s">
        <v>1300</v>
      </c>
      <c r="B1564" s="859" t="str">
        <f ca="1">IF('Pricing Schedule'!$K$5="No",_xlfn.CONCAT(IFERROR(SUBSTITUTE(ADDRESS(1,MATCH(A1564,INDIRECT("'"&amp;E1564&amp;"'"&amp;"!A10:Z10"),0),4),1,""),""),11),_xlfn.CONCAT(IFERROR(SUBSTITUTE(ADDRESS(1,MATCH(A1564,INDIRECT("'"&amp;E1564&amp;"'"&amp;"!A10:Z10"),0),4),1,""),""),35))</f>
        <v>L11</v>
      </c>
      <c r="C1564" s="859" t="str">
        <f ca="1">IF('Pricing Schedule'!$K$5="No",IFERROR(SUBSTITUTE(ADDRESS(1,MATCH(A1564,INDIRECT("'"&amp;E1564&amp;"'"&amp;"!A10:Z10"),0),4),1,""),""),IFERROR(SUBSTITUTE(ADDRESS(1,MATCH(A1564,INDIRECT("'"&amp;E1564&amp;"'"&amp;"!A10:Z10"),0),4),1,""),""))</f>
        <v>L</v>
      </c>
      <c r="D1564" s="859" t="s">
        <v>1374</v>
      </c>
      <c r="E1564" s="859" t="s">
        <v>1291</v>
      </c>
      <c r="F1564" s="1422" t="s">
        <v>1300</v>
      </c>
      <c r="G1564" s="52" t="s">
        <v>1383</v>
      </c>
      <c r="H1564" s="52" t="s">
        <v>1291</v>
      </c>
      <c r="I1564" s="857"/>
      <c r="J1564" s="1418"/>
      <c r="K1564" s="1418"/>
      <c r="L1564" s="1418"/>
      <c r="M1564" s="1418"/>
      <c r="N1564" s="1418"/>
    </row>
    <row r="1565" spans="1:20" s="1411" customFormat="1" x14ac:dyDescent="0.25">
      <c r="A1565" s="1422" t="s">
        <v>1238</v>
      </c>
      <c r="B1565" s="859" t="str">
        <f ca="1">IF('Pricing Schedule'!$K$5="No",_xlfn.CONCAT(IFERROR(SUBSTITUTE(ADDRESS(1,MATCH(A1565,INDIRECT("'"&amp;E1565&amp;"'"&amp;"!A10:Z10"),0),4),1,""),""),11),_xlfn.CONCAT(IFERROR(SUBSTITUTE(ADDRESS(1,MATCH(A1565,INDIRECT("'"&amp;E1565&amp;"'"&amp;"!A10:Z10"),0),4),1,""),""),35))</f>
        <v>M11</v>
      </c>
      <c r="C1565" s="859" t="str">
        <f ca="1">IF('Pricing Schedule'!$K$5="No",IFERROR(SUBSTITUTE(ADDRESS(1,MATCH(A1565,INDIRECT("'"&amp;E1565&amp;"'"&amp;"!A10:Z10"),0),4),1,""),""),IFERROR(SUBSTITUTE(ADDRESS(1,MATCH(A1565,INDIRECT("'"&amp;E1565&amp;"'"&amp;"!A10:Z10"),0),4),1,""),""))</f>
        <v>M</v>
      </c>
      <c r="D1565" s="859" t="s">
        <v>1374</v>
      </c>
      <c r="E1565" s="859" t="s">
        <v>1291</v>
      </c>
      <c r="F1565" s="1422" t="s">
        <v>1238</v>
      </c>
      <c r="G1565" s="52" t="s">
        <v>1377</v>
      </c>
      <c r="H1565" s="52" t="s">
        <v>1291</v>
      </c>
      <c r="I1565" s="857"/>
      <c r="J1565" s="1418"/>
      <c r="K1565" s="1418"/>
      <c r="L1565" s="1418"/>
      <c r="M1565" s="1418"/>
      <c r="N1565" s="1418"/>
    </row>
    <row r="1566" spans="1:20" s="1411" customFormat="1" x14ac:dyDescent="0.25">
      <c r="A1566" s="1424" t="s">
        <v>1293</v>
      </c>
      <c r="B1566" s="859" t="str">
        <f ca="1">IF('Pricing Schedule'!$K$5="No",_xlfn.CONCAT(IFERROR(SUBSTITUTE(ADDRESS(1,MATCH(A1566,INDIRECT("'"&amp;E1566&amp;"'"&amp;"!A10:Z10"),0),4),1,""),""),11),_xlfn.CONCAT(IFERROR(SUBSTITUTE(ADDRESS(1,MATCH(A1566,INDIRECT("'"&amp;E1566&amp;"'"&amp;"!A10:Z10"),0),4),1,""),""),35))</f>
        <v>D11</v>
      </c>
      <c r="C1566" s="859" t="str">
        <f ca="1">IF('Pricing Schedule'!$K$5="No",IFERROR(SUBSTITUTE(ADDRESS(1,MATCH(A1566,INDIRECT("'"&amp;E1566&amp;"'"&amp;"!A10:Z10"),0),4),1,""),""),IFERROR(SUBSTITUTE(ADDRESS(1,MATCH(A1566,INDIRECT("'"&amp;E1566&amp;"'"&amp;"!A10:Z10"),0),4),1,""),""))</f>
        <v>D</v>
      </c>
      <c r="D1566" s="859" t="s">
        <v>1374</v>
      </c>
      <c r="E1566" s="859" t="s">
        <v>1291</v>
      </c>
      <c r="F1566" s="1424" t="s">
        <v>1293</v>
      </c>
      <c r="G1566" s="52" t="s">
        <v>1387</v>
      </c>
      <c r="H1566" s="52" t="s">
        <v>1291</v>
      </c>
      <c r="I1566" s="857"/>
      <c r="J1566" s="1418"/>
      <c r="K1566" s="1418"/>
      <c r="L1566" s="1418"/>
      <c r="M1566" s="1418"/>
      <c r="N1566" s="1418"/>
    </row>
    <row r="1567" spans="1:20" s="1411" customFormat="1" x14ac:dyDescent="0.25">
      <c r="A1567" s="858" t="s">
        <v>1277</v>
      </c>
      <c r="B1567" s="859" t="str">
        <f ca="1">_xlfn.CONCAT(IFERROR(SUBSTITUTE(ADDRESS(1,MATCH(A1567,INDIRECT("'"&amp;E1567&amp;"'"&amp;"!A4:Z4"),0),4),1,""),""),4)</f>
        <v>B4</v>
      </c>
      <c r="C1567" s="52" t="str">
        <f ca="1">_xlfn.CONCAT(IFERROR(SUBSTITUTE(ADDRESS(1,MATCH(A1567,INDIRECT("'"&amp;E1567&amp;"'"&amp;"!A4:Z4"),0),4),1,""),""),5)</f>
        <v>B5</v>
      </c>
      <c r="D1567" s="859" t="s">
        <v>1367</v>
      </c>
      <c r="E1567" s="859" t="s">
        <v>1291</v>
      </c>
      <c r="F1567" s="858" t="s">
        <v>1277</v>
      </c>
      <c r="G1567" s="859" t="s">
        <v>1370</v>
      </c>
      <c r="H1567" s="859" t="s">
        <v>1291</v>
      </c>
      <c r="I1567" s="857"/>
      <c r="J1567" s="1418"/>
      <c r="K1567" s="1418"/>
      <c r="L1567" s="1418"/>
      <c r="M1567" s="1418"/>
      <c r="N1567" s="1418"/>
    </row>
    <row r="1568" spans="1:20" s="1411" customFormat="1" x14ac:dyDescent="0.25">
      <c r="A1568" s="859" t="s">
        <v>374</v>
      </c>
      <c r="B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59" t="s">
        <v>1367</v>
      </c>
      <c r="E1568" s="859" t="s">
        <v>1368</v>
      </c>
      <c r="F1568" s="859" t="s">
        <v>374</v>
      </c>
      <c r="G1568" s="859" t="s">
        <v>134</v>
      </c>
      <c r="H1568" s="859" t="s">
        <v>1912</v>
      </c>
      <c r="I1568" s="857"/>
      <c r="J1568" s="1418"/>
      <c r="K1568" s="1418"/>
      <c r="L1568" s="1418"/>
      <c r="M1568" s="1418"/>
      <c r="N1568" s="1418"/>
    </row>
    <row r="1569" spans="1:14" s="1411" customFormat="1" x14ac:dyDescent="0.25">
      <c r="A1569" s="859" t="s">
        <v>1169</v>
      </c>
      <c r="B1569" s="859" t="str">
        <f ca="1">_xlfn.CONCAT(IFERROR(SUBSTITUTE(ADDRESS(1,MATCH(A1569,INDIRECT("'"&amp;E1569&amp;"'"&amp;"!A29:Z29"),0),4),1,""),""),29)</f>
        <v>B29</v>
      </c>
      <c r="C1569" s="859" t="str">
        <f ca="1">_xlfn.CONCAT(IFERROR(SUBSTITUTE(ADDRESS(1,MATCH(A1569,INDIRECT("'"&amp;E1569&amp;"'"&amp;"!A29:Z29"),0),4),1,""),""),30)</f>
        <v>B30</v>
      </c>
      <c r="D1569" s="859" t="s">
        <v>1367</v>
      </c>
      <c r="E1569" s="859" t="s">
        <v>1391</v>
      </c>
      <c r="F1569" s="859" t="str">
        <f>IF(G1569&lt;&gt;"","Business Case","")</f>
        <v>Business Case</v>
      </c>
      <c r="G1569" s="859" t="str">
        <f>IF(Welcome!D$6="New","O","")</f>
        <v>O</v>
      </c>
      <c r="H1569" s="52" t="str">
        <f>IF(G1569&lt;&gt;"","General","")</f>
        <v>General</v>
      </c>
      <c r="I1569" s="857"/>
      <c r="J1569" s="1418"/>
      <c r="K1569" s="1418"/>
      <c r="L1569" s="1418"/>
      <c r="M1569" s="1418"/>
      <c r="N1569" s="1418"/>
    </row>
    <row r="1570" spans="1:14" s="1411" customFormat="1" x14ac:dyDescent="0.25">
      <c r="A1570" s="858" t="s">
        <v>1263</v>
      </c>
      <c r="B1570" s="52" t="str">
        <f>IFERROR(_xlfn.CONCAT("D",MATCH(A1570,'Tracking &amp; Profitability'!D$1:D$62,0)),"")</f>
        <v>D23</v>
      </c>
      <c r="C1570" s="52" t="str">
        <f>IFERROR(_xlfn.CONCAT("E",MATCH(A1570,'Tracking &amp; Profitability'!D$1:D$62,0)),"")</f>
        <v>E23</v>
      </c>
      <c r="D1570" s="859" t="s">
        <v>1367</v>
      </c>
      <c r="E1570" s="52" t="s">
        <v>129</v>
      </c>
      <c r="F1570" s="858" t="s">
        <v>1968</v>
      </c>
      <c r="G1570" s="52" t="s">
        <v>1969</v>
      </c>
      <c r="H1570" s="52" t="s">
        <v>1912</v>
      </c>
      <c r="I1570" s="857"/>
      <c r="J1570" s="1418"/>
      <c r="K1570" s="1418"/>
      <c r="L1570" s="1418"/>
      <c r="M1570" s="1418"/>
      <c r="N1570" s="1418"/>
    </row>
    <row r="1571" spans="1:14" s="1411" customFormat="1" x14ac:dyDescent="0.25">
      <c r="A1571" s="858" t="s">
        <v>1264</v>
      </c>
      <c r="B1571" s="52" t="str">
        <f>IFERROR(_xlfn.CONCAT("D",MATCH(A1571,'Tracking &amp; Profitability'!D$1:D$62,0)),"")</f>
        <v>D24</v>
      </c>
      <c r="C1571" s="52" t="str">
        <f>IFERROR(_xlfn.CONCAT("E",MATCH(A1571,'Tracking &amp; Profitability'!D$1:D$62,0)),"")</f>
        <v>E24</v>
      </c>
      <c r="D1571" s="859" t="s">
        <v>1367</v>
      </c>
      <c r="E1571" s="52" t="s">
        <v>129</v>
      </c>
      <c r="F1571" s="858" t="s">
        <v>1970</v>
      </c>
      <c r="G1571" s="52" t="s">
        <v>660</v>
      </c>
      <c r="H1571" s="52" t="s">
        <v>1912</v>
      </c>
      <c r="I1571" s="857"/>
      <c r="J1571" s="1418"/>
      <c r="K1571" s="1418"/>
      <c r="L1571" s="1418"/>
      <c r="M1571" s="1418"/>
      <c r="N1571" s="1418"/>
    </row>
    <row r="1572" spans="1:14" s="1411" customFormat="1" x14ac:dyDescent="0.25">
      <c r="A1572" s="858" t="s">
        <v>1264</v>
      </c>
      <c r="B1572" s="52" t="str">
        <f>IFERROR(_xlfn.CONCAT("D",MATCH(A1572,'Tracking &amp; Profitability'!D$1:D$62,0)),"")</f>
        <v>D24</v>
      </c>
      <c r="C1572" s="52" t="str">
        <f>IFERROR(_xlfn.CONCAT("G",MATCH(A1572,'Tracking &amp; Profitability'!D$1:D$62,0)),"")</f>
        <v>G24</v>
      </c>
      <c r="D1572" s="859" t="s">
        <v>1367</v>
      </c>
      <c r="E1572" s="52" t="s">
        <v>129</v>
      </c>
      <c r="F1572" s="858" t="s">
        <v>1971</v>
      </c>
      <c r="G1572" s="52" t="s">
        <v>1972</v>
      </c>
      <c r="H1572" s="52" t="s">
        <v>1912</v>
      </c>
      <c r="I1572" s="857"/>
      <c r="J1572" s="1418"/>
      <c r="K1572" s="1418"/>
      <c r="L1572" s="1418"/>
      <c r="M1572" s="1418"/>
      <c r="N1572" s="1418"/>
    </row>
    <row r="1573" spans="1:14" s="1411" customFormat="1" x14ac:dyDescent="0.25">
      <c r="A1573" s="858" t="s">
        <v>1266</v>
      </c>
      <c r="B1573" s="52" t="str">
        <f>IFERROR(_xlfn.CONCAT("D",MATCH(A1573,'Tracking &amp; Profitability'!D$1:D$62,0)),"")</f>
        <v>D35</v>
      </c>
      <c r="C1573" s="52" t="str">
        <f>IFERROR(_xlfn.CONCAT("E",MATCH(A1573,'Tracking &amp; Profitability'!D$1:D$62,0)),"")</f>
        <v>E35</v>
      </c>
      <c r="D1573" s="859" t="s">
        <v>1367</v>
      </c>
      <c r="E1573" s="52" t="s">
        <v>129</v>
      </c>
      <c r="F1573" s="858" t="s">
        <v>1973</v>
      </c>
      <c r="G1573" s="52" t="s">
        <v>1974</v>
      </c>
      <c r="H1573" s="52" t="s">
        <v>1912</v>
      </c>
      <c r="I1573" s="857"/>
      <c r="J1573" s="1418"/>
      <c r="K1573" s="1418"/>
      <c r="L1573" s="1418"/>
      <c r="M1573" s="1418"/>
      <c r="N1573" s="1418"/>
    </row>
    <row r="1574" spans="1:14" s="1411" customFormat="1" x14ac:dyDescent="0.25">
      <c r="A1574" s="858" t="s">
        <v>1266</v>
      </c>
      <c r="B1574" s="52" t="str">
        <f>IFERROR(_xlfn.CONCAT("D",MATCH(A1574,'Tracking &amp; Profitability'!D$1:D$62,0)),"")</f>
        <v>D35</v>
      </c>
      <c r="C1574" s="52" t="str">
        <f>IFERROR(_xlfn.CONCAT("I",MATCH(A1574,'Tracking &amp; Profitability'!D$1:D$62,0)),"")</f>
        <v>I35</v>
      </c>
      <c r="D1574" s="859" t="s">
        <v>1367</v>
      </c>
      <c r="E1574" s="52" t="s">
        <v>129</v>
      </c>
      <c r="F1574" s="858" t="s">
        <v>1975</v>
      </c>
      <c r="G1574" s="52" t="s">
        <v>1976</v>
      </c>
      <c r="H1574" s="52" t="s">
        <v>1912</v>
      </c>
      <c r="I1574" s="857"/>
      <c r="J1574" s="1418"/>
      <c r="K1574" s="1418"/>
      <c r="L1574" s="1418"/>
      <c r="M1574" s="1418"/>
      <c r="N1574" s="1418"/>
    </row>
    <row r="1575" spans="1:14" s="1411" customFormat="1" x14ac:dyDescent="0.25">
      <c r="A1575" s="858" t="s">
        <v>1266</v>
      </c>
      <c r="B1575" s="52" t="str">
        <f>IFERROR(_xlfn.CONCAT("D",MATCH(A1575,'Tracking &amp; Profitability'!D$1:D$62,0)),"")</f>
        <v>D35</v>
      </c>
      <c r="C1575" s="52" t="str">
        <f>IFERROR(_xlfn.CONCAT("G",MATCH(A1575,'Tracking &amp; Profitability'!D$1:D$62,0)),"")</f>
        <v>G35</v>
      </c>
      <c r="D1575" s="859" t="s">
        <v>1367</v>
      </c>
      <c r="E1575" s="52" t="s">
        <v>129</v>
      </c>
      <c r="F1575" s="858" t="s">
        <v>1977</v>
      </c>
      <c r="G1575" s="52" t="s">
        <v>1978</v>
      </c>
      <c r="H1575" s="52" t="s">
        <v>1912</v>
      </c>
      <c r="I1575" s="857"/>
      <c r="J1575" s="1418"/>
      <c r="K1575" s="1418"/>
      <c r="L1575" s="1418"/>
      <c r="M1575" s="1418"/>
      <c r="N1575" s="1418"/>
    </row>
    <row r="1576" spans="1:14" s="1411" customFormat="1" x14ac:dyDescent="0.25">
      <c r="A1576" s="858" t="s">
        <v>1266</v>
      </c>
      <c r="B1576" s="52" t="str">
        <f>IFERROR(_xlfn.CONCAT("D",MATCH(A1576,'Tracking &amp; Profitability'!D$1:D$62,0)),"")</f>
        <v>D35</v>
      </c>
      <c r="C1576" s="52" t="str">
        <f>IFERROR(_xlfn.CONCAT("K",MATCH(A1576,'Tracking &amp; Profitability'!D$1:D$62,0)),"")</f>
        <v>K35</v>
      </c>
      <c r="D1576" s="859" t="s">
        <v>1367</v>
      </c>
      <c r="E1576" s="52" t="s">
        <v>129</v>
      </c>
      <c r="F1576" s="858" t="s">
        <v>1979</v>
      </c>
      <c r="G1576" s="52" t="s">
        <v>1980</v>
      </c>
      <c r="H1576" s="52" t="s">
        <v>1912</v>
      </c>
      <c r="I1576" s="857"/>
      <c r="J1576" s="1418"/>
      <c r="K1576" s="1418"/>
      <c r="L1576" s="1418"/>
      <c r="M1576" s="1418"/>
      <c r="N1576" s="1418"/>
    </row>
    <row r="1577" spans="1:14" s="1411" customFormat="1" ht="30" x14ac:dyDescent="0.25">
      <c r="A1577" s="858" t="s">
        <v>1266</v>
      </c>
      <c r="B1577" s="52" t="str">
        <f>IFERROR(_xlfn.CONCAT("D",MATCH(A1577,'Tracking &amp; Profitability'!D$1:D$62,0)),"")</f>
        <v>D35</v>
      </c>
      <c r="C1577" s="52" t="str">
        <f>IFERROR(_xlfn.CONCAT("M",MATCH(A1577,'Tracking &amp; Profitability'!D$1:D$62,0)),"")</f>
        <v>M35</v>
      </c>
      <c r="D1577" s="859" t="s">
        <v>1367</v>
      </c>
      <c r="E1577" s="52" t="s">
        <v>129</v>
      </c>
      <c r="F1577" s="858" t="s">
        <v>1981</v>
      </c>
      <c r="G1577" s="52" t="s">
        <v>1982</v>
      </c>
      <c r="H1577" s="52" t="s">
        <v>1912</v>
      </c>
      <c r="I1577" s="857"/>
      <c r="J1577" s="1418"/>
      <c r="K1577" s="1418"/>
      <c r="L1577" s="1418"/>
      <c r="M1577" s="1418"/>
      <c r="N1577" s="1418"/>
    </row>
    <row r="1578" spans="1:14" s="1411" customFormat="1" x14ac:dyDescent="0.25">
      <c r="A1578" s="858" t="s">
        <v>1270</v>
      </c>
      <c r="B1578" s="52" t="str">
        <f>IFERROR(_xlfn.CONCAT("D",MATCH(A1578,'Tracking &amp; Profitability'!D$1:D$62,0)),"")</f>
        <v>D39</v>
      </c>
      <c r="C1578" s="52" t="str">
        <f>IFERROR(_xlfn.CONCAT("I",MATCH(A1578,'Tracking &amp; Profitability'!D$1:D$62,0)),"")</f>
        <v>I39</v>
      </c>
      <c r="D1578" s="859" t="s">
        <v>1367</v>
      </c>
      <c r="E1578" s="52" t="s">
        <v>129</v>
      </c>
      <c r="F1578" s="1422" t="s">
        <v>1983</v>
      </c>
      <c r="G1578" s="52" t="s">
        <v>1984</v>
      </c>
      <c r="H1578" s="52" t="s">
        <v>1912</v>
      </c>
      <c r="I1578" s="857"/>
      <c r="J1578" s="1418"/>
      <c r="K1578" s="1418"/>
      <c r="L1578" s="1418"/>
      <c r="M1578" s="1418"/>
      <c r="N1578" s="1418"/>
    </row>
    <row r="1579" spans="1:14" s="1411" customFormat="1" x14ac:dyDescent="0.25">
      <c r="A1579" s="858" t="s">
        <v>1270</v>
      </c>
      <c r="B1579" s="52" t="str">
        <f>IFERROR(_xlfn.CONCAT("D",MATCH(A1579,'Tracking &amp; Profitability'!D$1:D$62,0)),"")</f>
        <v>D39</v>
      </c>
      <c r="C1579" s="52" t="str">
        <f>IFERROR(_xlfn.CONCAT("G",MATCH(A1579,'Tracking &amp; Profitability'!D$1:D$62,0)),"")</f>
        <v>G39</v>
      </c>
      <c r="D1579" s="859" t="s">
        <v>1367</v>
      </c>
      <c r="E1579" s="52" t="s">
        <v>129</v>
      </c>
      <c r="F1579" s="1422" t="s">
        <v>1985</v>
      </c>
      <c r="G1579" s="52" t="s">
        <v>1986</v>
      </c>
      <c r="H1579" s="52" t="s">
        <v>1912</v>
      </c>
      <c r="I1579" s="857"/>
      <c r="J1579" s="1418"/>
      <c r="K1579" s="1418"/>
      <c r="L1579" s="1418"/>
      <c r="M1579" s="1418"/>
      <c r="N1579" s="1418"/>
    </row>
    <row r="1580" spans="1:14" s="1411" customFormat="1" x14ac:dyDescent="0.25">
      <c r="A1580" s="858" t="s">
        <v>1270</v>
      </c>
      <c r="B1580" s="52" t="str">
        <f>IFERROR(_xlfn.CONCAT("D",MATCH(A1580,'Tracking &amp; Profitability'!D$1:D$62,0)),"")</f>
        <v>D39</v>
      </c>
      <c r="C1580" s="52" t="str">
        <f>IFERROR(_xlfn.CONCAT("E",MATCH(A1580,'Tracking &amp; Profitability'!D$1:D$62,0)),"")</f>
        <v>E39</v>
      </c>
      <c r="D1580" s="859" t="s">
        <v>1367</v>
      </c>
      <c r="E1580" s="52" t="s">
        <v>129</v>
      </c>
      <c r="F1580" s="1422" t="s">
        <v>1987</v>
      </c>
      <c r="G1580" s="52" t="s">
        <v>1988</v>
      </c>
      <c r="H1580" s="52" t="s">
        <v>1912</v>
      </c>
      <c r="I1580" s="857"/>
      <c r="J1580" s="1418"/>
      <c r="K1580" s="1418"/>
      <c r="L1580" s="1418"/>
      <c r="M1580" s="1418"/>
      <c r="N1580" s="1418"/>
    </row>
    <row r="1581" spans="1:14" s="1411" customFormat="1" x14ac:dyDescent="0.25">
      <c r="A1581" s="858" t="s">
        <v>1270</v>
      </c>
      <c r="B1581" s="52" t="str">
        <f>IFERROR(_xlfn.CONCAT("D",MATCH(A1581,'Tracking &amp; Profitability'!D$1:D$62,0)),"")</f>
        <v>D39</v>
      </c>
      <c r="C1581" s="52" t="str">
        <f>IFERROR(_xlfn.CONCAT("K",MATCH(A1581,'Tracking &amp; Profitability'!D$1:D$62,0)),"")</f>
        <v>K39</v>
      </c>
      <c r="D1581" s="859" t="s">
        <v>1367</v>
      </c>
      <c r="E1581" s="52" t="s">
        <v>129</v>
      </c>
      <c r="F1581" s="1422" t="s">
        <v>1989</v>
      </c>
      <c r="G1581" s="52" t="s">
        <v>1990</v>
      </c>
      <c r="H1581" s="52" t="s">
        <v>1912</v>
      </c>
      <c r="I1581" s="857"/>
      <c r="J1581" s="1418"/>
      <c r="K1581" s="1418"/>
      <c r="L1581" s="1418"/>
      <c r="M1581" s="1418"/>
      <c r="N1581" s="1418"/>
    </row>
    <row r="1582" spans="1:14" s="1411" customFormat="1" x14ac:dyDescent="0.25">
      <c r="A1582" s="858" t="s">
        <v>1270</v>
      </c>
      <c r="B1582" s="52" t="str">
        <f>IFERROR(_xlfn.CONCAT("D",MATCH(A1582,'Tracking &amp; Profitability'!D$1:D$62,0)),"")</f>
        <v>D39</v>
      </c>
      <c r="C1582" s="52" t="str">
        <f>IFERROR(_xlfn.CONCAT("M",MATCH(A1582,'Tracking &amp; Profitability'!D$1:D$62,0)),"")</f>
        <v>M39</v>
      </c>
      <c r="D1582" s="859" t="s">
        <v>1367</v>
      </c>
      <c r="E1582" s="52" t="s">
        <v>129</v>
      </c>
      <c r="F1582" s="1422" t="s">
        <v>1991</v>
      </c>
      <c r="G1582" s="52" t="s">
        <v>1992</v>
      </c>
      <c r="H1582" s="52" t="s">
        <v>1912</v>
      </c>
      <c r="I1582" s="857"/>
      <c r="J1582" s="1418"/>
      <c r="K1582" s="1418"/>
      <c r="L1582" s="1418"/>
      <c r="M1582" s="1418"/>
      <c r="N1582" s="1418"/>
    </row>
    <row r="1583" spans="1:14" s="1411" customFormat="1" x14ac:dyDescent="0.25">
      <c r="A1583" s="859" t="s">
        <v>1228</v>
      </c>
      <c r="B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59" t="s">
        <v>1367</v>
      </c>
      <c r="E1583" s="859" t="s">
        <v>1368</v>
      </c>
      <c r="F1583" s="859" t="s">
        <v>1228</v>
      </c>
      <c r="G1583" s="858" t="s">
        <v>1993</v>
      </c>
      <c r="H1583" s="859" t="s">
        <v>1912</v>
      </c>
      <c r="I1583" s="857"/>
      <c r="J1583" s="1418"/>
      <c r="K1583" s="1418"/>
      <c r="L1583" s="1418"/>
      <c r="M1583" s="1418"/>
      <c r="N1583" s="1418"/>
    </row>
    <row r="1584" spans="1:14" s="1411" customFormat="1" x14ac:dyDescent="0.25">
      <c r="A1584" s="859" t="s">
        <v>1388</v>
      </c>
      <c r="B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59" t="s">
        <v>1367</v>
      </c>
      <c r="E1584" s="859" t="s">
        <v>1368</v>
      </c>
      <c r="F1584" s="859" t="s">
        <v>1388</v>
      </c>
      <c r="G1584" s="859" t="s">
        <v>1994</v>
      </c>
      <c r="H1584" s="859" t="s">
        <v>1912</v>
      </c>
      <c r="I1584" s="857"/>
      <c r="J1584" s="1418"/>
      <c r="K1584" s="1418"/>
      <c r="L1584" s="1418"/>
      <c r="M1584" s="1418"/>
      <c r="N1584" s="1418"/>
    </row>
    <row r="1585" spans="1:14" s="1411" customFormat="1" x14ac:dyDescent="0.25">
      <c r="A1585" s="858" t="s">
        <v>1227</v>
      </c>
      <c r="B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59" t="s">
        <v>1367</v>
      </c>
      <c r="E1585" s="859" t="s">
        <v>1368</v>
      </c>
      <c r="F1585" s="858" t="s">
        <v>1227</v>
      </c>
      <c r="G1585" s="859" t="s">
        <v>1995</v>
      </c>
      <c r="H1585" s="859" t="s">
        <v>1912</v>
      </c>
      <c r="I1585" s="857"/>
      <c r="J1585" s="1418"/>
      <c r="K1585" s="1418"/>
      <c r="L1585" s="1418"/>
      <c r="M1585" s="1418"/>
      <c r="N1585" s="1418"/>
    </row>
    <row r="1586" spans="1:14" s="1411" customFormat="1" ht="30" x14ac:dyDescent="0.25">
      <c r="A1586" s="858" t="s">
        <v>1241</v>
      </c>
      <c r="B1586" s="859"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59"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59" t="s">
        <v>1367</v>
      </c>
      <c r="E1586" s="859" t="s">
        <v>1368</v>
      </c>
      <c r="F1586" s="858" t="s">
        <v>1996</v>
      </c>
      <c r="G1586" s="859" t="s">
        <v>1997</v>
      </c>
      <c r="H1586" s="859" t="s">
        <v>1912</v>
      </c>
      <c r="I1586" s="857"/>
      <c r="J1586" s="1418"/>
      <c r="K1586" s="1418"/>
      <c r="L1586" s="1418"/>
      <c r="M1586" s="1418"/>
      <c r="N1586" s="1418"/>
    </row>
    <row r="1587" spans="1:14" s="1411" customFormat="1" ht="30" x14ac:dyDescent="0.25">
      <c r="A1587" s="858" t="s">
        <v>1242</v>
      </c>
      <c r="B1587" s="859" t="str">
        <f t="shared" ca="1" si="272"/>
        <v>H12</v>
      </c>
      <c r="C1587" s="859" t="str">
        <f t="shared" ca="1" si="273"/>
        <v>H13</v>
      </c>
      <c r="D1587" s="859" t="s">
        <v>1367</v>
      </c>
      <c r="E1587" s="859" t="s">
        <v>1368</v>
      </c>
      <c r="F1587" s="858" t="s">
        <v>1242</v>
      </c>
      <c r="G1587" s="859" t="s">
        <v>1998</v>
      </c>
      <c r="H1587" s="859" t="s">
        <v>1912</v>
      </c>
      <c r="I1587" s="857"/>
      <c r="J1587" s="1418"/>
      <c r="K1587" s="1418"/>
      <c r="L1587" s="1418"/>
      <c r="M1587" s="1418"/>
      <c r="N1587" s="1418"/>
    </row>
    <row r="1588" spans="1:14" s="1411" customFormat="1" x14ac:dyDescent="0.25">
      <c r="A1588" s="858" t="s">
        <v>1237</v>
      </c>
      <c r="B1588" s="859" t="str">
        <f t="shared" ca="1" si="272"/>
        <v>C12</v>
      </c>
      <c r="C1588" s="859" t="str">
        <f t="shared" ca="1" si="273"/>
        <v>C13</v>
      </c>
      <c r="D1588" s="859" t="s">
        <v>1367</v>
      </c>
      <c r="E1588" s="859" t="s">
        <v>1368</v>
      </c>
      <c r="F1588" s="858" t="s">
        <v>1999</v>
      </c>
      <c r="G1588" s="859" t="s">
        <v>2000</v>
      </c>
      <c r="H1588" s="859" t="s">
        <v>1912</v>
      </c>
      <c r="I1588" s="857"/>
      <c r="J1588" s="1418"/>
      <c r="K1588" s="1418"/>
      <c r="L1588" s="1418"/>
      <c r="M1588" s="1418"/>
      <c r="N1588" s="1418"/>
    </row>
    <row r="1589" spans="1:14" s="1411" customFormat="1" x14ac:dyDescent="0.25">
      <c r="A1589" s="858" t="s">
        <v>1238</v>
      </c>
      <c r="B1589" s="859" t="str">
        <f t="shared" ca="1" si="272"/>
        <v>D12</v>
      </c>
      <c r="C1589" s="859" t="str">
        <f t="shared" ca="1" si="273"/>
        <v>D13</v>
      </c>
      <c r="D1589" s="859" t="s">
        <v>1367</v>
      </c>
      <c r="E1589" s="859" t="s">
        <v>1368</v>
      </c>
      <c r="F1589" s="858" t="s">
        <v>1238</v>
      </c>
      <c r="G1589" s="859" t="s">
        <v>2001</v>
      </c>
      <c r="H1589" s="859" t="s">
        <v>1912</v>
      </c>
      <c r="I1589" s="857"/>
      <c r="J1589" s="1418"/>
      <c r="K1589" s="1418"/>
      <c r="L1589" s="1418"/>
      <c r="M1589" s="1418"/>
      <c r="N1589" s="1418"/>
    </row>
    <row r="1590" spans="1:14" s="1411" customFormat="1" x14ac:dyDescent="0.25">
      <c r="A1590" s="858" t="s">
        <v>1239</v>
      </c>
      <c r="B1590" s="859" t="str">
        <f t="shared" ca="1" si="272"/>
        <v>E12</v>
      </c>
      <c r="C1590" s="859" t="str">
        <f t="shared" ca="1" si="273"/>
        <v>E13</v>
      </c>
      <c r="D1590" s="859" t="s">
        <v>1367</v>
      </c>
      <c r="E1590" s="859" t="s">
        <v>1368</v>
      </c>
      <c r="F1590" s="858" t="s">
        <v>1239</v>
      </c>
      <c r="G1590" s="859" t="s">
        <v>2002</v>
      </c>
      <c r="H1590" s="859" t="s">
        <v>1912</v>
      </c>
      <c r="I1590" s="857"/>
      <c r="J1590" s="1418"/>
      <c r="K1590" s="1418"/>
      <c r="L1590" s="1418"/>
      <c r="M1590" s="1418"/>
      <c r="N1590" s="1418"/>
    </row>
    <row r="1591" spans="1:14" s="1411" customFormat="1" x14ac:dyDescent="0.25">
      <c r="A1591" s="858" t="s">
        <v>1236</v>
      </c>
      <c r="B1591" s="859" t="str">
        <f t="shared" ca="1" si="272"/>
        <v>B12</v>
      </c>
      <c r="C1591" s="859" t="str">
        <f t="shared" ca="1" si="273"/>
        <v>B13</v>
      </c>
      <c r="D1591" s="859" t="s">
        <v>1367</v>
      </c>
      <c r="E1591" s="859" t="s">
        <v>1368</v>
      </c>
      <c r="F1591" s="858" t="s">
        <v>1236</v>
      </c>
      <c r="G1591" s="859" t="s">
        <v>2003</v>
      </c>
      <c r="H1591" s="859" t="s">
        <v>1912</v>
      </c>
      <c r="I1591" s="857"/>
      <c r="J1591" s="1418"/>
      <c r="K1591" s="1418"/>
      <c r="L1591" s="1418"/>
      <c r="M1591" s="1418"/>
      <c r="N1591" s="1418"/>
    </row>
    <row r="1592" spans="1:14" s="1411" customFormat="1" x14ac:dyDescent="0.25">
      <c r="A1592" s="859" t="s">
        <v>1488</v>
      </c>
      <c r="B1592" s="859" t="str">
        <f>IFERROR(_xlfn.CONCAT("C",MATCH(A1592,Welcome!C$1:C$60,0)),"")</f>
        <v>C20</v>
      </c>
      <c r="C1592" s="859" t="str">
        <f>IFERROR(_xlfn.CONCAT("D",MATCH(A1592,Welcome!C$1:C$61,0)),"")</f>
        <v>D20</v>
      </c>
      <c r="D1592" s="859" t="s">
        <v>1367</v>
      </c>
      <c r="E1592" s="859" t="s">
        <v>1391</v>
      </c>
      <c r="F1592" s="859" t="s">
        <v>1392</v>
      </c>
      <c r="G1592" s="859" t="s">
        <v>2004</v>
      </c>
      <c r="H1592" s="859" t="s">
        <v>1912</v>
      </c>
      <c r="I1592" s="857"/>
      <c r="J1592" s="1418"/>
      <c r="K1592" s="1418"/>
      <c r="L1592" s="1418"/>
      <c r="M1592" s="1418"/>
      <c r="N1592" s="1418"/>
    </row>
    <row r="1593" spans="1:14" s="1411" customFormat="1" x14ac:dyDescent="0.25">
      <c r="A1593" s="858" t="s">
        <v>1278</v>
      </c>
      <c r="B1593" s="859" t="str">
        <f t="shared" ref="B1593:B1600" ca="1" si="274">_xlfn.CONCAT(IFERROR(SUBSTITUTE(ADDRESS(1,MATCH(A1593,INDIRECT("'"&amp;E1593&amp;"'"&amp;"!A4:Z4"),0),4),1,""),""),4)</f>
        <v>C4</v>
      </c>
      <c r="C1593" s="52" t="str">
        <f t="shared" ref="C1593:C1600" ca="1" si="275">_xlfn.CONCAT(IFERROR(SUBSTITUTE(ADDRESS(1,MATCH(A1593,INDIRECT("'"&amp;E1593&amp;"'"&amp;"!A4:Z4"),0),4),1,""),""),5)</f>
        <v>C5</v>
      </c>
      <c r="D1593" s="859" t="s">
        <v>1367</v>
      </c>
      <c r="E1593" s="859" t="s">
        <v>1291</v>
      </c>
      <c r="F1593" s="858" t="s">
        <v>1278</v>
      </c>
      <c r="G1593" s="52" t="s">
        <v>2005</v>
      </c>
      <c r="H1593" s="52" t="s">
        <v>1912</v>
      </c>
      <c r="I1593" s="857"/>
      <c r="J1593" s="1418"/>
      <c r="K1593" s="1418"/>
      <c r="L1593" s="1418"/>
      <c r="M1593" s="1418"/>
      <c r="N1593" s="1418"/>
    </row>
    <row r="1594" spans="1:14" s="1411" customFormat="1" x14ac:dyDescent="0.25">
      <c r="A1594" s="858" t="s">
        <v>1394</v>
      </c>
      <c r="B1594" s="859" t="str">
        <f t="shared" ca="1" si="274"/>
        <v>D4</v>
      </c>
      <c r="C1594" s="52" t="str">
        <f t="shared" ca="1" si="275"/>
        <v>D5</v>
      </c>
      <c r="D1594" s="859" t="s">
        <v>1367</v>
      </c>
      <c r="E1594" s="859" t="s">
        <v>1291</v>
      </c>
      <c r="F1594" s="858" t="s">
        <v>1394</v>
      </c>
      <c r="G1594" s="52" t="s">
        <v>2006</v>
      </c>
      <c r="H1594" s="52" t="s">
        <v>1912</v>
      </c>
      <c r="I1594" s="857"/>
      <c r="J1594" s="1418"/>
      <c r="K1594" s="1418"/>
      <c r="L1594" s="1418"/>
      <c r="M1594" s="1418"/>
      <c r="N1594" s="1418"/>
    </row>
    <row r="1595" spans="1:14" s="1411" customFormat="1" x14ac:dyDescent="0.25">
      <c r="A1595" s="858" t="s">
        <v>1279</v>
      </c>
      <c r="B1595" s="859" t="str">
        <f t="shared" ca="1" si="274"/>
        <v>E4</v>
      </c>
      <c r="C1595" s="52" t="str">
        <f t="shared" ca="1" si="275"/>
        <v>E5</v>
      </c>
      <c r="D1595" s="859" t="s">
        <v>1367</v>
      </c>
      <c r="E1595" s="859" t="s">
        <v>1291</v>
      </c>
      <c r="F1595" s="858" t="s">
        <v>1279</v>
      </c>
      <c r="G1595" s="52" t="s">
        <v>2007</v>
      </c>
      <c r="H1595" s="52" t="s">
        <v>1912</v>
      </c>
      <c r="I1595" s="857"/>
      <c r="J1595" s="1418"/>
      <c r="K1595" s="1418"/>
      <c r="L1595" s="1418"/>
      <c r="M1595" s="1418"/>
      <c r="N1595" s="1418"/>
    </row>
    <row r="1596" spans="1:14" s="1411" customFormat="1" x14ac:dyDescent="0.25">
      <c r="A1596" s="858" t="s">
        <v>1282</v>
      </c>
      <c r="B1596" s="859" t="str">
        <f t="shared" ca="1" si="274"/>
        <v>H4</v>
      </c>
      <c r="C1596" s="52" t="str">
        <f t="shared" ca="1" si="275"/>
        <v>H5</v>
      </c>
      <c r="D1596" s="859" t="s">
        <v>1367</v>
      </c>
      <c r="E1596" s="859" t="s">
        <v>1291</v>
      </c>
      <c r="F1596" s="858" t="s">
        <v>1282</v>
      </c>
      <c r="G1596" s="52" t="s">
        <v>2008</v>
      </c>
      <c r="H1596" s="52" t="s">
        <v>1912</v>
      </c>
      <c r="I1596" s="857"/>
      <c r="J1596" s="1418"/>
      <c r="K1596" s="1418"/>
      <c r="L1596" s="1418"/>
      <c r="M1596" s="1418"/>
      <c r="N1596" s="1418"/>
    </row>
    <row r="1597" spans="1:14" s="1411" customFormat="1" x14ac:dyDescent="0.25">
      <c r="A1597" s="858" t="s">
        <v>1286</v>
      </c>
      <c r="B1597" s="859" t="str">
        <f t="shared" ca="1" si="274"/>
        <v>L4</v>
      </c>
      <c r="C1597" s="52" t="str">
        <f t="shared" ca="1" si="275"/>
        <v>L5</v>
      </c>
      <c r="D1597" s="859" t="s">
        <v>1367</v>
      </c>
      <c r="E1597" s="859" t="s">
        <v>1291</v>
      </c>
      <c r="F1597" s="858" t="s">
        <v>1286</v>
      </c>
      <c r="G1597" s="52" t="s">
        <v>2009</v>
      </c>
      <c r="H1597" s="52" t="s">
        <v>1912</v>
      </c>
      <c r="I1597" s="857"/>
      <c r="J1597" s="1418"/>
      <c r="K1597" s="1418"/>
      <c r="L1597" s="1418"/>
      <c r="M1597" s="1418"/>
      <c r="N1597" s="1418"/>
    </row>
    <row r="1598" spans="1:14" s="1411" customFormat="1" x14ac:dyDescent="0.25">
      <c r="A1598" s="858" t="s">
        <v>1283</v>
      </c>
      <c r="B1598" s="859" t="str">
        <f t="shared" ca="1" si="274"/>
        <v>I4</v>
      </c>
      <c r="C1598" s="52" t="str">
        <f t="shared" ca="1" si="275"/>
        <v>I5</v>
      </c>
      <c r="D1598" s="859" t="s">
        <v>1367</v>
      </c>
      <c r="E1598" s="859" t="s">
        <v>1291</v>
      </c>
      <c r="F1598" s="858" t="s">
        <v>1283</v>
      </c>
      <c r="G1598" s="52" t="s">
        <v>2010</v>
      </c>
      <c r="H1598" s="52" t="s">
        <v>1912</v>
      </c>
      <c r="I1598" s="857"/>
      <c r="J1598" s="1418"/>
      <c r="K1598" s="1418"/>
      <c r="L1598" s="1418"/>
      <c r="M1598" s="1418"/>
      <c r="N1598" s="1418"/>
    </row>
    <row r="1599" spans="1:14" s="1411" customFormat="1" x14ac:dyDescent="0.25">
      <c r="A1599" s="858" t="s">
        <v>1284</v>
      </c>
      <c r="B1599" s="859" t="str">
        <f t="shared" ca="1" si="274"/>
        <v>J4</v>
      </c>
      <c r="C1599" s="52" t="str">
        <f t="shared" ca="1" si="275"/>
        <v>J5</v>
      </c>
      <c r="D1599" s="859" t="s">
        <v>1367</v>
      </c>
      <c r="E1599" s="859" t="s">
        <v>1291</v>
      </c>
      <c r="F1599" s="858" t="s">
        <v>1284</v>
      </c>
      <c r="G1599" s="52" t="s">
        <v>2011</v>
      </c>
      <c r="H1599" s="52" t="s">
        <v>1912</v>
      </c>
      <c r="I1599" s="857"/>
      <c r="J1599" s="1418"/>
      <c r="K1599" s="1418"/>
      <c r="L1599" s="1418"/>
      <c r="M1599" s="1418"/>
      <c r="N1599" s="1418"/>
    </row>
    <row r="1600" spans="1:14" s="1411" customFormat="1" x14ac:dyDescent="0.25">
      <c r="A1600" s="858" t="s">
        <v>1285</v>
      </c>
      <c r="B1600" s="859" t="str">
        <f t="shared" ca="1" si="274"/>
        <v>K4</v>
      </c>
      <c r="C1600" s="52" t="str">
        <f t="shared" ca="1" si="275"/>
        <v>K5</v>
      </c>
      <c r="D1600" s="859" t="s">
        <v>1367</v>
      </c>
      <c r="E1600" s="859" t="s">
        <v>1291</v>
      </c>
      <c r="F1600" s="858" t="s">
        <v>1285</v>
      </c>
      <c r="G1600" s="52" t="s">
        <v>2012</v>
      </c>
      <c r="H1600" s="52" t="s">
        <v>1912</v>
      </c>
      <c r="I1600" s="857"/>
      <c r="J1600" s="1418"/>
      <c r="K1600" s="1418"/>
      <c r="L1600" s="1418"/>
      <c r="M1600" s="1418"/>
      <c r="N1600" s="1418"/>
    </row>
    <row r="1601" spans="1:14" s="1411" customFormat="1" x14ac:dyDescent="0.25">
      <c r="A1601" s="919" t="s">
        <v>1301</v>
      </c>
      <c r="B1601" s="859" t="str">
        <f ca="1">IF('Pricing Schedule'!$K$5="No",_xlfn.CONCAT(IFERROR(SUBSTITUTE(ADDRESS(1,MATCH(A1601,INDIRECT("'"&amp;E1601&amp;"'"&amp;"!A10:Z10"),0),4),1,""),""),11),_xlfn.CONCAT(IFERROR(SUBSTITUTE(ADDRESS(1,MATCH(A1601,INDIRECT("'"&amp;E1601&amp;"'"&amp;"!A10:Z10"),0),4),1,""),""),35))</f>
        <v>N11</v>
      </c>
      <c r="C1601" s="859" t="str">
        <f ca="1">IF('Pricing Schedule'!$K$5="No",IFERROR(SUBSTITUTE(ADDRESS(1,MATCH(A1601,INDIRECT("'"&amp;E1601&amp;"'"&amp;"!A10:Z10"),0),4),1,""),""),IFERROR(SUBSTITUTE(ADDRESS(1,MATCH(A1601,INDIRECT("'"&amp;E1601&amp;"'"&amp;"!A10:Z10"),0),4),1,""),""))</f>
        <v>N</v>
      </c>
      <c r="D1601" s="859" t="s">
        <v>1374</v>
      </c>
      <c r="E1601" s="859" t="s">
        <v>1291</v>
      </c>
      <c r="F1601" s="1440" t="s">
        <v>2013</v>
      </c>
      <c r="G1601" s="52" t="s">
        <v>1372</v>
      </c>
      <c r="H1601" s="1441" t="s">
        <v>1303</v>
      </c>
      <c r="I1601" s="857"/>
      <c r="J1601" s="1418"/>
      <c r="K1601" s="1418"/>
      <c r="L1601" s="1418"/>
      <c r="M1601" s="1418"/>
      <c r="N1601" s="1418"/>
    </row>
    <row r="1602" spans="1:14" s="1411" customFormat="1" x14ac:dyDescent="0.25">
      <c r="A1602" s="1424" t="s">
        <v>1257</v>
      </c>
      <c r="B1602" s="859" t="str">
        <f ca="1">IF('Pricing Schedule'!$K$5="No",_xlfn.CONCAT(IFERROR(SUBSTITUTE(ADDRESS(1,MATCH(A1602,INDIRECT("'"&amp;E1602&amp;"'"&amp;"!A10:Z10"),0),4),1,""),""),11),_xlfn.CONCAT(IFERROR(SUBSTITUTE(ADDRESS(1,MATCH(A1602,INDIRECT("'"&amp;E1602&amp;"'"&amp;"!A10:Z10"),0),4),1,""),""),35))</f>
        <v>H11</v>
      </c>
      <c r="C1602" s="859" t="str">
        <f ca="1">IF('Pricing Schedule'!$K$5="No",IFERROR(SUBSTITUTE(ADDRESS(1,MATCH(A1602,INDIRECT("'"&amp;E1602&amp;"'"&amp;"!A10:Z10"),0),4),1,""),""),IFERROR(SUBSTITUTE(ADDRESS(1,MATCH(A1602,INDIRECT("'"&amp;E1602&amp;"'"&amp;"!A10:Z10"),0),4),1,""),""))</f>
        <v>H</v>
      </c>
      <c r="D1602" s="859" t="s">
        <v>1374</v>
      </c>
      <c r="E1602" s="859" t="s">
        <v>1291</v>
      </c>
      <c r="F1602" s="1440" t="s">
        <v>1257</v>
      </c>
      <c r="G1602" s="52" t="s">
        <v>1378</v>
      </c>
      <c r="H1602" s="1441" t="s">
        <v>1303</v>
      </c>
      <c r="I1602" s="857"/>
      <c r="J1602" s="1418"/>
      <c r="K1602" s="1418"/>
      <c r="L1602" s="1418"/>
      <c r="M1602" s="1418"/>
      <c r="N1602" s="1418"/>
    </row>
    <row r="1603" spans="1:14" s="1411" customFormat="1" x14ac:dyDescent="0.25">
      <c r="A1603" s="1424" t="s">
        <v>1295</v>
      </c>
      <c r="B1603" s="859" t="str">
        <f ca="1">IF('Pricing Schedule'!$K$5="No",_xlfn.CONCAT(IFERROR(SUBSTITUTE(ADDRESS(1,MATCH(A1603,INDIRECT("'"&amp;E1603&amp;"'"&amp;"!A10:Z10"),0),4),1,""),""),11),_xlfn.CONCAT(IFERROR(SUBSTITUTE(ADDRESS(1,MATCH(A1603,INDIRECT("'"&amp;E1603&amp;"'"&amp;"!A10:Z10"),0),4),1,""),""),35))</f>
        <v>F11</v>
      </c>
      <c r="C1603" s="859" t="str">
        <f ca="1">IF('Pricing Schedule'!$K$5="No",IFERROR(SUBSTITUTE(ADDRESS(1,MATCH(A1603,INDIRECT("'"&amp;E1603&amp;"'"&amp;"!A10:Z10"),0),4),1,""),""),IFERROR(SUBSTITUTE(ADDRESS(1,MATCH(A1603,INDIRECT("'"&amp;E1603&amp;"'"&amp;"!A10:Z10"),0),4),1,""),""))</f>
        <v>F</v>
      </c>
      <c r="D1603" s="859" t="s">
        <v>1374</v>
      </c>
      <c r="E1603" s="859" t="s">
        <v>1291</v>
      </c>
      <c r="F1603" s="1440" t="s">
        <v>672</v>
      </c>
      <c r="G1603" s="52" t="s">
        <v>657</v>
      </c>
      <c r="H1603" s="1441" t="s">
        <v>1303</v>
      </c>
      <c r="I1603" s="857"/>
      <c r="J1603" s="1418"/>
      <c r="K1603" s="1418"/>
      <c r="L1603" s="1418"/>
      <c r="M1603" s="1418"/>
      <c r="N1603" s="1418"/>
    </row>
    <row r="1604" spans="1:14" s="1411" customFormat="1" x14ac:dyDescent="0.25">
      <c r="A1604" s="1422" t="s">
        <v>1294</v>
      </c>
      <c r="B1604" s="859" t="str">
        <f ca="1">IF('Pricing Schedule'!$K$5="No",_xlfn.CONCAT(IFERROR(SUBSTITUTE(ADDRESS(1,MATCH(A1604,INDIRECT("'"&amp;E1604&amp;"'"&amp;"!A10:Z10"),0),4),1,""),""),11),_xlfn.CONCAT(IFERROR(SUBSTITUTE(ADDRESS(1,MATCH(A1604,INDIRECT("'"&amp;E1604&amp;"'"&amp;"!A10:Z10"),0),4),1,""),""),35))</f>
        <v>E11</v>
      </c>
      <c r="C1604" s="859" t="str">
        <f ca="1">IF('Pricing Schedule'!$K$5="No",IFERROR(SUBSTITUTE(ADDRESS(1,MATCH(A1604,INDIRECT("'"&amp;E1604&amp;"'"&amp;"!A10:Z10"),0),4),1,""),""),IFERROR(SUBSTITUTE(ADDRESS(1,MATCH(A1604,INDIRECT("'"&amp;E1604&amp;"'"&amp;"!A10:Z10"),0),4),1,""),""))</f>
        <v>E</v>
      </c>
      <c r="D1604" s="859" t="s">
        <v>1374</v>
      </c>
      <c r="E1604" s="859" t="s">
        <v>1291</v>
      </c>
      <c r="F1604" s="1440" t="s">
        <v>1294</v>
      </c>
      <c r="G1604" s="52" t="s">
        <v>1387</v>
      </c>
      <c r="H1604" s="1441" t="s">
        <v>1303</v>
      </c>
      <c r="I1604" s="857"/>
      <c r="J1604" s="1418"/>
      <c r="K1604" s="1418"/>
      <c r="L1604" s="1418"/>
      <c r="M1604" s="1418"/>
      <c r="N1604" s="1418"/>
    </row>
    <row r="1605" spans="1:14" s="1411" customFormat="1" x14ac:dyDescent="0.25">
      <c r="A1605" s="1422" t="s">
        <v>1298</v>
      </c>
      <c r="B1605" s="859" t="str">
        <f ca="1">IF('Pricing Schedule'!$K$5="No",_xlfn.CONCAT(IFERROR(SUBSTITUTE(ADDRESS(1,MATCH(A1605,INDIRECT("'"&amp;E1605&amp;"'"&amp;"!A10:Z10"),0),4),1,""),""),11),_xlfn.CONCAT(IFERROR(SUBSTITUTE(ADDRESS(1,MATCH(A1605,INDIRECT("'"&amp;E1605&amp;"'"&amp;"!A10:Z10"),0),4),1,""),""),35))</f>
        <v>J11</v>
      </c>
      <c r="C1605" s="859" t="str">
        <f ca="1">IF('Pricing Schedule'!$K$5="No",IFERROR(SUBSTITUTE(ADDRESS(1,MATCH(A1605,INDIRECT("'"&amp;E1605&amp;"'"&amp;"!A10:Z10"),0),4),1,""),""),IFERROR(SUBSTITUTE(ADDRESS(1,MATCH(A1605,INDIRECT("'"&amp;E1605&amp;"'"&amp;"!A10:Z10"),0),4),1,""),""))</f>
        <v>J</v>
      </c>
      <c r="D1605" s="859" t="s">
        <v>1374</v>
      </c>
      <c r="E1605" s="859" t="s">
        <v>1291</v>
      </c>
      <c r="F1605" s="1440" t="s">
        <v>1298</v>
      </c>
      <c r="G1605" s="52" t="s">
        <v>1379</v>
      </c>
      <c r="H1605" s="1441" t="s">
        <v>1303</v>
      </c>
      <c r="I1605" s="857"/>
      <c r="J1605" s="1418"/>
      <c r="K1605" s="1418"/>
      <c r="L1605" s="1418"/>
      <c r="M1605" s="1418"/>
      <c r="N1605" s="1418"/>
    </row>
    <row r="1606" spans="1:14" s="1411" customFormat="1" x14ac:dyDescent="0.25">
      <c r="A1606" s="1422" t="s">
        <v>1300</v>
      </c>
      <c r="B1606" s="859" t="str">
        <f ca="1">IF('Pricing Schedule'!$K$5="No",_xlfn.CONCAT(IFERROR(SUBSTITUTE(ADDRESS(1,MATCH(A1606,INDIRECT("'"&amp;E1606&amp;"'"&amp;"!A10:Z10"),0),4),1,""),""),11),_xlfn.CONCAT(IFERROR(SUBSTITUTE(ADDRESS(1,MATCH(A1606,INDIRECT("'"&amp;E1606&amp;"'"&amp;"!A10:Z10"),0),4),1,""),""),35))</f>
        <v>L11</v>
      </c>
      <c r="C1606" s="859" t="str">
        <f ca="1">IF('Pricing Schedule'!$K$5="No",IFERROR(SUBSTITUTE(ADDRESS(1,MATCH(A1606,INDIRECT("'"&amp;E1606&amp;"'"&amp;"!A10:Z10"),0),4),1,""),""),IFERROR(SUBSTITUTE(ADDRESS(1,MATCH(A1606,INDIRECT("'"&amp;E1606&amp;"'"&amp;"!A10:Z10"),0),4),1,""),""))</f>
        <v>L</v>
      </c>
      <c r="D1606" s="859" t="s">
        <v>1374</v>
      </c>
      <c r="E1606" s="859" t="s">
        <v>1291</v>
      </c>
      <c r="F1606" s="1440" t="s">
        <v>1300</v>
      </c>
      <c r="G1606" s="52" t="s">
        <v>1380</v>
      </c>
      <c r="H1606" s="1441" t="s">
        <v>1303</v>
      </c>
      <c r="I1606" s="857"/>
      <c r="J1606" s="1418"/>
      <c r="K1606" s="1418"/>
      <c r="L1606" s="1418"/>
      <c r="M1606" s="1418"/>
      <c r="N1606" s="1418"/>
    </row>
    <row r="1607" spans="1:14" s="1411" customFormat="1" x14ac:dyDescent="0.25">
      <c r="A1607" s="1422" t="s">
        <v>1238</v>
      </c>
      <c r="B1607" s="859" t="str">
        <f ca="1">IF('Pricing Schedule'!$K$5="No",_xlfn.CONCAT(IFERROR(SUBSTITUTE(ADDRESS(1,MATCH(A1607,INDIRECT("'"&amp;E1607&amp;"'"&amp;"!A10:Z10"),0),4),1,""),""),11),_xlfn.CONCAT(IFERROR(SUBSTITUTE(ADDRESS(1,MATCH(A1607,INDIRECT("'"&amp;E1607&amp;"'"&amp;"!A10:Z10"),0),4),1,""),""),35))</f>
        <v>M11</v>
      </c>
      <c r="C1607" s="859" t="str">
        <f ca="1">IF('Pricing Schedule'!$K$5="No",IFERROR(SUBSTITUTE(ADDRESS(1,MATCH(A1607,INDIRECT("'"&amp;E1607&amp;"'"&amp;"!A10:Z10"),0),4),1,""),""),IFERROR(SUBSTITUTE(ADDRESS(1,MATCH(A1607,INDIRECT("'"&amp;E1607&amp;"'"&amp;"!A10:Z10"),0),4),1,""),""))</f>
        <v>M</v>
      </c>
      <c r="D1607" s="859" t="s">
        <v>1374</v>
      </c>
      <c r="E1607" s="859" t="s">
        <v>1291</v>
      </c>
      <c r="F1607" s="858" t="s">
        <v>1238</v>
      </c>
      <c r="G1607" s="52" t="s">
        <v>1381</v>
      </c>
      <c r="H1607" s="1441" t="s">
        <v>1303</v>
      </c>
      <c r="I1607" s="857"/>
      <c r="J1607" s="1418"/>
      <c r="K1607" s="1418"/>
      <c r="L1607" s="1418"/>
      <c r="M1607" s="1418"/>
      <c r="N1607" s="1418"/>
    </row>
    <row r="1608" spans="1:14" s="1411" customFormat="1" x14ac:dyDescent="0.25">
      <c r="A1608" s="858" t="s">
        <v>1277</v>
      </c>
      <c r="B1608" s="859" t="str">
        <f ca="1">_xlfn.CONCAT(IFERROR(SUBSTITUTE(ADDRESS(1,MATCH(A1608,INDIRECT("'"&amp;E1608&amp;"'"&amp;"!A4:Z4"),0),4),1,""),""),4)</f>
        <v>B4</v>
      </c>
      <c r="C1608" s="52" t="str">
        <f ca="1">_xlfn.CONCAT(IFERROR(SUBSTITUTE(ADDRESS(1,MATCH(A1608,INDIRECT("'"&amp;E1608&amp;"'"&amp;"!A4:Z4"),0),4),1,""),""),5)</f>
        <v>B5</v>
      </c>
      <c r="D1608" s="859" t="s">
        <v>1367</v>
      </c>
      <c r="E1608" s="859" t="s">
        <v>1291</v>
      </c>
      <c r="F1608" s="1440" t="s">
        <v>1277</v>
      </c>
      <c r="G1608" s="859" t="s">
        <v>1370</v>
      </c>
      <c r="H1608" s="52" t="s">
        <v>1303</v>
      </c>
      <c r="I1608" s="857"/>
      <c r="J1608" s="1418"/>
      <c r="K1608" s="1418"/>
      <c r="L1608" s="1418"/>
      <c r="M1608" s="1418"/>
      <c r="N1608" s="1418"/>
    </row>
    <row r="1609" spans="1:14" s="1411" customFormat="1" x14ac:dyDescent="0.25">
      <c r="A1609" s="919" t="s">
        <v>1296</v>
      </c>
      <c r="B1609" s="859" t="str">
        <f ca="1">IF('Pricing Schedule'!$K$5="No",_xlfn.CONCAT(IFERROR(SUBSTITUTE(ADDRESS(1,MATCH(A1609,INDIRECT("'"&amp;E1609&amp;"'"&amp;"!A10:Z10"),0),4),1,""),""),11),_xlfn.CONCAT(IFERROR(SUBSTITUTE(ADDRESS(1,MATCH(A1609,INDIRECT("'"&amp;E1609&amp;"'"&amp;"!A10:Z10"),0),4),1,""),""),35))</f>
        <v>G11</v>
      </c>
      <c r="C1609" s="859" t="str">
        <f ca="1">IF('Pricing Schedule'!$K$5="No",IFERROR(SUBSTITUTE(ADDRESS(1,MATCH(A1609,INDIRECT("'"&amp;E1609&amp;"'"&amp;"!A10:Z10"),0),4),1,""),""),IFERROR(SUBSTITUTE(ADDRESS(1,MATCH(A1609,INDIRECT("'"&amp;E1609&amp;"'"&amp;"!A10:Z10"),0),4),1,""),""))</f>
        <v>G</v>
      </c>
      <c r="D1609" s="859" t="s">
        <v>1374</v>
      </c>
      <c r="E1609" s="859" t="s">
        <v>1291</v>
      </c>
      <c r="F1609" s="1440" t="s">
        <v>1296</v>
      </c>
      <c r="G1609" s="52" t="s">
        <v>1373</v>
      </c>
      <c r="H1609" s="52" t="s">
        <v>1303</v>
      </c>
      <c r="I1609" s="857"/>
      <c r="J1609" s="1418"/>
      <c r="K1609" s="1418"/>
      <c r="L1609" s="1418"/>
      <c r="M1609" s="1418"/>
      <c r="N1609" s="1418"/>
    </row>
    <row r="1610" spans="1:14" s="1411" customFormat="1" x14ac:dyDescent="0.25">
      <c r="A1610" s="899" t="s">
        <v>1301</v>
      </c>
      <c r="B1610" s="857" t="str">
        <f ca="1">_xlfn.CONCAT(IFERROR(SUBSTITUTE(ADDRESS(1,MATCH(A1610,INDIRECT("'"&amp;E1610&amp;"'"&amp;"!A9:Z9"),0),4),1,""),""),10)</f>
        <v>F10</v>
      </c>
      <c r="C1610" s="857" t="str">
        <f ca="1">_xlfn.CONCAT(IFERROR(SUBSTITUTE(ADDRESS(1,MATCH(A1610,INDIRECT("'"&amp;E1610&amp;"'"&amp;"!A9:Z9"),0),4),1,""),""))</f>
        <v>F</v>
      </c>
      <c r="D1610" s="859" t="s">
        <v>1374</v>
      </c>
      <c r="E1610" s="899" t="s">
        <v>208</v>
      </c>
      <c r="F1610" s="1440" t="s">
        <v>2014</v>
      </c>
      <c r="G1610" s="858" t="s">
        <v>1372</v>
      </c>
      <c r="H1610" s="858" t="s">
        <v>2015</v>
      </c>
      <c r="I1610" s="1440"/>
      <c r="J1610" s="1440"/>
      <c r="K1610" s="1442"/>
      <c r="L1610" s="1442"/>
      <c r="M1610" s="1442"/>
      <c r="N1610" s="1442"/>
    </row>
    <row r="1611" spans="1:14" s="1411" customFormat="1" x14ac:dyDescent="0.25">
      <c r="A1611" s="899" t="s">
        <v>395</v>
      </c>
      <c r="B1611" s="857" t="str">
        <f ca="1">_xlfn.CONCAT(IFERROR(SUBSTITUTE(ADDRESS(1,MATCH(A1611,INDIRECT("'"&amp;E1611&amp;"'"&amp;"!A9:Z9"),0),4),1,""),""),10)</f>
        <v>G10</v>
      </c>
      <c r="C1611" s="857" t="str">
        <f ca="1">_xlfn.CONCAT(IFERROR(SUBSTITUTE(ADDRESS(1,MATCH(A1611,INDIRECT("'"&amp;E1611&amp;"'"&amp;"!A9:Z9"),0),4),1,""),""))</f>
        <v>G</v>
      </c>
      <c r="D1611" s="859" t="s">
        <v>1374</v>
      </c>
      <c r="E1611" s="899" t="s">
        <v>208</v>
      </c>
      <c r="F1611" s="858" t="s">
        <v>2016</v>
      </c>
      <c r="G1611" s="858" t="s">
        <v>1387</v>
      </c>
      <c r="H1611" s="858" t="s">
        <v>2015</v>
      </c>
      <c r="I1611" s="1440"/>
      <c r="J1611" s="1422"/>
      <c r="K1611" s="1442"/>
      <c r="L1611" s="1442"/>
      <c r="M1611" s="1442"/>
      <c r="N1611" s="1442"/>
    </row>
    <row r="1612" spans="1:14" s="1411" customFormat="1" x14ac:dyDescent="0.25">
      <c r="A1612" s="899" t="s">
        <v>83</v>
      </c>
      <c r="B1612" s="857" t="str">
        <f ca="1">_xlfn.CONCAT(IFERROR(SUBSTITUTE(ADDRESS(1,MATCH(A1612,INDIRECT("'"&amp;E1612&amp;"'"&amp;"!A9:Z9"),0),4),1,""),""),10)</f>
        <v>H10</v>
      </c>
      <c r="C1612" s="857" t="str">
        <f ca="1">_xlfn.CONCAT(IFERROR(SUBSTITUTE(ADDRESS(1,MATCH(A1612,INDIRECT("'"&amp;E1612&amp;"'"&amp;"!A9:Z9"),0),4),1,""),""))</f>
        <v>H</v>
      </c>
      <c r="D1612" s="859" t="s">
        <v>1374</v>
      </c>
      <c r="E1612" s="899" t="s">
        <v>208</v>
      </c>
      <c r="F1612" s="858" t="s">
        <v>2017</v>
      </c>
      <c r="G1612" s="1440" t="s">
        <v>657</v>
      </c>
      <c r="H1612" s="858" t="s">
        <v>2015</v>
      </c>
      <c r="I1612" s="896"/>
      <c r="J1612" s="1422"/>
      <c r="K1612" s="1442"/>
      <c r="L1612" s="1442"/>
      <c r="M1612" s="1442"/>
      <c r="N1612" s="1442"/>
    </row>
    <row r="1613" spans="1:14" s="1411" customFormat="1" x14ac:dyDescent="0.25">
      <c r="A1613" s="899" t="s">
        <v>1258</v>
      </c>
      <c r="B1613" s="857" t="str">
        <f ca="1">_xlfn.CONCAT(IFERROR(SUBSTITUTE(ADDRESS(1,MATCH(A1613,INDIRECT("'"&amp;E1613&amp;"'"&amp;"!A9:Z9"),0),4),1,""),""),10)</f>
        <v>I10</v>
      </c>
      <c r="C1613" s="857" t="str">
        <f ca="1">_xlfn.CONCAT(IFERROR(SUBSTITUTE(ADDRESS(1,MATCH(A1613,INDIRECT("'"&amp;E1613&amp;"'"&amp;"!A9:Z9"),0),4),1,""),""))</f>
        <v>I</v>
      </c>
      <c r="D1613" s="859" t="s">
        <v>1374</v>
      </c>
      <c r="E1613" s="899" t="s">
        <v>208</v>
      </c>
      <c r="F1613" s="1440" t="s">
        <v>2018</v>
      </c>
      <c r="G1613" s="1440" t="s">
        <v>1373</v>
      </c>
      <c r="H1613" s="858" t="s">
        <v>2015</v>
      </c>
      <c r="I1613" s="896"/>
      <c r="J1613" s="1422"/>
      <c r="K1613" s="1442"/>
      <c r="L1613" s="1442"/>
      <c r="M1613" s="1442"/>
      <c r="N1613" s="1442"/>
    </row>
    <row r="1614" spans="1:14" s="1411" customFormat="1" x14ac:dyDescent="0.25">
      <c r="A1614" s="899" t="s">
        <v>2019</v>
      </c>
      <c r="B1614" s="857" t="str">
        <f ca="1">_xlfn.CONCAT(IFERROR(SUBSTITUTE(ADDRESS(1,MATCH(A1614,INDIRECT("'"&amp;E1614&amp;"'"&amp;"!A9:Z9"),0),4),1,""),""),10)</f>
        <v>J10</v>
      </c>
      <c r="C1614" s="857" t="str">
        <f ca="1">_xlfn.CONCAT(IFERROR(SUBSTITUTE(ADDRESS(1,MATCH(A1614,INDIRECT("'"&amp;E1614&amp;"'"&amp;"!A9:Z9"),0),4),1,""),""))</f>
        <v>J</v>
      </c>
      <c r="D1614" s="859" t="s">
        <v>1374</v>
      </c>
      <c r="E1614" s="899" t="s">
        <v>208</v>
      </c>
      <c r="F1614" s="1440" t="s">
        <v>2020</v>
      </c>
      <c r="G1614" s="1442" t="s">
        <v>1378</v>
      </c>
      <c r="H1614" s="858" t="s">
        <v>2015</v>
      </c>
      <c r="I1614" s="1443"/>
      <c r="J1614" s="1442"/>
      <c r="K1614" s="1442"/>
      <c r="L1614" s="1442"/>
      <c r="M1614" s="1442"/>
      <c r="N1614" s="1442"/>
    </row>
    <row r="1615" spans="1:14" s="1411" customFormat="1" x14ac:dyDescent="0.25">
      <c r="A1615" s="1442" t="s">
        <v>2021</v>
      </c>
      <c r="B1615" s="857"/>
      <c r="C1615" s="857"/>
      <c r="D1615" s="859" t="s">
        <v>1374</v>
      </c>
      <c r="E1615" s="859" t="s">
        <v>1291</v>
      </c>
      <c r="F1615" s="1442" t="s">
        <v>2021</v>
      </c>
      <c r="G1615" s="1418" t="s">
        <v>1383</v>
      </c>
      <c r="H1615" s="52" t="s">
        <v>1303</v>
      </c>
      <c r="I1615" s="857"/>
      <c r="J1615" s="1418"/>
      <c r="K1615" s="1418"/>
      <c r="L1615" s="1418"/>
      <c r="M1615" s="1418"/>
      <c r="N1615" s="1418"/>
    </row>
    <row r="1616" spans="1:14" s="1411" customFormat="1" x14ac:dyDescent="0.25">
      <c r="A1616" s="1444" t="s">
        <v>1256</v>
      </c>
      <c r="B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59" t="s">
        <v>1367</v>
      </c>
      <c r="E1616" s="859" t="s">
        <v>1368</v>
      </c>
      <c r="F1616" s="1444" t="s">
        <v>1256</v>
      </c>
      <c r="G1616" s="859" t="s">
        <v>1378</v>
      </c>
      <c r="H1616" s="859" t="s">
        <v>1248</v>
      </c>
      <c r="I1616" s="857"/>
      <c r="J1616" s="1418"/>
      <c r="K1616" s="1418"/>
      <c r="L1616" s="1418"/>
      <c r="M1616" s="1418"/>
      <c r="N1616" s="1418"/>
    </row>
    <row r="1617" spans="1:14" s="1411" customFormat="1" x14ac:dyDescent="0.25">
      <c r="A1617" s="1444" t="s">
        <v>844</v>
      </c>
      <c r="B1617" s="52" t="str">
        <f>IFERROR(_xlfn.CONCAT("G",MATCH(A1617,'Tracking &amp; Profitability'!G$1:G$62,0)),"")</f>
        <v>G5</v>
      </c>
      <c r="C1617" s="52" t="str">
        <f>IFERROR(_xlfn.CONCAT("H",MATCH(A1617,'Tracking &amp; Profitability'!G$1:G$62,0)),"")</f>
        <v>H5</v>
      </c>
      <c r="D1617" s="859" t="s">
        <v>1367</v>
      </c>
      <c r="E1617" s="52" t="s">
        <v>129</v>
      </c>
      <c r="F1617" s="1418" t="s">
        <v>2022</v>
      </c>
      <c r="G1617" s="52" t="s">
        <v>1387</v>
      </c>
      <c r="H1617" s="52" t="s">
        <v>1918</v>
      </c>
      <c r="I1617" s="857"/>
      <c r="J1617" s="1418"/>
      <c r="K1617" s="1418"/>
      <c r="L1617" s="1418"/>
      <c r="M1617" s="1418"/>
      <c r="N1617" s="1418"/>
    </row>
    <row r="1618" spans="1:14" s="1411" customFormat="1" x14ac:dyDescent="0.25">
      <c r="A1618" s="859" t="s">
        <v>1172</v>
      </c>
      <c r="B1618" s="52" t="str">
        <f>IFERROR(_xlfn.CONCAT("D",MATCH(A1618,'Tracking &amp; Profitability'!C$1:C$62,0)),"")</f>
        <v>D8</v>
      </c>
      <c r="C1618" s="52" t="str">
        <f>IFERROR(_xlfn.CONCAT("E",MATCH(A1618,'Tracking &amp; Profitability'!C$1:C$62,0)),"")</f>
        <v>E8</v>
      </c>
      <c r="D1618" s="859" t="s">
        <v>1367</v>
      </c>
      <c r="E1618" s="859" t="s">
        <v>129</v>
      </c>
      <c r="F1618" s="859" t="s">
        <v>1198</v>
      </c>
      <c r="G1618" s="52" t="s">
        <v>1379</v>
      </c>
      <c r="H1618" s="52" t="s">
        <v>1918</v>
      </c>
      <c r="I1618" s="857"/>
      <c r="J1618" s="1418"/>
      <c r="K1618" s="1418"/>
      <c r="L1618" s="1418"/>
      <c r="M1618" s="1418"/>
      <c r="N1618" s="1418"/>
    </row>
    <row r="1619" spans="1:14" s="1411" customFormat="1" x14ac:dyDescent="0.25">
      <c r="A1619" s="1418" t="s">
        <v>681</v>
      </c>
      <c r="B1619" s="52" t="str">
        <f>IFERROR(_xlfn.CONCAT("D",MATCH(A1619,'Tracking &amp; Profitability'!D$1:D$62,0)),"")</f>
        <v>D12</v>
      </c>
      <c r="C1619" s="52" t="str">
        <f>IFERROR(_xlfn.CONCAT("E",MATCH(A1619,'Tracking &amp; Profitability'!D$1:D$62,0)),"")</f>
        <v>E12</v>
      </c>
      <c r="D1619" s="859" t="s">
        <v>1367</v>
      </c>
      <c r="E1619" s="52" t="s">
        <v>129</v>
      </c>
      <c r="F1619" s="1418" t="s">
        <v>2023</v>
      </c>
      <c r="G1619" s="52" t="s">
        <v>657</v>
      </c>
      <c r="H1619" s="52" t="s">
        <v>1918</v>
      </c>
      <c r="I1619" s="857"/>
      <c r="J1619" s="1418"/>
      <c r="K1619" s="1418"/>
      <c r="L1619" s="1418"/>
      <c r="M1619" s="1418"/>
      <c r="N1619" s="1418"/>
    </row>
    <row r="1620" spans="1:14" s="1411" customFormat="1" x14ac:dyDescent="0.25">
      <c r="A1620" s="1418" t="s">
        <v>904</v>
      </c>
      <c r="B1620" s="52" t="str">
        <f>IFERROR(_xlfn.CONCAT("D",MATCH(A1620,'Tracking &amp; Profitability'!D$1:D$62,0)),"")</f>
        <v>D20</v>
      </c>
      <c r="C1620" s="52" t="str">
        <f>IFERROR(_xlfn.CONCAT("E",MATCH(A1620,'Tracking &amp; Profitability'!D$1:D$62,0)),"")</f>
        <v>E20</v>
      </c>
      <c r="D1620" s="859" t="s">
        <v>1367</v>
      </c>
      <c r="E1620" s="52" t="s">
        <v>129</v>
      </c>
      <c r="F1620" s="1444" t="s">
        <v>2024</v>
      </c>
      <c r="G1620" s="1444" t="s">
        <v>1377</v>
      </c>
      <c r="H1620" s="1422" t="s">
        <v>1918</v>
      </c>
      <c r="I1620" s="857"/>
      <c r="J1620" s="1418"/>
      <c r="K1620" s="1418"/>
      <c r="L1620" s="1418"/>
      <c r="M1620" s="1418"/>
      <c r="N1620" s="1418"/>
    </row>
    <row r="1621" spans="1:14" s="1411" customFormat="1" x14ac:dyDescent="0.25">
      <c r="A1621" s="1418" t="s">
        <v>904</v>
      </c>
      <c r="B1621" s="52" t="str">
        <f>IFERROR(_xlfn.CONCAT("D",MATCH(A1621,'Tracking &amp; Profitability'!D$1:D$62,0)),"")</f>
        <v>D20</v>
      </c>
      <c r="C1621" s="52" t="str">
        <f>IFERROR(_xlfn.CONCAT("I",MATCH(A1621,'Tracking &amp; Profitability'!D$1:D$62,0)),"")</f>
        <v>I20</v>
      </c>
      <c r="D1621" s="859" t="s">
        <v>1367</v>
      </c>
      <c r="E1621" s="52" t="s">
        <v>129</v>
      </c>
      <c r="F1621" s="1444" t="s">
        <v>2025</v>
      </c>
      <c r="G1621" s="1444" t="s">
        <v>134</v>
      </c>
      <c r="H1621" s="1422" t="s">
        <v>1918</v>
      </c>
      <c r="I1621" s="857"/>
      <c r="J1621" s="1418"/>
      <c r="K1621" s="1418"/>
      <c r="L1621" s="1418"/>
      <c r="M1621" s="1418"/>
      <c r="N1621" s="1418"/>
    </row>
    <row r="1622" spans="1:14" s="1411" customFormat="1" x14ac:dyDescent="0.25">
      <c r="A1622" s="1418" t="s">
        <v>904</v>
      </c>
      <c r="B1622" s="52" t="str">
        <f>IFERROR(_xlfn.CONCAT("D",MATCH(A1622,'Tracking &amp; Profitability'!D$1:D$62,0)),"")</f>
        <v>D20</v>
      </c>
      <c r="C1622" s="52" t="str">
        <f>IFERROR(_xlfn.CONCAT("G",MATCH(A1622,'Tracking &amp; Profitability'!D$1:D$62,0)),"")</f>
        <v>G20</v>
      </c>
      <c r="D1622" s="859" t="s">
        <v>1367</v>
      </c>
      <c r="E1622" s="52" t="s">
        <v>129</v>
      </c>
      <c r="F1622" s="1444" t="s">
        <v>2026</v>
      </c>
      <c r="G1622" s="1442" t="s">
        <v>658</v>
      </c>
      <c r="H1622" s="1422" t="s">
        <v>1918</v>
      </c>
      <c r="I1622" s="857"/>
      <c r="J1622" s="1418"/>
      <c r="K1622" s="1418"/>
      <c r="L1622" s="1418"/>
      <c r="M1622" s="1418"/>
      <c r="N1622" s="1418"/>
    </row>
    <row r="1623" spans="1:14" s="1411" customFormat="1" x14ac:dyDescent="0.25">
      <c r="A1623" s="858" t="s">
        <v>1263</v>
      </c>
      <c r="B1623" s="52" t="str">
        <f>IFERROR(_xlfn.CONCAT("D",MATCH(A1623,'Tracking &amp; Profitability'!D$1:D$62,0)),"")</f>
        <v>D23</v>
      </c>
      <c r="C1623" s="52" t="str">
        <f>IFERROR(_xlfn.CONCAT("E",MATCH(A1623,'Tracking &amp; Profitability'!D$1:D$62,0)),"")</f>
        <v>E23</v>
      </c>
      <c r="D1623" s="859" t="s">
        <v>1367</v>
      </c>
      <c r="E1623" s="52" t="s">
        <v>129</v>
      </c>
      <c r="F1623" s="858" t="s">
        <v>1968</v>
      </c>
      <c r="G1623" s="52" t="s">
        <v>240</v>
      </c>
      <c r="H1623" s="1422" t="s">
        <v>1918</v>
      </c>
      <c r="I1623" s="857"/>
      <c r="J1623" s="1418"/>
      <c r="K1623" s="1418"/>
      <c r="L1623" s="1418"/>
      <c r="M1623" s="1418"/>
      <c r="N1623" s="1418"/>
    </row>
    <row r="1624" spans="1:14" s="1411" customFormat="1" x14ac:dyDescent="0.25">
      <c r="A1624" s="858" t="s">
        <v>1263</v>
      </c>
      <c r="B1624" s="52" t="str">
        <f>IFERROR(_xlfn.CONCAT("D",MATCH(A1624,'Tracking &amp; Profitability'!D$1:D$62,0)),"")</f>
        <v>D23</v>
      </c>
      <c r="C1624" s="52" t="str">
        <f>IFERROR(_xlfn.CONCAT("G",MATCH(A1624,'Tracking &amp; Profitability'!D$1:D$62,0)),"")</f>
        <v>G23</v>
      </c>
      <c r="D1624" s="859" t="s">
        <v>1367</v>
      </c>
      <c r="E1624" s="52" t="s">
        <v>129</v>
      </c>
      <c r="F1624" s="858" t="s">
        <v>2027</v>
      </c>
      <c r="G1624" s="52" t="s">
        <v>1390</v>
      </c>
      <c r="H1624" s="1422" t="s">
        <v>1918</v>
      </c>
      <c r="I1624" s="857"/>
      <c r="J1624" s="1418"/>
      <c r="K1624" s="1418"/>
      <c r="L1624" s="1418"/>
      <c r="M1624" s="1418"/>
      <c r="N1624" s="1418"/>
    </row>
    <row r="1625" spans="1:14" s="1411" customFormat="1" x14ac:dyDescent="0.25">
      <c r="A1625" s="1418" t="s">
        <v>1262</v>
      </c>
      <c r="B1625" s="52" t="str">
        <f>IFERROR(_xlfn.CONCAT("D",MATCH(A1625,'Tracking &amp; Profitability'!D$1:D$62,0)),"")</f>
        <v>D17</v>
      </c>
      <c r="C1625" s="52" t="str">
        <f>IFERROR(_xlfn.CONCAT("E",MATCH(A1625,'Tracking &amp; Profitability'!D$1:D$62,0)),"")</f>
        <v>E17</v>
      </c>
      <c r="D1625" s="859" t="s">
        <v>1367</v>
      </c>
      <c r="E1625" s="52" t="s">
        <v>129</v>
      </c>
      <c r="F1625" s="1444" t="s">
        <v>2028</v>
      </c>
      <c r="G1625" s="1418" t="s">
        <v>2029</v>
      </c>
      <c r="H1625" s="1422" t="s">
        <v>1918</v>
      </c>
      <c r="I1625" s="857"/>
      <c r="J1625" s="1418"/>
      <c r="K1625" s="1418"/>
      <c r="L1625" s="1418"/>
      <c r="M1625" s="1418"/>
      <c r="N1625" s="1418"/>
    </row>
    <row r="1626" spans="1:14" s="1411" customFormat="1" x14ac:dyDescent="0.25">
      <c r="A1626" s="1418" t="s">
        <v>1262</v>
      </c>
      <c r="B1626" s="52" t="str">
        <f>IFERROR(_xlfn.CONCAT("D",MATCH(A1626,'Tracking &amp; Profitability'!D$1:D$62,0)),"")</f>
        <v>D17</v>
      </c>
      <c r="C1626" s="52" t="str">
        <f>IFERROR(_xlfn.CONCAT("I",MATCH(A1626,'Tracking &amp; Profitability'!D$1:D$62,0)),"")</f>
        <v>I17</v>
      </c>
      <c r="D1626" s="859" t="s">
        <v>1367</v>
      </c>
      <c r="E1626" s="52" t="s">
        <v>129</v>
      </c>
      <c r="F1626" s="1444" t="s">
        <v>2030</v>
      </c>
      <c r="G1626" s="1418" t="s">
        <v>1976</v>
      </c>
      <c r="H1626" s="1422" t="s">
        <v>1918</v>
      </c>
      <c r="I1626" s="857"/>
      <c r="J1626" s="1418"/>
      <c r="K1626" s="1418"/>
      <c r="L1626" s="1418"/>
      <c r="M1626" s="1418"/>
      <c r="N1626" s="1418"/>
    </row>
    <row r="1627" spans="1:14" s="1411" customFormat="1" x14ac:dyDescent="0.25">
      <c r="A1627" s="1418" t="s">
        <v>1262</v>
      </c>
      <c r="B1627" s="52" t="str">
        <f>IFERROR(_xlfn.CONCAT("D",MATCH(A1627,'Tracking &amp; Profitability'!D$1:D$62,0)),"")</f>
        <v>D17</v>
      </c>
      <c r="C1627" s="52" t="str">
        <f>IFERROR(_xlfn.CONCAT("G",MATCH(A1627,'Tracking &amp; Profitability'!D$1:D$62,0)),"")</f>
        <v>G17</v>
      </c>
      <c r="D1627" s="859" t="s">
        <v>1367</v>
      </c>
      <c r="E1627" s="52" t="s">
        <v>129</v>
      </c>
      <c r="F1627" s="1444" t="s">
        <v>2031</v>
      </c>
      <c r="G1627" s="1418" t="s">
        <v>2032</v>
      </c>
      <c r="H1627" s="1422" t="s">
        <v>1918</v>
      </c>
      <c r="I1627" s="857"/>
      <c r="J1627" s="1418"/>
      <c r="K1627" s="1418"/>
      <c r="L1627" s="1418"/>
      <c r="M1627" s="1418"/>
      <c r="N1627" s="1418"/>
    </row>
    <row r="1628" spans="1:14" s="1411" customFormat="1" x14ac:dyDescent="0.25">
      <c r="A1628" s="858" t="s">
        <v>1264</v>
      </c>
      <c r="B1628" s="52" t="str">
        <f>IFERROR(_xlfn.CONCAT("D",MATCH(A1628,'Tracking &amp; Profitability'!D$1:D$62,0)),"")</f>
        <v>D24</v>
      </c>
      <c r="C1628" s="52" t="str">
        <f>IFERROR(_xlfn.CONCAT("E",MATCH(A1628,'Tracking &amp; Profitability'!D$1:D$62,0)),"")</f>
        <v>E24</v>
      </c>
      <c r="D1628" s="859" t="s">
        <v>1367</v>
      </c>
      <c r="E1628" s="52" t="s">
        <v>129</v>
      </c>
      <c r="F1628" s="858" t="s">
        <v>1970</v>
      </c>
      <c r="G1628" s="1418" t="s">
        <v>1978</v>
      </c>
      <c r="H1628" s="1422" t="s">
        <v>1918</v>
      </c>
      <c r="I1628" s="857"/>
      <c r="J1628" s="1418"/>
      <c r="K1628" s="1418"/>
      <c r="L1628" s="1418"/>
      <c r="M1628" s="1418"/>
      <c r="N1628" s="1418"/>
    </row>
    <row r="1629" spans="1:14" s="1411" customFormat="1" x14ac:dyDescent="0.25">
      <c r="A1629" s="858" t="s">
        <v>1264</v>
      </c>
      <c r="B1629" s="52" t="str">
        <f>IFERROR(_xlfn.CONCAT("D",MATCH(A1629,'Tracking &amp; Profitability'!D$1:D$62,0)),"")</f>
        <v>D24</v>
      </c>
      <c r="C1629" s="52" t="str">
        <f>IFERROR(_xlfn.CONCAT("G",MATCH(A1629,'Tracking &amp; Profitability'!D$1:D$62,0)),"")</f>
        <v>G24</v>
      </c>
      <c r="D1629" s="859" t="s">
        <v>1367</v>
      </c>
      <c r="E1629" s="52" t="s">
        <v>129</v>
      </c>
      <c r="F1629" s="858" t="s">
        <v>1971</v>
      </c>
      <c r="G1629" s="1418" t="s">
        <v>1993</v>
      </c>
      <c r="H1629" s="1422" t="s">
        <v>1918</v>
      </c>
      <c r="I1629" s="857"/>
      <c r="J1629" s="1418"/>
      <c r="K1629" s="1418"/>
      <c r="L1629" s="1418"/>
      <c r="M1629" s="1418"/>
      <c r="N1629" s="1418"/>
    </row>
    <row r="1630" spans="1:14" s="1411" customFormat="1" x14ac:dyDescent="0.25">
      <c r="A1630" s="858" t="s">
        <v>1266</v>
      </c>
      <c r="B1630" s="52" t="str">
        <f>IFERROR(_xlfn.CONCAT("D",MATCH(A1630,'Tracking &amp; Profitability'!D$1:D$62,0)),"")</f>
        <v>D35</v>
      </c>
      <c r="C1630" s="52" t="str">
        <f>IFERROR(_xlfn.CONCAT("E",MATCH(A1630,'Tracking &amp; Profitability'!D$1:D$62,0)),"")</f>
        <v>E35</v>
      </c>
      <c r="D1630" s="859" t="s">
        <v>1367</v>
      </c>
      <c r="E1630" s="52" t="s">
        <v>129</v>
      </c>
      <c r="F1630" s="858" t="s">
        <v>1973</v>
      </c>
      <c r="G1630" s="1418" t="s">
        <v>2033</v>
      </c>
      <c r="H1630" s="1422" t="s">
        <v>1918</v>
      </c>
      <c r="I1630" s="857"/>
      <c r="J1630" s="1418"/>
      <c r="K1630" s="1418"/>
      <c r="L1630" s="1418"/>
      <c r="M1630" s="1418"/>
      <c r="N1630" s="1418"/>
    </row>
    <row r="1631" spans="1:14" s="1411" customFormat="1" x14ac:dyDescent="0.25">
      <c r="A1631" s="858" t="s">
        <v>1266</v>
      </c>
      <c r="B1631" s="52" t="str">
        <f>IFERROR(_xlfn.CONCAT("D",MATCH(A1631,'Tracking &amp; Profitability'!D$1:D$62,0)),"")</f>
        <v>D35</v>
      </c>
      <c r="C1631" s="52" t="str">
        <f>IFERROR(_xlfn.CONCAT("I",MATCH(A1631,'Tracking &amp; Profitability'!D$1:D$62,0)),"")</f>
        <v>I35</v>
      </c>
      <c r="D1631" s="859" t="s">
        <v>1367</v>
      </c>
      <c r="E1631" s="52" t="s">
        <v>129</v>
      </c>
      <c r="F1631" s="858" t="s">
        <v>1975</v>
      </c>
      <c r="G1631" s="1418" t="s">
        <v>2034</v>
      </c>
      <c r="H1631" s="1422" t="s">
        <v>1918</v>
      </c>
      <c r="I1631" s="857"/>
      <c r="J1631" s="1418"/>
      <c r="K1631" s="1418"/>
      <c r="L1631" s="1418"/>
      <c r="M1631" s="1418"/>
      <c r="N1631" s="1418"/>
    </row>
    <row r="1632" spans="1:14" s="1411" customFormat="1" x14ac:dyDescent="0.25">
      <c r="A1632" s="858" t="s">
        <v>1266</v>
      </c>
      <c r="B1632" s="52" t="str">
        <f>IFERROR(_xlfn.CONCAT("D",MATCH(A1632,'Tracking &amp; Profitability'!D$1:D$62,0)),"")</f>
        <v>D35</v>
      </c>
      <c r="C1632" s="52" t="str">
        <f>IFERROR(_xlfn.CONCAT("G",MATCH(A1632,'Tracking &amp; Profitability'!D$1:D$62,0)),"")</f>
        <v>G35</v>
      </c>
      <c r="D1632" s="859" t="s">
        <v>1367</v>
      </c>
      <c r="E1632" s="52" t="s">
        <v>129</v>
      </c>
      <c r="F1632" s="858" t="s">
        <v>1977</v>
      </c>
      <c r="G1632" s="1418" t="s">
        <v>2035</v>
      </c>
      <c r="H1632" s="1422" t="s">
        <v>1918</v>
      </c>
      <c r="I1632" s="857"/>
      <c r="J1632" s="1418"/>
      <c r="K1632" s="1418"/>
      <c r="L1632" s="1418"/>
      <c r="M1632" s="1418"/>
      <c r="N1632" s="1418"/>
    </row>
    <row r="1633" spans="1:14" s="1411" customFormat="1" x14ac:dyDescent="0.25">
      <c r="A1633" s="858" t="s">
        <v>1266</v>
      </c>
      <c r="B1633" s="52" t="str">
        <f>IFERROR(_xlfn.CONCAT("D",MATCH(A1633,'Tracking &amp; Profitability'!D$1:D$62,0)),"")</f>
        <v>D35</v>
      </c>
      <c r="C1633" s="52" t="str">
        <f>IFERROR(_xlfn.CONCAT("K",MATCH(A1633,'Tracking &amp; Profitability'!D$1:D$62,0)),"")</f>
        <v>K35</v>
      </c>
      <c r="D1633" s="859" t="s">
        <v>1367</v>
      </c>
      <c r="E1633" s="52" t="s">
        <v>129</v>
      </c>
      <c r="F1633" s="858" t="s">
        <v>1979</v>
      </c>
      <c r="G1633" s="1418" t="s">
        <v>2036</v>
      </c>
      <c r="H1633" s="1422" t="s">
        <v>1918</v>
      </c>
      <c r="I1633" s="857"/>
      <c r="J1633" s="1418"/>
      <c r="K1633" s="1418"/>
      <c r="L1633" s="1418"/>
      <c r="M1633" s="1418"/>
      <c r="N1633" s="1418"/>
    </row>
    <row r="1634" spans="1:14" s="1411" customFormat="1" ht="30" x14ac:dyDescent="0.25">
      <c r="A1634" s="858" t="s">
        <v>1266</v>
      </c>
      <c r="B1634" s="52" t="str">
        <f>IFERROR(_xlfn.CONCAT("D",MATCH(A1634,'Tracking &amp; Profitability'!D$1:D$62,0)),"")</f>
        <v>D35</v>
      </c>
      <c r="C1634" s="52" t="str">
        <f>IFERROR(_xlfn.CONCAT("M",MATCH(A1634,'Tracking &amp; Profitability'!D$1:D$62,0)),"")</f>
        <v>M35</v>
      </c>
      <c r="D1634" s="859" t="s">
        <v>1367</v>
      </c>
      <c r="E1634" s="52" t="s">
        <v>129</v>
      </c>
      <c r="F1634" s="858" t="s">
        <v>1981</v>
      </c>
      <c r="G1634" s="1418" t="s">
        <v>2037</v>
      </c>
      <c r="H1634" s="1422" t="s">
        <v>1918</v>
      </c>
      <c r="I1634" s="857"/>
      <c r="J1634" s="1418"/>
      <c r="K1634" s="1418"/>
      <c r="L1634" s="1418"/>
      <c r="M1634" s="1418"/>
      <c r="N1634" s="1418"/>
    </row>
    <row r="1635" spans="1:14" s="1411" customFormat="1" x14ac:dyDescent="0.25">
      <c r="A1635" s="858" t="s">
        <v>1270</v>
      </c>
      <c r="B1635" s="52" t="str">
        <f>IFERROR(_xlfn.CONCAT("D",MATCH(A1635,'Tracking &amp; Profitability'!D$1:D$62,0)),"")</f>
        <v>D39</v>
      </c>
      <c r="C1635" s="52" t="str">
        <f>IFERROR(_xlfn.CONCAT("I",MATCH(A1635,'Tracking &amp; Profitability'!D$1:D$62,0)),"")</f>
        <v>I39</v>
      </c>
      <c r="D1635" s="859" t="s">
        <v>1367</v>
      </c>
      <c r="E1635" s="52" t="s">
        <v>129</v>
      </c>
      <c r="F1635" s="1422" t="s">
        <v>1983</v>
      </c>
      <c r="G1635" s="1418" t="s">
        <v>1718</v>
      </c>
      <c r="H1635" s="1422" t="s">
        <v>1918</v>
      </c>
      <c r="I1635" s="857"/>
      <c r="J1635" s="1418"/>
      <c r="K1635" s="1418"/>
      <c r="L1635" s="1418"/>
      <c r="M1635" s="1418"/>
      <c r="N1635" s="1418"/>
    </row>
    <row r="1636" spans="1:14" s="1411" customFormat="1" x14ac:dyDescent="0.25">
      <c r="A1636" s="858" t="s">
        <v>1270</v>
      </c>
      <c r="B1636" s="52" t="str">
        <f>IFERROR(_xlfn.CONCAT("D",MATCH(A1636,'Tracking &amp; Profitability'!D$1:D$62,0)),"")</f>
        <v>D39</v>
      </c>
      <c r="C1636" s="52" t="str">
        <f>IFERROR(_xlfn.CONCAT("G",MATCH(A1636,'Tracking &amp; Profitability'!D$1:D$62,0)),"")</f>
        <v>G39</v>
      </c>
      <c r="D1636" s="859" t="s">
        <v>1367</v>
      </c>
      <c r="E1636" s="52" t="s">
        <v>129</v>
      </c>
      <c r="F1636" s="1422" t="s">
        <v>1985</v>
      </c>
      <c r="G1636" s="1418" t="s">
        <v>2038</v>
      </c>
      <c r="H1636" s="1422" t="s">
        <v>1918</v>
      </c>
      <c r="I1636" s="857"/>
      <c r="J1636" s="1418"/>
      <c r="K1636" s="1418"/>
      <c r="L1636" s="1418"/>
      <c r="M1636" s="1418"/>
      <c r="N1636" s="1418"/>
    </row>
    <row r="1637" spans="1:14" s="1411" customFormat="1" x14ac:dyDescent="0.25">
      <c r="A1637" s="858" t="s">
        <v>1270</v>
      </c>
      <c r="B1637" s="52" t="str">
        <f>IFERROR(_xlfn.CONCAT("D",MATCH(A1637,'Tracking &amp; Profitability'!D$1:D$62,0)),"")</f>
        <v>D39</v>
      </c>
      <c r="C1637" s="52" t="str">
        <f>IFERROR(_xlfn.CONCAT("E",MATCH(A1637,'Tracking &amp; Profitability'!D$1:D$62,0)),"")</f>
        <v>E39</v>
      </c>
      <c r="D1637" s="859" t="s">
        <v>1367</v>
      </c>
      <c r="E1637" s="52" t="s">
        <v>129</v>
      </c>
      <c r="F1637" s="1422" t="s">
        <v>1987</v>
      </c>
      <c r="G1637" s="1418" t="s">
        <v>2039</v>
      </c>
      <c r="H1637" s="1422" t="s">
        <v>1918</v>
      </c>
      <c r="I1637" s="857"/>
      <c r="J1637" s="1418"/>
      <c r="K1637" s="1418"/>
      <c r="L1637" s="1418"/>
      <c r="M1637" s="1418"/>
      <c r="N1637" s="1418"/>
    </row>
    <row r="1638" spans="1:14" s="1411" customFormat="1" x14ac:dyDescent="0.25">
      <c r="A1638" s="858" t="s">
        <v>1270</v>
      </c>
      <c r="B1638" s="52" t="str">
        <f>IFERROR(_xlfn.CONCAT("D",MATCH(A1638,'Tracking &amp; Profitability'!D$1:D$62,0)),"")</f>
        <v>D39</v>
      </c>
      <c r="C1638" s="52" t="str">
        <f>IFERROR(_xlfn.CONCAT("K",MATCH(A1638,'Tracking &amp; Profitability'!D$1:D$62,0)),"")</f>
        <v>K39</v>
      </c>
      <c r="D1638" s="859" t="s">
        <v>1367</v>
      </c>
      <c r="E1638" s="52" t="s">
        <v>129</v>
      </c>
      <c r="F1638" s="1422" t="s">
        <v>1989</v>
      </c>
      <c r="G1638" s="1418" t="s">
        <v>2040</v>
      </c>
      <c r="H1638" s="1422" t="s">
        <v>1918</v>
      </c>
      <c r="I1638" s="857"/>
      <c r="J1638" s="1418"/>
      <c r="K1638" s="1418"/>
      <c r="L1638" s="1418"/>
      <c r="M1638" s="1418"/>
      <c r="N1638" s="1418"/>
    </row>
    <row r="1639" spans="1:14" s="1411" customFormat="1" x14ac:dyDescent="0.25">
      <c r="A1639" s="858" t="s">
        <v>1270</v>
      </c>
      <c r="B1639" s="52" t="str">
        <f>IFERROR(_xlfn.CONCAT("D",MATCH(A1639,'Tracking &amp; Profitability'!D$1:D$62,0)),"")</f>
        <v>D39</v>
      </c>
      <c r="C1639" s="52" t="str">
        <f>IFERROR(_xlfn.CONCAT("M",MATCH(A1639,'Tracking &amp; Profitability'!D$1:D$62,0)),"")</f>
        <v>M39</v>
      </c>
      <c r="D1639" s="859" t="s">
        <v>1367</v>
      </c>
      <c r="E1639" s="52" t="s">
        <v>129</v>
      </c>
      <c r="F1639" s="1422" t="s">
        <v>1991</v>
      </c>
      <c r="G1639" s="1418" t="s">
        <v>2041</v>
      </c>
      <c r="H1639" s="1422" t="s">
        <v>1918</v>
      </c>
      <c r="I1639" s="857"/>
      <c r="J1639" s="1418"/>
      <c r="K1639" s="1418"/>
      <c r="L1639" s="1418"/>
      <c r="M1639" s="1418"/>
      <c r="N1639" s="1418"/>
    </row>
    <row r="1640" spans="1:14" s="1411" customFormat="1" x14ac:dyDescent="0.25">
      <c r="A1640" s="1418" t="s">
        <v>1269</v>
      </c>
      <c r="B1640" s="52" t="str">
        <f>IFERROR(_xlfn.CONCAT("D",MATCH(A1640,'Tracking &amp; Profitability'!D$1:D$62,0)),"")</f>
        <v>D37</v>
      </c>
      <c r="C1640" s="52" t="str">
        <f>IFERROR(_xlfn.CONCAT("E",MATCH(A1640,'Tracking &amp; Profitability'!D$1:D$62,0)),"")</f>
        <v>E37</v>
      </c>
      <c r="D1640" s="859" t="s">
        <v>1367</v>
      </c>
      <c r="E1640" s="52" t="s">
        <v>129</v>
      </c>
      <c r="F1640" s="858" t="s">
        <v>2042</v>
      </c>
      <c r="G1640" s="1418" t="s">
        <v>2043</v>
      </c>
      <c r="H1640" s="1422" t="s">
        <v>1918</v>
      </c>
      <c r="I1640" s="857"/>
      <c r="J1640" s="1418"/>
      <c r="K1640" s="1418"/>
      <c r="L1640" s="1418"/>
      <c r="M1640" s="1418"/>
      <c r="N1640" s="1418"/>
    </row>
    <row r="1641" spans="1:14" s="1411" customFormat="1" x14ac:dyDescent="0.25">
      <c r="A1641" s="1418" t="s">
        <v>1269</v>
      </c>
      <c r="B1641" s="52" t="str">
        <f>IFERROR(_xlfn.CONCAT("D",MATCH(A1641,'Tracking &amp; Profitability'!D$1:D$62,0)),"")</f>
        <v>D37</v>
      </c>
      <c r="C1641" s="52" t="str">
        <f>IFERROR(_xlfn.CONCAT("G",MATCH(A1641,'Tracking &amp; Profitability'!D$1:D$62,0)),"")</f>
        <v>G37</v>
      </c>
      <c r="D1641" s="859" t="s">
        <v>1367</v>
      </c>
      <c r="E1641" s="52" t="s">
        <v>129</v>
      </c>
      <c r="F1641" s="858" t="s">
        <v>2044</v>
      </c>
      <c r="G1641" s="1418" t="s">
        <v>2045</v>
      </c>
      <c r="H1641" s="1422" t="s">
        <v>1918</v>
      </c>
      <c r="I1641" s="857"/>
      <c r="J1641" s="1418"/>
      <c r="K1641" s="1418"/>
      <c r="L1641" s="1418"/>
      <c r="M1641" s="1418"/>
      <c r="N1641" s="1418"/>
    </row>
    <row r="1642" spans="1:14" s="1411" customFormat="1" x14ac:dyDescent="0.25">
      <c r="A1642" s="919" t="s">
        <v>1274</v>
      </c>
      <c r="B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59" t="s">
        <v>1367</v>
      </c>
      <c r="E1642" s="859" t="s">
        <v>1368</v>
      </c>
      <c r="F1642" s="859" t="s">
        <v>1195</v>
      </c>
      <c r="G1642" s="859" t="s">
        <v>1373</v>
      </c>
      <c r="H1642" s="859" t="s">
        <v>1918</v>
      </c>
      <c r="I1642" s="857"/>
      <c r="J1642" s="1418"/>
      <c r="K1642" s="1418"/>
      <c r="L1642" s="1418"/>
      <c r="M1642" s="1418"/>
      <c r="N1642" s="1418"/>
    </row>
    <row r="1643" spans="1:14" s="1411" customFormat="1" x14ac:dyDescent="0.25">
      <c r="A1643" s="1422" t="s">
        <v>1215</v>
      </c>
      <c r="B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59" t="s">
        <v>1367</v>
      </c>
      <c r="E1643" s="859" t="s">
        <v>1368</v>
      </c>
      <c r="F1643" s="859" t="s">
        <v>2046</v>
      </c>
      <c r="G1643" s="859" t="s">
        <v>239</v>
      </c>
      <c r="H1643" s="859" t="s">
        <v>1918</v>
      </c>
      <c r="I1643" s="857"/>
      <c r="J1643" s="1418"/>
      <c r="K1643" s="1418"/>
      <c r="L1643" s="1418"/>
      <c r="M1643" s="1418"/>
      <c r="N1643" s="1418"/>
    </row>
    <row r="1644" spans="1:14" s="1411" customFormat="1" x14ac:dyDescent="0.25">
      <c r="A1644" s="1444" t="s">
        <v>488</v>
      </c>
      <c r="B1644" s="859" t="str">
        <f>IFERROR(_xlfn.CONCAT("G",MATCH(A1644,'PIM Model'!G$1:G$60,0)),"")</f>
        <v>G34</v>
      </c>
      <c r="C1644" s="859" t="str">
        <f>IFERROR(_xlfn.CONCAT("I",MATCH(A1644,'PIM Model'!G$1:G$60,0)),"")</f>
        <v>I34</v>
      </c>
      <c r="D1644" s="859" t="s">
        <v>1367</v>
      </c>
      <c r="E1644" s="52" t="s">
        <v>208</v>
      </c>
      <c r="F1644" s="1444" t="s">
        <v>2047</v>
      </c>
      <c r="G1644" s="1444" t="s">
        <v>1380</v>
      </c>
      <c r="H1644" s="859" t="s">
        <v>1918</v>
      </c>
      <c r="I1644" s="1445"/>
      <c r="J1644" s="1418"/>
      <c r="K1644" s="1418"/>
      <c r="L1644" s="1418"/>
      <c r="M1644" s="1418"/>
      <c r="N1644" s="1418"/>
    </row>
    <row r="1645" spans="1:14" s="1411" customFormat="1" x14ac:dyDescent="0.25">
      <c r="A1645" s="1444" t="s">
        <v>1260</v>
      </c>
      <c r="B1645" s="859" t="str">
        <f>IFERROR(_xlfn.CONCAT("G",MATCH(A1645,'PIM Model'!G$1:G$60,0)),"")</f>
        <v>G35</v>
      </c>
      <c r="C1645" s="859" t="str">
        <f>IFERROR(_xlfn.CONCAT("I",MATCH(A1645,'PIM Model'!G$1:G$60,0)),"")</f>
        <v>I35</v>
      </c>
      <c r="D1645" s="859" t="s">
        <v>1367</v>
      </c>
      <c r="E1645" s="52" t="s">
        <v>208</v>
      </c>
      <c r="F1645" s="1444" t="s">
        <v>2048</v>
      </c>
      <c r="G1645" s="1444" t="s">
        <v>1381</v>
      </c>
      <c r="H1645" s="859" t="s">
        <v>1918</v>
      </c>
      <c r="I1645" s="857"/>
      <c r="J1645" s="1418"/>
      <c r="K1645" s="1418"/>
      <c r="L1645" s="1418"/>
      <c r="M1645" s="1418"/>
      <c r="N1645" s="1418"/>
    </row>
    <row r="1646" spans="1:14" s="1411" customFormat="1" x14ac:dyDescent="0.25">
      <c r="A1646" s="1444" t="s">
        <v>1261</v>
      </c>
      <c r="B1646" s="859" t="str">
        <f>IFERROR(_xlfn.CONCAT("G",MATCH(A1646,'PIM Model'!G$1:G$60,0)),"")</f>
        <v>G39</v>
      </c>
      <c r="C1646" s="859" t="str">
        <f>IFERROR(_xlfn.CONCAT("I",MATCH(A1646,'PIM Model'!G$1:G$60,0)),"")</f>
        <v>I39</v>
      </c>
      <c r="D1646" s="859" t="s">
        <v>1367</v>
      </c>
      <c r="E1646" s="52" t="s">
        <v>208</v>
      </c>
      <c r="F1646" s="1444" t="s">
        <v>2049</v>
      </c>
      <c r="G1646" s="1442" t="s">
        <v>1383</v>
      </c>
      <c r="H1646" s="859" t="s">
        <v>1918</v>
      </c>
      <c r="I1646" s="857"/>
      <c r="J1646" s="1418"/>
      <c r="K1646" s="1418"/>
      <c r="L1646" s="1418"/>
      <c r="M1646" s="1418"/>
      <c r="N1646" s="1418"/>
    </row>
    <row r="1647" spans="1:14" s="1411" customFormat="1" x14ac:dyDescent="0.25">
      <c r="A1647" s="899" t="s">
        <v>83</v>
      </c>
      <c r="B1647" s="857" t="str">
        <f ca="1">_xlfn.CONCAT(IFERROR(SUBSTITUTE(ADDRESS(1,MATCH(A1647,INDIRECT("'"&amp;E1647&amp;"'"&amp;"!A9:Z9"),0),4),1,""),""),9)</f>
        <v>H9</v>
      </c>
      <c r="C1647" s="857" t="str">
        <f ca="1">_xlfn.CONCAT(IFERROR(SUBSTITUTE(ADDRESS(1,MATCH(A1647,INDIRECT("'"&amp;E1647&amp;"'"&amp;"!A9:Z9"),0),4),1,""),""),31)</f>
        <v>H31</v>
      </c>
      <c r="D1647" s="859" t="s">
        <v>1367</v>
      </c>
      <c r="E1647" s="899" t="s">
        <v>208</v>
      </c>
      <c r="F1647" s="1418" t="s">
        <v>2050</v>
      </c>
      <c r="G1647" s="1418" t="s">
        <v>1974</v>
      </c>
      <c r="H1647" s="1418" t="s">
        <v>1918</v>
      </c>
      <c r="I1647" s="857"/>
      <c r="J1647" s="1418"/>
      <c r="K1647" s="1418"/>
      <c r="L1647" s="1418"/>
      <c r="M1647" s="1418"/>
      <c r="N1647" s="1418"/>
    </row>
    <row r="1648" spans="1:14" s="1411" customFormat="1" x14ac:dyDescent="0.25">
      <c r="A1648" s="1418" t="s">
        <v>221</v>
      </c>
      <c r="B1648" s="52" t="str">
        <f>IFERROR(_xlfn.CONCAT("D",MATCH(A1648,'Variable Costs &amp; Income'!D$1:D$62,0)),"")</f>
        <v>D29</v>
      </c>
      <c r="C1648" s="52" t="str">
        <f>IFERROR(_xlfn.CONCAT("E",MATCH(A1648,'Variable Costs &amp; Income'!D$1:D$62,0)),"")</f>
        <v>E29</v>
      </c>
      <c r="D1648" s="859" t="s">
        <v>1367</v>
      </c>
      <c r="E1648" s="52" t="s">
        <v>210</v>
      </c>
      <c r="F1648" s="858" t="s">
        <v>2051</v>
      </c>
      <c r="G1648" s="1418" t="s">
        <v>1914</v>
      </c>
      <c r="H1648" s="1422" t="s">
        <v>1918</v>
      </c>
      <c r="I1648" s="857"/>
      <c r="J1648" s="1418"/>
      <c r="K1648" s="1418"/>
      <c r="L1648" s="1418"/>
      <c r="M1648" s="1418"/>
      <c r="N1648" s="1418"/>
    </row>
    <row r="1649" spans="1:14" s="1411" customFormat="1" x14ac:dyDescent="0.25">
      <c r="A1649" s="1418" t="s">
        <v>221</v>
      </c>
      <c r="B1649" s="52" t="str">
        <f>IFERROR(_xlfn.CONCAT("D",MATCH(A1649,'Variable Costs &amp; Income'!D$1:D$62,0)),"")</f>
        <v>D29</v>
      </c>
      <c r="C1649" s="52" t="str">
        <f>IFERROR(_xlfn.CONCAT("G",MATCH(A1649,'Variable Costs &amp; Income'!D$1:D$62,0)),"")</f>
        <v>G29</v>
      </c>
      <c r="D1649" s="859" t="s">
        <v>1367</v>
      </c>
      <c r="E1649" s="52" t="s">
        <v>210</v>
      </c>
      <c r="F1649" s="858" t="s">
        <v>2052</v>
      </c>
      <c r="G1649" s="1418" t="s">
        <v>1919</v>
      </c>
      <c r="H1649" s="1422" t="s">
        <v>1918</v>
      </c>
      <c r="I1649" s="857"/>
      <c r="J1649" s="1418"/>
      <c r="K1649" s="1418"/>
      <c r="L1649" s="1418"/>
      <c r="M1649" s="1418"/>
      <c r="N1649" s="1418"/>
    </row>
    <row r="1650" spans="1:14" s="1411" customFormat="1" x14ac:dyDescent="0.25">
      <c r="A1650" s="1418" t="s">
        <v>220</v>
      </c>
      <c r="B1650" s="52" t="str">
        <f>IFERROR(_xlfn.CONCAT("D",MATCH(A1650,'Variable Costs &amp; Income'!D$1:D$62,0)),"")</f>
        <v>D30</v>
      </c>
      <c r="C1650" s="52" t="str">
        <f>IFERROR(_xlfn.CONCAT("E",MATCH(A1650,'Variable Costs &amp; Income'!D$1:D$62,0)),"")</f>
        <v>E30</v>
      </c>
      <c r="D1650" s="859" t="s">
        <v>1367</v>
      </c>
      <c r="E1650" s="52" t="s">
        <v>210</v>
      </c>
      <c r="F1650" s="858" t="s">
        <v>2053</v>
      </c>
      <c r="G1650" s="1418" t="s">
        <v>1920</v>
      </c>
      <c r="H1650" s="1422" t="s">
        <v>1918</v>
      </c>
      <c r="I1650" s="857"/>
      <c r="J1650" s="1418"/>
      <c r="K1650" s="1418"/>
      <c r="L1650" s="1418"/>
      <c r="M1650" s="1418"/>
      <c r="N1650" s="1418"/>
    </row>
    <row r="1651" spans="1:14" s="1411" customFormat="1" x14ac:dyDescent="0.25">
      <c r="A1651" s="1418" t="s">
        <v>220</v>
      </c>
      <c r="B1651" s="52" t="str">
        <f>IFERROR(_xlfn.CONCAT("D",MATCH(A1651,'Variable Costs &amp; Income'!D$1:D$62,0)),"")</f>
        <v>D30</v>
      </c>
      <c r="C1651" s="52" t="str">
        <f>IFERROR(_xlfn.CONCAT("I",MATCH(A1651,'Variable Costs &amp; Income'!D$1:D$62,0)),"")</f>
        <v>I30</v>
      </c>
      <c r="D1651" s="859" t="s">
        <v>1367</v>
      </c>
      <c r="E1651" s="52" t="s">
        <v>210</v>
      </c>
      <c r="F1651" s="858" t="s">
        <v>2054</v>
      </c>
      <c r="G1651" s="1418" t="s">
        <v>1995</v>
      </c>
      <c r="H1651" s="1422" t="s">
        <v>1918</v>
      </c>
      <c r="I1651" s="857"/>
      <c r="J1651" s="1418"/>
      <c r="K1651" s="1418"/>
      <c r="L1651" s="1418"/>
      <c r="M1651" s="1418"/>
      <c r="N1651" s="1418"/>
    </row>
    <row r="1652" spans="1:14" s="1411" customFormat="1" x14ac:dyDescent="0.25">
      <c r="A1652" s="1418" t="s">
        <v>220</v>
      </c>
      <c r="B1652" s="52" t="str">
        <f>IFERROR(_xlfn.CONCAT("D",MATCH(A1652,'Variable Costs &amp; Income'!D$1:D$62,0)),"")</f>
        <v>D30</v>
      </c>
      <c r="C1652" s="52" t="str">
        <f>IFERROR(_xlfn.CONCAT("G",MATCH(A1652,'Variable Costs &amp; Income'!D$1:D$62,0)),"")</f>
        <v>G30</v>
      </c>
      <c r="D1652" s="859" t="s">
        <v>1367</v>
      </c>
      <c r="E1652" s="52" t="s">
        <v>210</v>
      </c>
      <c r="F1652" s="858" t="s">
        <v>2055</v>
      </c>
      <c r="G1652" s="1418" t="s">
        <v>1997</v>
      </c>
      <c r="H1652" s="1422" t="s">
        <v>1918</v>
      </c>
      <c r="I1652" s="857"/>
      <c r="J1652" s="1418"/>
      <c r="K1652" s="1418"/>
      <c r="L1652" s="1418"/>
      <c r="M1652" s="1418"/>
      <c r="N1652" s="1418"/>
    </row>
    <row r="1653" spans="1:14" s="1411" customFormat="1" x14ac:dyDescent="0.25">
      <c r="A1653" s="1418" t="s">
        <v>1179</v>
      </c>
      <c r="B1653" s="52" t="str">
        <f>IFERROR(_xlfn.CONCAT("D",MATCH(A1653,'Variable Costs &amp; Income'!D$1:D$62,0)),"")</f>
        <v>D17</v>
      </c>
      <c r="C1653" s="52" t="str">
        <f>IFERROR(_xlfn.CONCAT("E",MATCH(A1653,'Variable Costs &amp; Income'!D$1:D$62,0)),"")</f>
        <v>E17</v>
      </c>
      <c r="D1653" s="859" t="s">
        <v>1367</v>
      </c>
      <c r="E1653" s="52" t="s">
        <v>210</v>
      </c>
      <c r="F1653" s="1446" t="s">
        <v>2056</v>
      </c>
      <c r="G1653" s="1444" t="s">
        <v>2005</v>
      </c>
      <c r="H1653" s="1422" t="s">
        <v>1918</v>
      </c>
      <c r="I1653" s="1444"/>
      <c r="J1653" s="1444"/>
      <c r="K1653" s="1444"/>
      <c r="L1653" s="1444"/>
      <c r="M1653" s="1444"/>
      <c r="N1653" s="1444"/>
    </row>
    <row r="1654" spans="1:14" s="1411" customFormat="1" ht="30" x14ac:dyDescent="0.25">
      <c r="A1654" s="1418" t="s">
        <v>1177</v>
      </c>
      <c r="B1654" s="52" t="str">
        <f>IFERROR(_xlfn.CONCAT("D",MATCH(A1654,'Variable Costs &amp; Income'!D$1:D$62,0)),"")</f>
        <v>D15</v>
      </c>
      <c r="C1654" s="52" t="str">
        <f>IFERROR(_xlfn.CONCAT("E",MATCH(A1654,'Variable Costs &amp; Income'!D$1:D$62,0)),"")</f>
        <v>E15</v>
      </c>
      <c r="D1654" s="859" t="s">
        <v>1367</v>
      </c>
      <c r="E1654" s="52" t="s">
        <v>210</v>
      </c>
      <c r="F1654" s="1446" t="s">
        <v>2057</v>
      </c>
      <c r="G1654" s="1444" t="s">
        <v>2006</v>
      </c>
      <c r="H1654" s="1422" t="s">
        <v>1918</v>
      </c>
      <c r="I1654" s="1444"/>
      <c r="J1654" s="1444"/>
      <c r="K1654" s="1442"/>
      <c r="L1654" s="1442"/>
      <c r="M1654" s="1442"/>
      <c r="N1654" s="1442"/>
    </row>
    <row r="1655" spans="1:14" s="1411" customFormat="1" x14ac:dyDescent="0.25">
      <c r="A1655" s="1418" t="s">
        <v>1265</v>
      </c>
      <c r="B1655" s="52" t="str">
        <f>IFERROR(_xlfn.CONCAT("D",MATCH(A1655,'Variable Costs &amp; Income'!D$1:D$62,0)),"")</f>
        <v/>
      </c>
      <c r="C1655" s="52" t="str">
        <f>IFERROR(_xlfn.CONCAT("E",MATCH(A1655,'Variable Costs &amp; Income'!D$1:D$62,0)),"")</f>
        <v/>
      </c>
      <c r="D1655" s="859" t="s">
        <v>1367</v>
      </c>
      <c r="E1655" s="52" t="s">
        <v>210</v>
      </c>
      <c r="F1655" s="1446" t="s">
        <v>2058</v>
      </c>
      <c r="G1655" s="1444" t="s">
        <v>2007</v>
      </c>
      <c r="H1655" s="1422" t="s">
        <v>1918</v>
      </c>
      <c r="I1655" s="1444"/>
      <c r="J1655" s="1442"/>
      <c r="K1655" s="1442"/>
      <c r="L1655" s="1442"/>
      <c r="M1655" s="1442"/>
      <c r="N1655" s="1442"/>
    </row>
    <row r="1656" spans="1:14" s="1411" customFormat="1" x14ac:dyDescent="0.25">
      <c r="A1656" s="1418" t="s">
        <v>228</v>
      </c>
      <c r="B1656" s="52" t="str">
        <f>IFERROR(_xlfn.CONCAT("D",MATCH(A1656,'Variable Costs &amp; Income'!D$1:D$62,0)),"")</f>
        <v>D19</v>
      </c>
      <c r="C1656" s="52" t="str">
        <f>IFERROR(_xlfn.CONCAT("E",MATCH(A1656,'Variable Costs &amp; Income'!D$1:D$62,0)),"")</f>
        <v>E19</v>
      </c>
      <c r="D1656" s="859" t="s">
        <v>1367</v>
      </c>
      <c r="E1656" s="52" t="s">
        <v>210</v>
      </c>
      <c r="F1656" s="1446" t="s">
        <v>2059</v>
      </c>
      <c r="G1656" s="1444" t="s">
        <v>2008</v>
      </c>
      <c r="H1656" s="1422" t="s">
        <v>1918</v>
      </c>
      <c r="I1656" s="1443"/>
      <c r="J1656" s="1442"/>
      <c r="K1656" s="1442"/>
      <c r="L1656" s="1442"/>
      <c r="M1656" s="1442"/>
      <c r="N1656" s="1442"/>
    </row>
    <row r="1657" spans="1:14" s="1411" customFormat="1" x14ac:dyDescent="0.25">
      <c r="A1657" s="1418" t="s">
        <v>228</v>
      </c>
      <c r="B1657" s="52" t="str">
        <f>IFERROR(_xlfn.CONCAT("D",MATCH(A1657,'Variable Costs &amp; Income'!D$1:D$62,0)),"")</f>
        <v>D19</v>
      </c>
      <c r="C1657" s="52" t="str">
        <f>IFERROR(_xlfn.CONCAT("I",MATCH(A1657,'Variable Costs &amp; Income'!D$1:D$62,0)),"")</f>
        <v>I19</v>
      </c>
      <c r="D1657" s="859" t="s">
        <v>1367</v>
      </c>
      <c r="E1657" s="52" t="s">
        <v>210</v>
      </c>
      <c r="F1657" s="1446" t="s">
        <v>2060</v>
      </c>
      <c r="G1657" s="1444" t="s">
        <v>2061</v>
      </c>
      <c r="H1657" s="1422" t="s">
        <v>1918</v>
      </c>
      <c r="I1657" s="1443"/>
      <c r="J1657" s="1442"/>
      <c r="K1657" s="1442"/>
      <c r="L1657" s="1442"/>
      <c r="M1657" s="1442"/>
      <c r="N1657" s="1442"/>
    </row>
    <row r="1658" spans="1:14" s="1411" customFormat="1" x14ac:dyDescent="0.25">
      <c r="A1658" s="1418" t="s">
        <v>228</v>
      </c>
      <c r="B1658" s="52" t="str">
        <f>IFERROR(_xlfn.CONCAT("D",MATCH(A1658,'Variable Costs &amp; Income'!D$1:D$62,0)),"")</f>
        <v>D19</v>
      </c>
      <c r="C1658" s="52" t="str">
        <f>IFERROR(_xlfn.CONCAT("G",MATCH(A1658,'Variable Costs &amp; Income'!D$1:D$62,0)),"")</f>
        <v>G19</v>
      </c>
      <c r="D1658" s="859" t="s">
        <v>1367</v>
      </c>
      <c r="E1658" s="52" t="s">
        <v>210</v>
      </c>
      <c r="F1658" s="1446" t="s">
        <v>2062</v>
      </c>
      <c r="G1658" s="1442" t="s">
        <v>2009</v>
      </c>
      <c r="H1658" s="1422" t="s">
        <v>1918</v>
      </c>
      <c r="I1658" s="1443"/>
      <c r="J1658" s="1442"/>
      <c r="K1658" s="1442"/>
      <c r="L1658" s="1442"/>
      <c r="M1658" s="1442"/>
      <c r="N1658" s="1442"/>
    </row>
    <row r="1659" spans="1:14" s="1411" customFormat="1" x14ac:dyDescent="0.25">
      <c r="A1659" s="1418" t="s">
        <v>1103</v>
      </c>
      <c r="B1659" s="52" t="str">
        <f>IFERROR(_xlfn.CONCAT("D",MATCH(A1659,'Variable Costs &amp; Income'!D$1:D$62,0)),"")</f>
        <v/>
      </c>
      <c r="C1659" s="52" t="str">
        <f>IFERROR(_xlfn.CONCAT("E",MATCH(A1659,'Variable Costs &amp; Income'!D$1:D$62,0)),"")</f>
        <v/>
      </c>
      <c r="D1659" s="859" t="s">
        <v>1367</v>
      </c>
      <c r="E1659" s="52" t="s">
        <v>210</v>
      </c>
      <c r="F1659" s="1446" t="s">
        <v>2063</v>
      </c>
      <c r="G1659" s="1444" t="s">
        <v>2010</v>
      </c>
      <c r="H1659" s="1422" t="s">
        <v>1918</v>
      </c>
      <c r="I1659" s="1443"/>
      <c r="J1659" s="1442"/>
      <c r="K1659" s="1442"/>
      <c r="L1659" s="1442"/>
      <c r="M1659" s="1442"/>
      <c r="N1659" s="1442"/>
    </row>
    <row r="1660" spans="1:14" s="1411" customFormat="1" x14ac:dyDescent="0.25">
      <c r="A1660" s="1418" t="s">
        <v>1103</v>
      </c>
      <c r="B1660" s="52" t="str">
        <f>IFERROR(_xlfn.CONCAT("D",MATCH(A1660,'Variable Costs &amp; Income'!D$1:D$62,0)),"")</f>
        <v/>
      </c>
      <c r="C1660" s="52" t="str">
        <f>IFERROR(_xlfn.CONCAT("I",MATCH(A1660,'Variable Costs &amp; Income'!D$1:D$62,0)),"")</f>
        <v/>
      </c>
      <c r="D1660" s="859" t="s">
        <v>1367</v>
      </c>
      <c r="E1660" s="52" t="s">
        <v>210</v>
      </c>
      <c r="F1660" s="1446" t="s">
        <v>2064</v>
      </c>
      <c r="G1660" s="1444" t="s">
        <v>2011</v>
      </c>
      <c r="H1660" s="1422" t="s">
        <v>1918</v>
      </c>
      <c r="I1660" s="1443"/>
      <c r="J1660" s="1442"/>
      <c r="K1660" s="1442"/>
      <c r="L1660" s="1442"/>
      <c r="M1660" s="1442"/>
      <c r="N1660" s="1442"/>
    </row>
    <row r="1661" spans="1:14" s="1411" customFormat="1" x14ac:dyDescent="0.25">
      <c r="A1661" s="1418" t="s">
        <v>1103</v>
      </c>
      <c r="B1661" s="52" t="str">
        <f>IFERROR(_xlfn.CONCAT("D",MATCH(A1661,'Variable Costs &amp; Income'!D$1:D$62,0)),"")</f>
        <v/>
      </c>
      <c r="C1661" s="52" t="str">
        <f>IFERROR(_xlfn.CONCAT("G",MATCH(A1661,'Variable Costs &amp; Income'!D$1:D$62,0)),"")</f>
        <v/>
      </c>
      <c r="D1661" s="859" t="s">
        <v>1367</v>
      </c>
      <c r="E1661" s="52" t="s">
        <v>210</v>
      </c>
      <c r="F1661" s="1446" t="s">
        <v>2065</v>
      </c>
      <c r="G1661" s="1442" t="s">
        <v>2012</v>
      </c>
      <c r="H1661" s="1422" t="s">
        <v>1918</v>
      </c>
      <c r="I1661" s="1443"/>
      <c r="J1661" s="1442"/>
      <c r="K1661" s="1442"/>
      <c r="L1661" s="1442"/>
      <c r="M1661" s="1442"/>
      <c r="N1661" s="1442"/>
    </row>
    <row r="1662" spans="1:14" s="1411" customFormat="1" ht="30" x14ac:dyDescent="0.25">
      <c r="A1662" s="1418" t="s">
        <v>2066</v>
      </c>
      <c r="B1662" s="52" t="str">
        <f>IFERROR(_xlfn.CONCAT("D",MATCH(A1662,'Variable Costs &amp; Income'!D$1:D$62,0)),"")</f>
        <v/>
      </c>
      <c r="C1662" s="52" t="str">
        <f>IFERROR(_xlfn.CONCAT("E",MATCH(A1662,'Variable Costs &amp; Income'!D$1:D$62,0)),"")</f>
        <v/>
      </c>
      <c r="D1662" s="859" t="s">
        <v>1367</v>
      </c>
      <c r="E1662" s="52" t="s">
        <v>210</v>
      </c>
      <c r="F1662" s="1446" t="s">
        <v>2067</v>
      </c>
      <c r="G1662" s="1444" t="s">
        <v>2068</v>
      </c>
      <c r="H1662" s="1422" t="s">
        <v>1918</v>
      </c>
      <c r="I1662" s="1443"/>
      <c r="J1662" s="1442"/>
      <c r="K1662" s="1442"/>
      <c r="L1662" s="1442"/>
      <c r="M1662" s="1442"/>
      <c r="N1662" s="1442"/>
    </row>
    <row r="1663" spans="1:14" s="1411" customFormat="1" ht="30" x14ac:dyDescent="0.25">
      <c r="A1663" s="1418" t="s">
        <v>1273</v>
      </c>
      <c r="B1663" s="52" t="str">
        <f>IFERROR(_xlfn.CONCAT("D",MATCH(A1663,'Variable Costs &amp; Income'!D$1:D$62,0)),"")</f>
        <v>D36</v>
      </c>
      <c r="C1663" s="52" t="str">
        <f>IFERROR(_xlfn.CONCAT("G",MATCH(A1663,'Variable Costs &amp; Income'!D$1:D$62,0)),"")</f>
        <v>G36</v>
      </c>
      <c r="D1663" s="859" t="s">
        <v>1367</v>
      </c>
      <c r="E1663" s="52" t="s">
        <v>210</v>
      </c>
      <c r="F1663" s="1446" t="s">
        <v>2069</v>
      </c>
      <c r="G1663" s="1444" t="s">
        <v>2070</v>
      </c>
      <c r="H1663" s="1422" t="s">
        <v>1918</v>
      </c>
      <c r="I1663" s="1443"/>
      <c r="J1663" s="1442"/>
      <c r="K1663" s="1442"/>
      <c r="L1663" s="1442"/>
      <c r="M1663" s="1442"/>
      <c r="N1663" s="1442"/>
    </row>
    <row r="1664" spans="1:14" s="1411" customFormat="1" ht="30" x14ac:dyDescent="0.25">
      <c r="A1664" s="1418" t="s">
        <v>1273</v>
      </c>
      <c r="B1664" s="52" t="str">
        <f>IFERROR(_xlfn.CONCAT("D",MATCH(A1664,'Variable Costs &amp; Income'!D$1:D$62,0)),"")</f>
        <v>D36</v>
      </c>
      <c r="C1664" s="52" t="str">
        <f>IFERROR(_xlfn.CONCAT("E",MATCH(A1664,'Variable Costs &amp; Income'!D$1:D$62,0)),"")</f>
        <v>E36</v>
      </c>
      <c r="D1664" s="859" t="s">
        <v>1367</v>
      </c>
      <c r="E1664" s="52" t="s">
        <v>210</v>
      </c>
      <c r="F1664" s="1446" t="s">
        <v>2071</v>
      </c>
      <c r="G1664" s="1442" t="s">
        <v>2072</v>
      </c>
      <c r="H1664" s="1422" t="s">
        <v>1918</v>
      </c>
      <c r="I1664" s="857"/>
      <c r="J1664" s="1418"/>
      <c r="K1664" s="1418"/>
      <c r="L1664" s="1418"/>
      <c r="M1664" s="1418"/>
      <c r="N1664" s="1418"/>
    </row>
    <row r="1665" spans="1:19" s="1411" customFormat="1" x14ac:dyDescent="0.25">
      <c r="A1665" s="1418" t="s">
        <v>374</v>
      </c>
      <c r="B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59" t="s">
        <v>1367</v>
      </c>
      <c r="E1665" s="859" t="s">
        <v>1368</v>
      </c>
      <c r="F1665" s="1418" t="s">
        <v>2073</v>
      </c>
      <c r="G1665" s="1444" t="s">
        <v>1372</v>
      </c>
      <c r="H1665" s="1422" t="s">
        <v>1918</v>
      </c>
      <c r="I1665" s="857"/>
      <c r="J1665" s="1418"/>
      <c r="K1665" s="1418"/>
      <c r="L1665" s="1418"/>
      <c r="M1665" s="1418"/>
      <c r="N1665" s="1418"/>
    </row>
    <row r="1666" spans="1:19" s="1411" customFormat="1" x14ac:dyDescent="0.25">
      <c r="A1666" s="925" t="s">
        <v>1520</v>
      </c>
      <c r="B1666" s="897" t="str">
        <f ca="1">_xlfn.CONCAT(IFERROR(SUBSTITUTE(ADDRESS(1,MATCH(A1666,INDIRECT("'"&amp;E1666&amp;"'"&amp;"!A" &amp; $O$570+5 &amp; ":Z" &amp; $O$570+5),0),4),1,""),""),$O$570+5)</f>
        <v>N36</v>
      </c>
      <c r="C1666" s="897" t="str">
        <f ca="1">_xlfn.CONCAT(IFERROR(SUBSTITUTE(ADDRESS(1,MATCH(A1666,INDIRECT("'"&amp;E1666&amp;"'"&amp;"!A" &amp; $O$570+5 &amp; ":Z" &amp; $O$570+5),0),4),1,""),""),$O$570+6)</f>
        <v>N37</v>
      </c>
      <c r="D1666" s="897" t="s">
        <v>1367</v>
      </c>
      <c r="E1666" s="897" t="s">
        <v>1535</v>
      </c>
      <c r="F1666" s="919" t="s">
        <v>2074</v>
      </c>
      <c r="G1666" s="1418" t="str">
        <f>IF(S1666&lt;&gt;"","G","")</f>
        <v/>
      </c>
      <c r="H1666" s="1418" t="s">
        <v>2075</v>
      </c>
      <c r="I1666" s="857"/>
      <c r="J1666" s="1418"/>
      <c r="K1666" s="1418"/>
      <c r="L1666" s="1418"/>
      <c r="M1666" s="1419"/>
      <c r="N1666" s="1418"/>
      <c r="R1666" s="1418" t="s">
        <v>855</v>
      </c>
      <c r="S1666" s="1418" t="str">
        <f>IF(Q$570="Yes",1,"")</f>
        <v/>
      </c>
    </row>
    <row r="1667" spans="1:19" s="1411" customFormat="1" x14ac:dyDescent="0.25">
      <c r="A1667" s="925" t="s">
        <v>1521</v>
      </c>
      <c r="B1667" s="897" t="str">
        <f ca="1">_xlfn.CONCAT(IFERROR(SUBSTITUTE(ADDRESS(1,MATCH(A1667,INDIRECT("'"&amp;E1667&amp;"'"&amp;"!A" &amp; $O$570+5 &amp; ":Z" &amp; $O$570+5),0),4),1,""),""),$O$570+5)</f>
        <v>P36</v>
      </c>
      <c r="C1667" s="897" t="str">
        <f ca="1">_xlfn.CONCAT(IFERROR(SUBSTITUTE(ADDRESS(1,MATCH(A1667,INDIRECT("'"&amp;E1667&amp;"'"&amp;"!A" &amp; $O$570+5 &amp; ":Z" &amp; $O$570+5),0),4),1,""),""),$O$570+6)</f>
        <v>P37</v>
      </c>
      <c r="D1667" s="897" t="s">
        <v>1367</v>
      </c>
      <c r="E1667" s="897" t="s">
        <v>1535</v>
      </c>
      <c r="F1667" s="919" t="s">
        <v>2076</v>
      </c>
      <c r="G1667" s="1418" t="str">
        <f>IF(S1667&lt;&gt;"","E","")</f>
        <v/>
      </c>
      <c r="H1667" s="1418" t="s">
        <v>2075</v>
      </c>
      <c r="I1667" s="857"/>
      <c r="J1667" s="1418"/>
      <c r="K1667" s="1418"/>
      <c r="L1667" s="1418"/>
      <c r="M1667" s="1419"/>
      <c r="N1667" s="1418"/>
      <c r="R1667" s="1418" t="s">
        <v>855</v>
      </c>
      <c r="S1667" s="1418" t="str">
        <f>IF(Q$570="Yes",1,"")</f>
        <v/>
      </c>
    </row>
    <row r="1668" spans="1:19" s="1411" customFormat="1" x14ac:dyDescent="0.25">
      <c r="A1668" s="928" t="s">
        <v>1520</v>
      </c>
      <c r="B1668" s="897" t="str">
        <f ca="1">_xlfn.CONCAT(IFERROR(SUBSTITUTE(ADDRESS(1,MATCH(A1668,INDIRECT("'"&amp;E1668&amp;"'"&amp;"!A" &amp; $O$589+5 &amp; ":Z" &amp; $O$589+5),0),4),1,""),""),$O$589+5)</f>
        <v>N50</v>
      </c>
      <c r="C1668" s="897" t="str">
        <f ca="1">_xlfn.CONCAT(IFERROR(SUBSTITUTE(ADDRESS(1,MATCH(A1668,INDIRECT("'"&amp;E1668&amp;"'"&amp;"!A" &amp; $O$589+5 &amp; ":Z" &amp; $O$589+5),0),4),1,""),""),$O$589+6)</f>
        <v>N51</v>
      </c>
      <c r="D1668" s="897" t="s">
        <v>1367</v>
      </c>
      <c r="E1668" s="897" t="s">
        <v>1535</v>
      </c>
      <c r="F1668" s="919" t="s">
        <v>2074</v>
      </c>
      <c r="G1668" s="1418" t="str">
        <f>IF(S1668&lt;&gt;"","G","")</f>
        <v/>
      </c>
      <c r="H1668" s="1418" t="s">
        <v>2075</v>
      </c>
      <c r="I1668" s="857"/>
      <c r="J1668" s="1418"/>
      <c r="K1668" s="1418"/>
      <c r="L1668" s="1418"/>
      <c r="M1668" s="1419"/>
      <c r="N1668" s="1418"/>
      <c r="R1668" s="1418" t="s">
        <v>855</v>
      </c>
      <c r="S1668" s="1418" t="str">
        <f>IF(Q$589="Yes",2,"")</f>
        <v/>
      </c>
    </row>
    <row r="1669" spans="1:19" s="1411" customFormat="1" x14ac:dyDescent="0.25">
      <c r="A1669" s="928" t="s">
        <v>1521</v>
      </c>
      <c r="B1669" s="897" t="str">
        <f ca="1">_xlfn.CONCAT(IFERROR(SUBSTITUTE(ADDRESS(1,MATCH(A1669,INDIRECT("'"&amp;E1669&amp;"'"&amp;"!A" &amp; $O$589+5 &amp; ":Z" &amp; $O$589+5),0),4),1,""),""),$O$589+5)</f>
        <v>P50</v>
      </c>
      <c r="C1669" s="897" t="str">
        <f ca="1">_xlfn.CONCAT(IFERROR(SUBSTITUTE(ADDRESS(1,MATCH(A1669,INDIRECT("'"&amp;E1669&amp;"'"&amp;"!A" &amp; $O$589+5 &amp; ":Z" &amp; $O$589+5),0),4),1,""),""),$O$589+6)</f>
        <v>P51</v>
      </c>
      <c r="D1669" s="897" t="s">
        <v>1367</v>
      </c>
      <c r="E1669" s="897" t="s">
        <v>1535</v>
      </c>
      <c r="F1669" s="919" t="s">
        <v>2076</v>
      </c>
      <c r="G1669" s="1418" t="str">
        <f>IF(S1669&lt;&gt;"","E","")</f>
        <v/>
      </c>
      <c r="H1669" s="1418" t="s">
        <v>2075</v>
      </c>
      <c r="I1669" s="857"/>
      <c r="J1669" s="1418"/>
      <c r="K1669" s="1418"/>
      <c r="L1669" s="1418"/>
      <c r="M1669" s="1419"/>
      <c r="N1669" s="1418"/>
      <c r="R1669" s="1418" t="s">
        <v>855</v>
      </c>
      <c r="S1669" s="1418" t="str">
        <f>IF(Q$589="Yes",2,"")</f>
        <v/>
      </c>
    </row>
    <row r="1670" spans="1:19" s="1411" customFormat="1" x14ac:dyDescent="0.25">
      <c r="A1670" s="926" t="s">
        <v>1520</v>
      </c>
      <c r="B1670" s="897" t="str">
        <f ca="1">_xlfn.IFNA(_xlfn.CONCAT(SUBSTITUTE(ADDRESS(1,MATCH(A1670,INDIRECT("'"&amp;E1670&amp;"'"&amp;"!A" &amp; $O$608+5 &amp; ":Z" &amp; $O$608+5),0),4),1,""),$O$608+6),"")</f>
        <v>N65</v>
      </c>
      <c r="C1670" s="897" t="str">
        <f ca="1">_xlfn.IFNA(SUBSTITUTE(ADDRESS(1,MATCH(A1670,INDIRECT("'"&amp;E1670&amp;"'"&amp;"!A" &amp; O$608+5 &amp; ":Z" &amp; O$608+5),0),4),1,""),"")</f>
        <v>N</v>
      </c>
      <c r="D1670" s="897" t="s">
        <v>1374</v>
      </c>
      <c r="E1670" s="897" t="s">
        <v>1535</v>
      </c>
      <c r="F1670" s="919" t="s">
        <v>2074</v>
      </c>
      <c r="G1670" s="1418" t="str">
        <f>IF(S1670&lt;&gt;"","G","")</f>
        <v/>
      </c>
      <c r="H1670" s="1418" t="s">
        <v>2075</v>
      </c>
      <c r="I1670" s="857"/>
      <c r="J1670" s="1418"/>
      <c r="K1670" s="1418"/>
      <c r="L1670" s="1418"/>
      <c r="M1670" s="1419"/>
      <c r="N1670" s="1418"/>
      <c r="R1670" s="1418" t="s">
        <v>855</v>
      </c>
      <c r="S1670" s="1418" t="str">
        <f>IF(Q$608="Yes",3,"")</f>
        <v/>
      </c>
    </row>
    <row r="1671" spans="1:19" s="1411" customFormat="1" x14ac:dyDescent="0.25">
      <c r="A1671" s="926" t="s">
        <v>1521</v>
      </c>
      <c r="B1671" s="897" t="str">
        <f ca="1">_xlfn.IFNA(_xlfn.CONCAT(SUBSTITUTE(ADDRESS(1,MATCH(A1671,INDIRECT("'"&amp;E1671&amp;"'"&amp;"!A" &amp; $O$608+5 &amp; ":Z" &amp; $O$608+5),0),4),1,""),$O$608+6),"")</f>
        <v>P65</v>
      </c>
      <c r="C1671" s="897" t="str">
        <f t="shared" ref="C1671" ca="1" si="276">_xlfn.IFNA(SUBSTITUTE(ADDRESS(1,MATCH(A1671,INDIRECT("'"&amp;E1671&amp;"'"&amp;"!A" &amp; O$608+5 &amp; ":Z" &amp; O$608+5),0),4),1,""),"")</f>
        <v>P</v>
      </c>
      <c r="D1671" s="897" t="s">
        <v>1374</v>
      </c>
      <c r="E1671" s="897" t="s">
        <v>1535</v>
      </c>
      <c r="F1671" s="919" t="s">
        <v>2076</v>
      </c>
      <c r="G1671" s="1418" t="str">
        <f>IF(S1671&lt;&gt;"","E","")</f>
        <v/>
      </c>
      <c r="H1671" s="1418" t="s">
        <v>2075</v>
      </c>
      <c r="I1671" s="857"/>
      <c r="J1671" s="1418"/>
      <c r="K1671" s="1418"/>
      <c r="L1671" s="1418"/>
      <c r="M1671" s="1419"/>
      <c r="N1671" s="1418"/>
      <c r="R1671" s="1418" t="s">
        <v>855</v>
      </c>
      <c r="S1671" s="1418" t="str">
        <f>IF(Q$608="Yes",3,"")</f>
        <v/>
      </c>
    </row>
    <row r="1672" spans="1:19" s="1411" customFormat="1" x14ac:dyDescent="0.25">
      <c r="A1672" s="929" t="s">
        <v>1520</v>
      </c>
      <c r="B1672" s="897" t="str">
        <f ca="1">_xlfn.IFNA(_xlfn.CONCAT(SUBSTITUTE(ADDRESS(1,MATCH(A1672,INDIRECT("'"&amp;E1672&amp;"'"&amp;"!A" &amp; $O$639 + 5 &amp; ":Z" &amp; $O$639 + 5),0),4),1,""), $O$639 + 6),"")</f>
        <v>N81</v>
      </c>
      <c r="C1672" s="897" t="str">
        <f t="shared" ref="C1672:C1673" ca="1" si="277">_xlfn.IFNA(SUBSTITUTE(ADDRESS(1,MATCH(A1672,INDIRECT("'"&amp;E1672&amp;"'"&amp;"!A" &amp; $O$639 + 5 &amp; ":Z" &amp; $O$639 + 5),0),4),1,""),"")</f>
        <v>N</v>
      </c>
      <c r="D1672" s="897" t="s">
        <v>1374</v>
      </c>
      <c r="E1672" s="897" t="s">
        <v>1535</v>
      </c>
      <c r="F1672" s="919" t="s">
        <v>2074</v>
      </c>
      <c r="G1672" s="1418" t="str">
        <f>IF(S1672&lt;&gt;"","G","")</f>
        <v/>
      </c>
      <c r="H1672" s="1418" t="s">
        <v>2075</v>
      </c>
      <c r="I1672" s="857"/>
      <c r="J1672" s="1418"/>
      <c r="K1672" s="1418"/>
      <c r="L1672" s="1418"/>
      <c r="M1672" s="1419"/>
      <c r="N1672" s="1418"/>
      <c r="R1672" s="1425" t="s">
        <v>855</v>
      </c>
      <c r="S1672" s="1418" t="str">
        <f>IF(Q$639="Yes",4,"")</f>
        <v/>
      </c>
    </row>
    <row r="1673" spans="1:19" s="1411" customFormat="1" x14ac:dyDescent="0.25">
      <c r="A1673" s="929" t="s">
        <v>1521</v>
      </c>
      <c r="B1673" s="897" t="str">
        <f ca="1">_xlfn.IFNA(_xlfn.CONCAT(SUBSTITUTE(ADDRESS(1,MATCH(A1673,INDIRECT("'"&amp;E1673&amp;"'"&amp;"!A" &amp; $O$639 + 5 &amp; ":Z" &amp; $O$639 + 5),0),4),1,""), $O$639 + 6),"")</f>
        <v>P81</v>
      </c>
      <c r="C1673" s="897" t="str">
        <f t="shared" ca="1" si="277"/>
        <v>P</v>
      </c>
      <c r="D1673" s="897" t="s">
        <v>1374</v>
      </c>
      <c r="E1673" s="897" t="s">
        <v>1535</v>
      </c>
      <c r="F1673" s="919" t="s">
        <v>2076</v>
      </c>
      <c r="G1673" s="1418" t="str">
        <f>IF(S1673&lt;&gt;"","E","")</f>
        <v/>
      </c>
      <c r="H1673" s="1418" t="s">
        <v>2075</v>
      </c>
      <c r="I1673" s="857"/>
      <c r="J1673" s="1418"/>
      <c r="K1673" s="1418"/>
      <c r="L1673" s="1418"/>
      <c r="M1673" s="1419"/>
      <c r="N1673" s="1418"/>
      <c r="R1673" s="1425" t="s">
        <v>855</v>
      </c>
      <c r="S1673" s="1418" t="str">
        <f>IF(Q$639="Yes",4,"")</f>
        <v/>
      </c>
    </row>
    <row r="1674" spans="1:19" s="1411" customFormat="1" x14ac:dyDescent="0.25">
      <c r="A1674" s="926" t="s">
        <v>1520</v>
      </c>
      <c r="B1674" s="897" t="str">
        <f ca="1">_xlfn.CONCAT(IFERROR(SUBSTITUTE(ADDRESS(1,MATCH(A1674,INDIRECT("'"&amp;E1674&amp;"'"&amp;"!A" &amp; $O$670 + 5 &amp; ":Z" &amp; $O$670 + 5),0),4),1,""),""),$O$670 + 5)</f>
        <v>N96</v>
      </c>
      <c r="C1674" s="897" t="str">
        <f ca="1">_xlfn.CONCAT(IFERROR(SUBSTITUTE(ADDRESS(1,MATCH(A1674,INDIRECT("'"&amp;E1674&amp;"'"&amp;"!A" &amp; $O$670 + 5 &amp; ":Z" &amp; $O$670 + 5),0),4),1,""),""),$O$670 + 6)</f>
        <v>N97</v>
      </c>
      <c r="D1674" s="897" t="s">
        <v>1367</v>
      </c>
      <c r="E1674" s="897" t="s">
        <v>1535</v>
      </c>
      <c r="F1674" s="919" t="s">
        <v>2074</v>
      </c>
      <c r="G1674" s="1418" t="str">
        <f>IF(S1674&lt;&gt;"","G","")</f>
        <v/>
      </c>
      <c r="H1674" s="1418" t="s">
        <v>2075</v>
      </c>
      <c r="I1674" s="857"/>
      <c r="J1674" s="1418"/>
      <c r="K1674" s="1418"/>
      <c r="L1674" s="1418"/>
      <c r="M1674" s="1419"/>
      <c r="N1674" s="1418"/>
      <c r="R1674" s="1418" t="s">
        <v>1544</v>
      </c>
      <c r="S1674" s="1418" t="str">
        <f>IF(Q$670="Yes",5,"")</f>
        <v/>
      </c>
    </row>
    <row r="1675" spans="1:19" s="1411" customFormat="1" x14ac:dyDescent="0.25">
      <c r="A1675" s="926" t="s">
        <v>1521</v>
      </c>
      <c r="B1675" s="897" t="str">
        <f ca="1">_xlfn.CONCAT(IFERROR(SUBSTITUTE(ADDRESS(1,MATCH(A1675,INDIRECT("'"&amp;E1675&amp;"'"&amp;"!A" &amp; $O$670 + 5 &amp; ":Z" &amp; $O$670 + 5),0),4),1,""),""),$O$670 + 5)</f>
        <v>P96</v>
      </c>
      <c r="C1675" s="897" t="str">
        <f ca="1">_xlfn.CONCAT(IFERROR(SUBSTITUTE(ADDRESS(1,MATCH(A1675,INDIRECT("'"&amp;E1675&amp;"'"&amp;"!A" &amp; $O$670 + 5 &amp; ":Z" &amp; $O$670 + 5),0),4),1,""),""),$O$670 + 6)</f>
        <v>P97</v>
      </c>
      <c r="D1675" s="897" t="s">
        <v>1367</v>
      </c>
      <c r="E1675" s="897" t="s">
        <v>1535</v>
      </c>
      <c r="F1675" s="919" t="s">
        <v>2076</v>
      </c>
      <c r="G1675" s="1418" t="str">
        <f>IF(S1675&lt;&gt;"","E","")</f>
        <v/>
      </c>
      <c r="H1675" s="1418" t="s">
        <v>2075</v>
      </c>
      <c r="I1675" s="857"/>
      <c r="J1675" s="1418"/>
      <c r="K1675" s="1418"/>
      <c r="L1675" s="1418"/>
      <c r="M1675" s="1419"/>
      <c r="N1675" s="1418"/>
      <c r="R1675" s="1418" t="s">
        <v>1544</v>
      </c>
      <c r="S1675" s="1418" t="str">
        <f>IF(Q$670="Yes",5,"")</f>
        <v/>
      </c>
    </row>
    <row r="1676" spans="1:19" s="1411" customFormat="1" x14ac:dyDescent="0.25">
      <c r="A1676" s="929" t="s">
        <v>1520</v>
      </c>
      <c r="B1676" s="897" t="str">
        <f ca="1">_xlfn.CONCAT(IFERROR(SUBSTITUTE(ADDRESS(1,MATCH(A1676,INDIRECT("'"&amp;E1676&amp;"'"&amp;"!A" &amp; $O$688 + 5 &amp; ":Z" &amp; $O$688 + 5),0),4),1,""),""),$O$688 + 5)</f>
        <v>N110</v>
      </c>
      <c r="C1676" s="897" t="str">
        <f ca="1">_xlfn.CONCAT(IFERROR(SUBSTITUTE(ADDRESS(1,MATCH(A1676,INDIRECT("'"&amp;E1676&amp;"'"&amp;"!A" &amp; $O$688 + 5 &amp; ":Z" &amp; $O$688 + 5),0),4),1,""),""),$O$688 + 6)</f>
        <v>N111</v>
      </c>
      <c r="D1676" s="897" t="s">
        <v>1367</v>
      </c>
      <c r="E1676" s="897" t="s">
        <v>1535</v>
      </c>
      <c r="F1676" s="919" t="s">
        <v>2074</v>
      </c>
      <c r="G1676" s="1418" t="str">
        <f>IF(S1676&lt;&gt;"","G","")</f>
        <v/>
      </c>
      <c r="H1676" s="1418" t="s">
        <v>2075</v>
      </c>
      <c r="I1676" s="857"/>
      <c r="J1676" s="1418"/>
      <c r="K1676" s="1418"/>
      <c r="L1676" s="1418"/>
      <c r="M1676" s="1419"/>
      <c r="N1676" s="1418"/>
      <c r="R1676" s="1418" t="s">
        <v>1544</v>
      </c>
      <c r="S1676" s="1418" t="str">
        <f>IF(Q$688="Yes",6,"")</f>
        <v/>
      </c>
    </row>
    <row r="1677" spans="1:19" s="1411" customFormat="1" x14ac:dyDescent="0.25">
      <c r="A1677" s="929" t="s">
        <v>1521</v>
      </c>
      <c r="B1677" s="897" t="str">
        <f ca="1">_xlfn.CONCAT(IFERROR(SUBSTITUTE(ADDRESS(1,MATCH(A1677,INDIRECT("'"&amp;E1677&amp;"'"&amp;"!A" &amp; $O$688 + 5 &amp; ":Z" &amp; $O$688 + 5),0),4),1,""),""),$O$688 + 5)</f>
        <v>P110</v>
      </c>
      <c r="C1677" s="897" t="str">
        <f ca="1">_xlfn.CONCAT(IFERROR(SUBSTITUTE(ADDRESS(1,MATCH(A1677,INDIRECT("'"&amp;E1677&amp;"'"&amp;"!A" &amp; $O$688 + 5 &amp; ":Z" &amp; $O$688 + 5),0),4),1,""),""),$O$688 + 6)</f>
        <v>P111</v>
      </c>
      <c r="D1677" s="897" t="s">
        <v>1367</v>
      </c>
      <c r="E1677" s="897" t="s">
        <v>1535</v>
      </c>
      <c r="F1677" s="919" t="s">
        <v>2076</v>
      </c>
      <c r="G1677" s="1418" t="str">
        <f>IF(S1677&lt;&gt;"","E","")</f>
        <v/>
      </c>
      <c r="H1677" s="1418" t="s">
        <v>2075</v>
      </c>
      <c r="I1677" s="857"/>
      <c r="J1677" s="1418"/>
      <c r="K1677" s="1418"/>
      <c r="L1677" s="1418"/>
      <c r="M1677" s="1419"/>
      <c r="N1677" s="1418"/>
      <c r="R1677" s="1418" t="s">
        <v>1544</v>
      </c>
      <c r="S1677" s="1418" t="str">
        <f>IF(Q$688="Yes",6,"")</f>
        <v/>
      </c>
    </row>
    <row r="1678" spans="1:19" s="1411" customFormat="1" x14ac:dyDescent="0.25">
      <c r="A1678" s="926" t="s">
        <v>1520</v>
      </c>
      <c r="B1678" s="897" t="str">
        <f ca="1">_xlfn.IFNA(_xlfn.CONCAT(SUBSTITUTE(ADDRESS(1,MATCH(A1678,INDIRECT("'"&amp;E1678&amp;"'"&amp;"!A" &amp; $O$706 + 5 &amp; ":Z" &amp; $O$706+ 5),0),4),1,""),$O$706 + 6),"")</f>
        <v>N125</v>
      </c>
      <c r="C1678" s="897" t="str">
        <f t="shared" ref="C1678:C1679" ca="1" si="278">_xlfn.IFNA(SUBSTITUTE(ADDRESS(1,MATCH(A1678,INDIRECT("'"&amp;E1678&amp;"'"&amp;"!A" &amp; $O$706 + 5 &amp; ":Z" &amp; $O$706+ 5),0),4),1,""),"")</f>
        <v>N</v>
      </c>
      <c r="D1678" s="897" t="s">
        <v>1374</v>
      </c>
      <c r="E1678" s="897" t="s">
        <v>1535</v>
      </c>
      <c r="F1678" s="919" t="s">
        <v>2074</v>
      </c>
      <c r="G1678" s="1418" t="str">
        <f>IF(S1678&lt;&gt;"","G","")</f>
        <v/>
      </c>
      <c r="H1678" s="1418" t="s">
        <v>2075</v>
      </c>
      <c r="I1678" s="857"/>
      <c r="J1678" s="1418"/>
      <c r="K1678" s="1418"/>
      <c r="L1678" s="1418"/>
      <c r="M1678" s="1419"/>
      <c r="N1678" s="1418"/>
      <c r="R1678" s="1418" t="s">
        <v>1544</v>
      </c>
      <c r="S1678" s="1418" t="str">
        <f>IF(Q$706="Yes",7,"")</f>
        <v/>
      </c>
    </row>
    <row r="1679" spans="1:19" s="1411" customFormat="1" x14ac:dyDescent="0.25">
      <c r="A1679" s="926" t="s">
        <v>1521</v>
      </c>
      <c r="B1679" s="897" t="str">
        <f ca="1">_xlfn.IFNA(_xlfn.CONCAT(SUBSTITUTE(ADDRESS(1,MATCH(A1679,INDIRECT("'"&amp;E1679&amp;"'"&amp;"!A" &amp; $O$706 + 5 &amp; ":Z" &amp; $O$706+ 5),0),4),1,""),$O$706 + 6),"")</f>
        <v>P125</v>
      </c>
      <c r="C1679" s="897" t="str">
        <f t="shared" ca="1" si="278"/>
        <v>P</v>
      </c>
      <c r="D1679" s="897" t="s">
        <v>1374</v>
      </c>
      <c r="E1679" s="897" t="s">
        <v>1535</v>
      </c>
      <c r="F1679" s="919" t="s">
        <v>2076</v>
      </c>
      <c r="G1679" s="1418" t="str">
        <f>IF(S1679&lt;&gt;"","E","")</f>
        <v/>
      </c>
      <c r="H1679" s="1418" t="s">
        <v>2075</v>
      </c>
      <c r="I1679" s="857"/>
      <c r="J1679" s="1418"/>
      <c r="K1679" s="1418"/>
      <c r="L1679" s="1418"/>
      <c r="M1679" s="1419"/>
      <c r="N1679" s="1418"/>
      <c r="R1679" s="1418" t="s">
        <v>1544</v>
      </c>
      <c r="S1679" s="1418" t="str">
        <f>IF(Q$706="Yes",7,"")</f>
        <v/>
      </c>
    </row>
    <row r="1680" spans="1:19" s="1411" customFormat="1" x14ac:dyDescent="0.25">
      <c r="A1680" s="929" t="s">
        <v>1520</v>
      </c>
      <c r="B1680" s="897" t="str">
        <f ca="1">_xlfn.IFNA(_xlfn.CONCAT(SUBSTITUTE(ADDRESS(1,MATCH(A1680,INDIRECT("'"&amp;E1680&amp;"'"&amp;"!A" &amp; $O$736 + 5 &amp; ":Z" &amp; $O$736+ 5),0),4),1,""),$O$736 + 6),"")</f>
        <v>N141</v>
      </c>
      <c r="C1680" s="897" t="str">
        <f t="shared" ref="C1680:C1681" ca="1" si="279">_xlfn.IFNA(SUBSTITUTE(ADDRESS(1,MATCH(A1680,INDIRECT("'"&amp;E1680&amp;"'"&amp;"!A" &amp; $O$736 + 5 &amp; ":Z" &amp; $O$736+ 5),0),4),1,""),"")</f>
        <v>N</v>
      </c>
      <c r="D1680" s="897" t="s">
        <v>1374</v>
      </c>
      <c r="E1680" s="897" t="s">
        <v>1535</v>
      </c>
      <c r="F1680" s="919" t="s">
        <v>2074</v>
      </c>
      <c r="G1680" s="1418" t="str">
        <f>IF(S1680&lt;&gt;"","G","")</f>
        <v/>
      </c>
      <c r="H1680" s="1418" t="s">
        <v>2075</v>
      </c>
      <c r="I1680" s="857"/>
      <c r="J1680" s="1418"/>
      <c r="K1680" s="1418"/>
      <c r="L1680" s="1418"/>
      <c r="M1680" s="1419"/>
      <c r="N1680" s="1418"/>
      <c r="R1680" s="1418" t="s">
        <v>1544</v>
      </c>
      <c r="S1680" s="1418" t="str">
        <f>IF(Q$736="Yes",8,"")</f>
        <v/>
      </c>
    </row>
    <row r="1681" spans="1:19" s="1411" customFormat="1" x14ac:dyDescent="0.25">
      <c r="A1681" s="929" t="s">
        <v>1521</v>
      </c>
      <c r="B1681" s="897" t="str">
        <f ca="1">_xlfn.IFNA(_xlfn.CONCAT(SUBSTITUTE(ADDRESS(1,MATCH(A1681,INDIRECT("'"&amp;E1681&amp;"'"&amp;"!A" &amp; $O$736 + 5 &amp; ":Z" &amp; $O$736+ 5),0),4),1,""),$O$736 + 6),"")</f>
        <v>P141</v>
      </c>
      <c r="C1681" s="897" t="str">
        <f t="shared" ca="1" si="279"/>
        <v>P</v>
      </c>
      <c r="D1681" s="897" t="s">
        <v>1374</v>
      </c>
      <c r="E1681" s="897" t="s">
        <v>1535</v>
      </c>
      <c r="F1681" s="919" t="s">
        <v>2076</v>
      </c>
      <c r="G1681" s="1418" t="str">
        <f>IF(S1681&lt;&gt;"","E","")</f>
        <v/>
      </c>
      <c r="H1681" s="1418" t="s">
        <v>2075</v>
      </c>
      <c r="I1681" s="857"/>
      <c r="J1681" s="1418"/>
      <c r="K1681" s="1418"/>
      <c r="L1681" s="1418"/>
      <c r="M1681" s="1419"/>
      <c r="N1681" s="1418"/>
      <c r="R1681" s="1418" t="s">
        <v>1544</v>
      </c>
      <c r="S1681" s="1418" t="str">
        <f>IF(Q$736="Yes",8,"")</f>
        <v/>
      </c>
    </row>
    <row r="1682" spans="1:19" s="1411" customFormat="1" x14ac:dyDescent="0.25">
      <c r="A1682" s="926" t="s">
        <v>1520</v>
      </c>
      <c r="B1682" s="897" t="str">
        <f ca="1">_xlfn.CONCAT(IFERROR(SUBSTITUTE(ADDRESS(1,MATCH(A1682,INDIRECT("'"&amp;E1682&amp;"'"&amp;"!A" &amp; $O$796 + 5 &amp; ":Z" &amp; $O$796+ 5),0),4),1,""),""),$O$796 + 5)</f>
        <v>N184</v>
      </c>
      <c r="C1682" s="897" t="str">
        <f ca="1">_xlfn.CONCAT(IFERROR(SUBSTITUTE(ADDRESS(1,MATCH(A1682,INDIRECT("'"&amp;E1682&amp;"'"&amp;"!A" &amp; $O$796 + 5 &amp; ":Z" &amp; $O$796+ 5),0),4),1,""),""),$O$796 + 6)</f>
        <v>N185</v>
      </c>
      <c r="D1682" s="897" t="s">
        <v>1367</v>
      </c>
      <c r="E1682" s="897" t="s">
        <v>1535</v>
      </c>
      <c r="F1682" s="919" t="s">
        <v>2074</v>
      </c>
      <c r="G1682" s="1418" t="str">
        <f>IF(S1682&lt;&gt;"","G","")</f>
        <v/>
      </c>
      <c r="H1682" s="1418" t="s">
        <v>2075</v>
      </c>
      <c r="I1682" s="857"/>
      <c r="J1682" s="1418"/>
      <c r="K1682" s="1418"/>
      <c r="L1682" s="1418"/>
      <c r="M1682" s="1419"/>
      <c r="N1682" s="1418"/>
      <c r="R1682" s="1418" t="s">
        <v>1550</v>
      </c>
      <c r="S1682" s="1418" t="str">
        <f>IF(Q$796="Yes",9,"")</f>
        <v/>
      </c>
    </row>
    <row r="1683" spans="1:19" s="1411" customFormat="1" x14ac:dyDescent="0.25">
      <c r="A1683" s="926" t="s">
        <v>1521</v>
      </c>
      <c r="B1683" s="897" t="str">
        <f ca="1">_xlfn.CONCAT(IFERROR(SUBSTITUTE(ADDRESS(1,MATCH(A1683,INDIRECT("'"&amp;E1683&amp;"'"&amp;"!A" &amp; $O$796 + 5 &amp; ":Z" &amp; $O$796+ 5),0),4),1,""),""),$O$796 + 5)</f>
        <v>P184</v>
      </c>
      <c r="C1683" s="897" t="str">
        <f ca="1">_xlfn.CONCAT(IFERROR(SUBSTITUTE(ADDRESS(1,MATCH(A1683,INDIRECT("'"&amp;E1683&amp;"'"&amp;"!A" &amp; $O$796 + 5 &amp; ":Z" &amp; $O$796+ 5),0),4),1,""),""),$O$796 + 6)</f>
        <v>P185</v>
      </c>
      <c r="D1683" s="897" t="s">
        <v>1367</v>
      </c>
      <c r="E1683" s="897" t="s">
        <v>1535</v>
      </c>
      <c r="F1683" s="919" t="s">
        <v>2076</v>
      </c>
      <c r="G1683" s="1418" t="str">
        <f>IF(S1683&lt;&gt;"","E","")</f>
        <v/>
      </c>
      <c r="H1683" s="1418" t="s">
        <v>2075</v>
      </c>
      <c r="I1683" s="857"/>
      <c r="J1683" s="1418"/>
      <c r="K1683" s="1418"/>
      <c r="L1683" s="1418"/>
      <c r="M1683" s="1419"/>
      <c r="N1683" s="1418"/>
      <c r="R1683" s="1418" t="s">
        <v>1550</v>
      </c>
      <c r="S1683" s="1418" t="str">
        <f>IF(Q$796="Yes",9,"")</f>
        <v/>
      </c>
    </row>
    <row r="1684" spans="1:19" s="1411" customFormat="1" x14ac:dyDescent="0.25">
      <c r="A1684" s="929" t="s">
        <v>1520</v>
      </c>
      <c r="B1684" s="897" t="str">
        <f ca="1">_xlfn.CONCAT(IFERROR(SUBSTITUTE(ADDRESS(1,MATCH(A1684,INDIRECT("'"&amp;E1684&amp;"'"&amp;"!A" &amp; $O$814 + 5 &amp; ":Z" &amp; $O$814+ 5),0),4),1,""),""),$O$814 + 5)</f>
        <v>N198</v>
      </c>
      <c r="C1684" s="897" t="str">
        <f ca="1">_xlfn.CONCAT(IFERROR(SUBSTITUTE(ADDRESS(1,MATCH(A1684,INDIRECT("'"&amp;E1684&amp;"'"&amp;"!A" &amp; $O$814 + 5 &amp; ":Z" &amp; $O$814+ 5),0),4),1,""),""),$O$814 + 6)</f>
        <v>N199</v>
      </c>
      <c r="D1684" s="897" t="s">
        <v>1367</v>
      </c>
      <c r="E1684" s="897" t="s">
        <v>1535</v>
      </c>
      <c r="F1684" s="919" t="s">
        <v>2074</v>
      </c>
      <c r="G1684" s="1418" t="str">
        <f>IF(S1684&lt;&gt;"","G","")</f>
        <v/>
      </c>
      <c r="H1684" s="1418" t="s">
        <v>2075</v>
      </c>
      <c r="I1684" s="857"/>
      <c r="J1684" s="1418"/>
      <c r="K1684" s="1418"/>
      <c r="L1684" s="1418"/>
      <c r="M1684" s="1419"/>
      <c r="N1684" s="1418"/>
      <c r="R1684" s="1418" t="s">
        <v>1550</v>
      </c>
      <c r="S1684" s="1418" t="str">
        <f>IF(Q$814="Yes",10,"")</f>
        <v/>
      </c>
    </row>
    <row r="1685" spans="1:19" s="1411" customFormat="1" x14ac:dyDescent="0.25">
      <c r="A1685" s="929" t="s">
        <v>1521</v>
      </c>
      <c r="B1685" s="897" t="str">
        <f ca="1">_xlfn.CONCAT(IFERROR(SUBSTITUTE(ADDRESS(1,MATCH(A1685,INDIRECT("'"&amp;E1685&amp;"'"&amp;"!A" &amp; $O$814 + 5 &amp; ":Z" &amp; $O$814+ 5),0),4),1,""),""),$O$814 + 5)</f>
        <v>P198</v>
      </c>
      <c r="C1685" s="897" t="str">
        <f ca="1">_xlfn.CONCAT(IFERROR(SUBSTITUTE(ADDRESS(1,MATCH(A1685,INDIRECT("'"&amp;E1685&amp;"'"&amp;"!A" &amp; $O$814 + 5 &amp; ":Z" &amp; $O$814+ 5),0),4),1,""),""),$O$814 + 6)</f>
        <v>P199</v>
      </c>
      <c r="D1685" s="897" t="s">
        <v>1367</v>
      </c>
      <c r="E1685" s="897" t="s">
        <v>1535</v>
      </c>
      <c r="F1685" s="919" t="s">
        <v>2076</v>
      </c>
      <c r="G1685" s="1418" t="str">
        <f>IF(S1685&lt;&gt;"","E","")</f>
        <v/>
      </c>
      <c r="H1685" s="1418" t="s">
        <v>2075</v>
      </c>
      <c r="I1685" s="857"/>
      <c r="J1685" s="1418"/>
      <c r="K1685" s="1418"/>
      <c r="L1685" s="1418"/>
      <c r="M1685" s="1419"/>
      <c r="N1685" s="1418"/>
      <c r="R1685" s="1418" t="s">
        <v>1550</v>
      </c>
      <c r="S1685" s="1418" t="str">
        <f>IF(Q$814="Yes",10,"")</f>
        <v/>
      </c>
    </row>
    <row r="1686" spans="1:19" s="1411" customFormat="1" x14ac:dyDescent="0.25">
      <c r="A1686" s="926" t="s">
        <v>1520</v>
      </c>
      <c r="B1686" s="897" t="str">
        <f ca="1">_xlfn.IFNA(_xlfn.CONCAT(SUBSTITUTE(ADDRESS(1,MATCH(A1686,INDIRECT("'"&amp;E1686&amp;"'"&amp;"!A" &amp; $O$832 + 5 &amp; ":Z" &amp; $O$832+ 5),0),4),1,""),$O$832 + 6),"")</f>
        <v>N213</v>
      </c>
      <c r="C1686" s="897" t="str">
        <f t="shared" ref="C1686:C1687" ca="1" si="280">_xlfn.IFNA(SUBSTITUTE(ADDRESS(1,MATCH(A1686,INDIRECT("'"&amp;E1686&amp;"'"&amp;"!A" &amp; $O$832 + 5 &amp; ":Z" &amp; $O$832+ 5),0),4),1,""),"")</f>
        <v>N</v>
      </c>
      <c r="D1686" s="897" t="s">
        <v>1374</v>
      </c>
      <c r="E1686" s="897" t="s">
        <v>1535</v>
      </c>
      <c r="F1686" s="919" t="s">
        <v>2074</v>
      </c>
      <c r="G1686" s="1418" t="str">
        <f>IF(S1686&lt;&gt;"","G","")</f>
        <v/>
      </c>
      <c r="H1686" s="1418" t="s">
        <v>2075</v>
      </c>
      <c r="I1686" s="857"/>
      <c r="J1686" s="1418"/>
      <c r="K1686" s="1418"/>
      <c r="L1686" s="1418"/>
      <c r="M1686" s="1419"/>
      <c r="N1686" s="1418"/>
      <c r="R1686" s="1418" t="s">
        <v>1550</v>
      </c>
      <c r="S1686" s="1418" t="str">
        <f>IF(Q$832="Yes",11,"")</f>
        <v/>
      </c>
    </row>
    <row r="1687" spans="1:19" s="1411" customFormat="1" x14ac:dyDescent="0.25">
      <c r="A1687" s="926" t="s">
        <v>1521</v>
      </c>
      <c r="B1687" s="897" t="str">
        <f ca="1">_xlfn.IFNA(_xlfn.CONCAT(SUBSTITUTE(ADDRESS(1,MATCH(A1687,INDIRECT("'"&amp;E1687&amp;"'"&amp;"!A" &amp; $O$832 + 5 &amp; ":Z" &amp; $O$832+ 5),0),4),1,""),$O$832 + 6),"")</f>
        <v>P213</v>
      </c>
      <c r="C1687" s="897" t="str">
        <f t="shared" ca="1" si="280"/>
        <v>P</v>
      </c>
      <c r="D1687" s="897" t="s">
        <v>1374</v>
      </c>
      <c r="E1687" s="897" t="s">
        <v>1535</v>
      </c>
      <c r="F1687" s="919" t="s">
        <v>2076</v>
      </c>
      <c r="G1687" s="1418" t="str">
        <f>IF(S1687&lt;&gt;"","E","")</f>
        <v/>
      </c>
      <c r="H1687" s="1418" t="s">
        <v>2075</v>
      </c>
      <c r="I1687" s="857"/>
      <c r="J1687" s="1418"/>
      <c r="K1687" s="1418"/>
      <c r="L1687" s="1418"/>
      <c r="M1687" s="1419"/>
      <c r="N1687" s="1418"/>
      <c r="R1687" s="1418" t="s">
        <v>1550</v>
      </c>
      <c r="S1687" s="1418" t="str">
        <f>IF(Q$832="Yes",11,"")</f>
        <v/>
      </c>
    </row>
    <row r="1688" spans="1:19" s="1411" customFormat="1" x14ac:dyDescent="0.25">
      <c r="A1688" s="929" t="s">
        <v>1520</v>
      </c>
      <c r="B1688" s="897" t="str">
        <f ca="1">_xlfn.IFNA(_xlfn.CONCAT(SUBSTITUTE(ADDRESS(1,MATCH(A1688,INDIRECT("'"&amp;E1688&amp;"'"&amp;"!A" &amp; $O$862 + 5 &amp; ":Z" &amp; $O$862+ 5),0),4),1,""),$O$862 + 6),"")</f>
        <v>N229</v>
      </c>
      <c r="C1688" s="897" t="str">
        <f t="shared" ref="C1688:C1689" ca="1" si="281">_xlfn.IFNA(SUBSTITUTE(ADDRESS(1,MATCH(A1688,INDIRECT("'"&amp;E1688&amp;"'"&amp;"!A" &amp; $O$862 + 5 &amp; ":Z" &amp; $O$862+ 5),0),4),1,""),"")</f>
        <v>N</v>
      </c>
      <c r="D1688" s="897" t="s">
        <v>1374</v>
      </c>
      <c r="E1688" s="897" t="s">
        <v>1535</v>
      </c>
      <c r="F1688" s="919" t="s">
        <v>2074</v>
      </c>
      <c r="G1688" s="1418" t="str">
        <f>IF(S1688&lt;&gt;"","G","")</f>
        <v/>
      </c>
      <c r="H1688" s="1418" t="s">
        <v>2075</v>
      </c>
      <c r="I1688" s="857"/>
      <c r="J1688" s="1418"/>
      <c r="K1688" s="1418"/>
      <c r="L1688" s="1418"/>
      <c r="M1688" s="1419"/>
      <c r="N1688" s="1418"/>
      <c r="R1688" s="1418" t="s">
        <v>1550</v>
      </c>
      <c r="S1688" s="1418" t="str">
        <f>IF(Q$862="Yes",12,"")</f>
        <v/>
      </c>
    </row>
    <row r="1689" spans="1:19" s="1411" customFormat="1" x14ac:dyDescent="0.25">
      <c r="A1689" s="929" t="s">
        <v>1521</v>
      </c>
      <c r="B1689" s="897" t="str">
        <f ca="1">_xlfn.IFNA(_xlfn.CONCAT(SUBSTITUTE(ADDRESS(1,MATCH(A1689,INDIRECT("'"&amp;E1689&amp;"'"&amp;"!A" &amp; $O$862 + 5 &amp; ":Z" &amp; $O$862+ 5),0),4),1,""),$O$862 + 6),"")</f>
        <v>P229</v>
      </c>
      <c r="C1689" s="897" t="str">
        <f t="shared" ca="1" si="281"/>
        <v>P</v>
      </c>
      <c r="D1689" s="897" t="s">
        <v>1374</v>
      </c>
      <c r="E1689" s="897" t="s">
        <v>1535</v>
      </c>
      <c r="F1689" s="919" t="s">
        <v>2076</v>
      </c>
      <c r="G1689" s="1418" t="str">
        <f>IF(S1689&lt;&gt;"","E","")</f>
        <v/>
      </c>
      <c r="H1689" s="1418" t="s">
        <v>2075</v>
      </c>
      <c r="I1689" s="857"/>
      <c r="J1689" s="1418"/>
      <c r="K1689" s="1418"/>
      <c r="L1689" s="1418"/>
      <c r="M1689" s="1419"/>
      <c r="N1689" s="1418"/>
      <c r="R1689" s="1418" t="s">
        <v>1550</v>
      </c>
      <c r="S1689" s="1418" t="str">
        <f>IF(Q$862="Yes",12,"")</f>
        <v/>
      </c>
    </row>
    <row r="1690" spans="1:19" s="1411" customFormat="1" x14ac:dyDescent="0.25">
      <c r="A1690" s="926" t="s">
        <v>1520</v>
      </c>
      <c r="B1690" s="897" t="str">
        <f ca="1">_xlfn.CONCAT(IFERROR(SUBSTITUTE(ADDRESS(1,MATCH(A1690,INDIRECT("'"&amp;E1690&amp;"'"&amp;"!A" &amp; $O$892 + 5 &amp; ":Z" &amp; $O$892+ 5),0),4),1,""),""),$O$892 + 5)</f>
        <v>N244</v>
      </c>
      <c r="C1690" s="897" t="str">
        <f ca="1">_xlfn.CONCAT(IFERROR(SUBSTITUTE(ADDRESS(1,MATCH(A1690,INDIRECT("'"&amp;E1690&amp;"'"&amp;"!A" &amp; $O$892 + 5 &amp; ":Z" &amp; $O$892+ 5),0),4),1,""),""),$O$892 + 6)</f>
        <v>N245</v>
      </c>
      <c r="D1690" s="897" t="s">
        <v>1367</v>
      </c>
      <c r="E1690" s="897" t="s">
        <v>1535</v>
      </c>
      <c r="F1690" s="919" t="s">
        <v>2074</v>
      </c>
      <c r="G1690" s="1418" t="str">
        <f>IF(S1690&lt;&gt;"","G","")</f>
        <v/>
      </c>
      <c r="H1690" s="1418" t="s">
        <v>2075</v>
      </c>
      <c r="I1690" s="857"/>
      <c r="J1690" s="1418"/>
      <c r="K1690" s="1418"/>
      <c r="L1690" s="1418"/>
      <c r="M1690" s="1419"/>
      <c r="N1690" s="1418"/>
      <c r="R1690" s="1418" t="s">
        <v>395</v>
      </c>
      <c r="S1690" s="1418" t="str">
        <f>IF(Q$892="Yes",13,"")</f>
        <v/>
      </c>
    </row>
    <row r="1691" spans="1:19" s="1411" customFormat="1" x14ac:dyDescent="0.25">
      <c r="A1691" s="926" t="s">
        <v>1521</v>
      </c>
      <c r="B1691" s="897" t="str">
        <f ca="1">_xlfn.CONCAT(IFERROR(SUBSTITUTE(ADDRESS(1,MATCH(A1691,INDIRECT("'"&amp;E1691&amp;"'"&amp;"!A" &amp; $O$892 + 5 &amp; ":Z" &amp; $O$892+ 5),0),4),1,""),""),$O$892 + 5)</f>
        <v>P244</v>
      </c>
      <c r="C1691" s="897" t="str">
        <f ca="1">_xlfn.CONCAT(IFERROR(SUBSTITUTE(ADDRESS(1,MATCH(A1691,INDIRECT("'"&amp;E1691&amp;"'"&amp;"!A" &amp; $O$892 + 5 &amp; ":Z" &amp; $O$892+ 5),0),4),1,""),""),$O$892 + 6)</f>
        <v>P245</v>
      </c>
      <c r="D1691" s="897" t="s">
        <v>1367</v>
      </c>
      <c r="E1691" s="897" t="s">
        <v>1535</v>
      </c>
      <c r="F1691" s="919" t="s">
        <v>2076</v>
      </c>
      <c r="G1691" s="1418" t="str">
        <f>IF(S1691&lt;&gt;"","E","")</f>
        <v/>
      </c>
      <c r="H1691" s="1418" t="s">
        <v>2075</v>
      </c>
      <c r="I1691" s="857"/>
      <c r="J1691" s="1418"/>
      <c r="K1691" s="1418"/>
      <c r="L1691" s="1418"/>
      <c r="M1691" s="1419"/>
      <c r="N1691" s="1418"/>
      <c r="R1691" s="1418" t="s">
        <v>395</v>
      </c>
      <c r="S1691" s="1418" t="str">
        <f>IF(Q$892="Yes",13,"")</f>
        <v/>
      </c>
    </row>
    <row r="1692" spans="1:19" s="1411" customFormat="1" x14ac:dyDescent="0.25">
      <c r="A1692" s="1082" t="s">
        <v>1520</v>
      </c>
      <c r="B1692" s="897" t="str">
        <f ca="1">_xlfn.CONCAT(IFERROR(SUBSTITUTE(ADDRESS(1,MATCH(A1692,INDIRECT("'"&amp;E1692&amp;"'"&amp;"!A" &amp; $O$911 + 5 &amp; ":Z" &amp; $O$911 + 5),0),4),1,""),""),$O$911 + 5)</f>
        <v>N258</v>
      </c>
      <c r="C1692" s="897" t="str">
        <f ca="1">_xlfn.CONCAT(IFERROR(SUBSTITUTE(ADDRESS(1,MATCH(A1692,INDIRECT("'"&amp;E1692&amp;"'"&amp;"!A" &amp; $O$911 + 5 &amp; ":Z" &amp; $O$911 + 5),0),4),1,""),""),$O$911 + 6)</f>
        <v>N259</v>
      </c>
      <c r="D1692" s="897" t="s">
        <v>1367</v>
      </c>
      <c r="E1692" s="897" t="s">
        <v>1535</v>
      </c>
      <c r="F1692" s="919" t="s">
        <v>2074</v>
      </c>
      <c r="G1692" s="1418" t="str">
        <f>IF(S1692&lt;&gt;"","G","")</f>
        <v/>
      </c>
      <c r="H1692" s="1418" t="s">
        <v>2075</v>
      </c>
      <c r="I1692" s="857"/>
      <c r="J1692" s="1418"/>
      <c r="K1692" s="1418"/>
      <c r="L1692" s="1418"/>
      <c r="M1692" s="1419"/>
      <c r="N1692" s="1418"/>
      <c r="R1692" s="1418" t="s">
        <v>395</v>
      </c>
      <c r="S1692" s="1418" t="str">
        <f>IF(Q$911="Yes",14,"")</f>
        <v/>
      </c>
    </row>
    <row r="1693" spans="1:19" s="1411" customFormat="1" x14ac:dyDescent="0.25">
      <c r="A1693" s="1082" t="s">
        <v>1521</v>
      </c>
      <c r="B1693" s="897" t="str">
        <f ca="1">_xlfn.CONCAT(IFERROR(SUBSTITUTE(ADDRESS(1,MATCH(A1693,INDIRECT("'"&amp;E1693&amp;"'"&amp;"!A" &amp; $O$911 + 5 &amp; ":Z" &amp; $O$911 + 5),0),4),1,""),""),$O$911 + 5)</f>
        <v>P258</v>
      </c>
      <c r="C1693" s="897" t="str">
        <f ca="1">_xlfn.CONCAT(IFERROR(SUBSTITUTE(ADDRESS(1,MATCH(A1693,INDIRECT("'"&amp;E1693&amp;"'"&amp;"!A" &amp; $O$911 + 5 &amp; ":Z" &amp; $O$911 + 5),0),4),1,""),""),$O$911 + 6)</f>
        <v>P259</v>
      </c>
      <c r="D1693" s="897" t="s">
        <v>1367</v>
      </c>
      <c r="E1693" s="897" t="s">
        <v>1535</v>
      </c>
      <c r="F1693" s="919" t="s">
        <v>2076</v>
      </c>
      <c r="G1693" s="1418" t="str">
        <f>IF(S1693&lt;&gt;"","E","")</f>
        <v/>
      </c>
      <c r="H1693" s="1418" t="s">
        <v>2075</v>
      </c>
      <c r="I1693" s="857"/>
      <c r="J1693" s="1418"/>
      <c r="K1693" s="1418"/>
      <c r="L1693" s="1418"/>
      <c r="M1693" s="1419"/>
      <c r="N1693" s="1418"/>
      <c r="R1693" s="1418" t="s">
        <v>395</v>
      </c>
      <c r="S1693" s="1418" t="str">
        <f>IF(Q$911="Yes",14,"")</f>
        <v/>
      </c>
    </row>
    <row r="1694" spans="1:19" s="1411" customFormat="1" x14ac:dyDescent="0.25">
      <c r="A1694" s="1102" t="s">
        <v>1520</v>
      </c>
      <c r="B1694" s="897" t="str">
        <f ca="1">_xlfn.CONCAT(IFERROR(SUBSTITUTE(ADDRESS(1,MATCH(A1694,INDIRECT("'"&amp;E1694&amp;"'"&amp;"!A" &amp; $O$930 + 5 &amp; ":Z" &amp; $O$930 + 5),0),4),1,""),""),$O$930 + 5)</f>
        <v>N272</v>
      </c>
      <c r="C1694" s="897" t="str">
        <f ca="1">_xlfn.CONCAT(IFERROR(SUBSTITUTE(ADDRESS(1,MATCH(A1694,INDIRECT("'"&amp;E1694&amp;"'"&amp;"!A" &amp; $O$930 + 5 &amp; ":Z" &amp; $O$930 + 5),0),4),1,""),""),$O$930 + 6)</f>
        <v>N273</v>
      </c>
      <c r="D1694" s="897" t="s">
        <v>1367</v>
      </c>
      <c r="E1694" s="897" t="s">
        <v>1535</v>
      </c>
      <c r="F1694" s="919" t="s">
        <v>2074</v>
      </c>
      <c r="G1694" s="1418" t="str">
        <f>IF(S1694&lt;&gt;"","G","")</f>
        <v/>
      </c>
      <c r="H1694" s="1418" t="s">
        <v>2075</v>
      </c>
      <c r="I1694" s="857"/>
      <c r="J1694" s="1418"/>
      <c r="K1694" s="1418"/>
      <c r="L1694" s="1418"/>
      <c r="M1694" s="1419"/>
      <c r="N1694" s="1418"/>
      <c r="R1694" s="1418" t="s">
        <v>395</v>
      </c>
      <c r="S1694" s="1418" t="str">
        <f>IF(Q$930="Yes",15,"")</f>
        <v/>
      </c>
    </row>
    <row r="1695" spans="1:19" s="1411" customFormat="1" x14ac:dyDescent="0.25">
      <c r="A1695" s="1102" t="s">
        <v>1521</v>
      </c>
      <c r="B1695" s="897" t="str">
        <f ca="1">_xlfn.CONCAT(IFERROR(SUBSTITUTE(ADDRESS(1,MATCH(A1695,INDIRECT("'"&amp;E1695&amp;"'"&amp;"!A" &amp; $O$930 + 5 &amp; ":Z" &amp; $O$930 + 5),0),4),1,""),""),$O$930 + 5)</f>
        <v>P272</v>
      </c>
      <c r="C1695" s="897" t="str">
        <f ca="1">_xlfn.CONCAT(IFERROR(SUBSTITUTE(ADDRESS(1,MATCH(A1695,INDIRECT("'"&amp;E1695&amp;"'"&amp;"!A" &amp; $O$930 + 5 &amp; ":Z" &amp; $O$930 + 5),0),4),1,""),""),$O$930 + 6)</f>
        <v>P273</v>
      </c>
      <c r="D1695" s="897" t="s">
        <v>1367</v>
      </c>
      <c r="E1695" s="897" t="s">
        <v>1535</v>
      </c>
      <c r="F1695" s="919" t="s">
        <v>2076</v>
      </c>
      <c r="G1695" s="1418" t="str">
        <f>IF(S1695&lt;&gt;"","E","")</f>
        <v/>
      </c>
      <c r="H1695" s="1418" t="s">
        <v>2075</v>
      </c>
      <c r="I1695" s="857"/>
      <c r="J1695" s="1418"/>
      <c r="K1695" s="1418"/>
      <c r="L1695" s="1418"/>
      <c r="M1695" s="1419"/>
      <c r="N1695" s="1418"/>
      <c r="R1695" s="1418" t="s">
        <v>395</v>
      </c>
      <c r="S1695" s="1418" t="str">
        <f>IF(Q$930="Yes",15,"")</f>
        <v/>
      </c>
    </row>
    <row r="1696" spans="1:19" s="1411" customFormat="1" x14ac:dyDescent="0.25">
      <c r="A1696" s="1082" t="s">
        <v>1520</v>
      </c>
      <c r="B1696" s="897" t="str">
        <f ca="1">_xlfn.CONCAT(IFERROR(SUBSTITUTE(ADDRESS(1,MATCH(A1696,INDIRECT("'"&amp;E1696&amp;"'"&amp;"!A" &amp; $O$949 + 5 &amp; ":Z" &amp; $O$949 + 5),0),4),1,""),""),$O$949 + 5)</f>
        <v>N286</v>
      </c>
      <c r="C1696" s="897" t="str">
        <f ca="1">_xlfn.CONCAT(IFERROR(SUBSTITUTE(ADDRESS(1,MATCH(A1696,INDIRECT("'"&amp;E1696&amp;"'"&amp;"!A" &amp; $O$949 + 5 &amp; ":Z" &amp; $O$949 + 5),0),4),1,""),""),$O$949 + 6)</f>
        <v>N287</v>
      </c>
      <c r="D1696" s="897" t="s">
        <v>1367</v>
      </c>
      <c r="E1696" s="897" t="s">
        <v>1535</v>
      </c>
      <c r="F1696" s="919" t="s">
        <v>2074</v>
      </c>
      <c r="G1696" s="1418" t="str">
        <f>IF(S1696&lt;&gt;"","G","")</f>
        <v/>
      </c>
      <c r="H1696" s="1418" t="s">
        <v>2075</v>
      </c>
      <c r="I1696" s="857"/>
      <c r="J1696" s="1418"/>
      <c r="K1696" s="1418"/>
      <c r="L1696" s="1418"/>
      <c r="M1696" s="1419"/>
      <c r="N1696" s="1418"/>
      <c r="R1696" s="1418" t="s">
        <v>395</v>
      </c>
      <c r="S1696" s="1418" t="str">
        <f>IF(Q$949="Yes",16,"")</f>
        <v/>
      </c>
    </row>
    <row r="1697" spans="1:19" s="1411" customFormat="1" x14ac:dyDescent="0.25">
      <c r="A1697" s="1082" t="s">
        <v>1521</v>
      </c>
      <c r="B1697" s="897" t="str">
        <f ca="1">_xlfn.CONCAT(IFERROR(SUBSTITUTE(ADDRESS(1,MATCH(A1697,INDIRECT("'"&amp;E1697&amp;"'"&amp;"!A" &amp; $O$949 + 5 &amp; ":Z" &amp; $O$949 + 5),0),4),1,""),""),$O$949 + 5)</f>
        <v>P286</v>
      </c>
      <c r="C1697" s="897" t="str">
        <f ca="1">_xlfn.CONCAT(IFERROR(SUBSTITUTE(ADDRESS(1,MATCH(A1697,INDIRECT("'"&amp;E1697&amp;"'"&amp;"!A" &amp; $O$949 + 5 &amp; ":Z" &amp; $O$949 + 5),0),4),1,""),""),$O$949 + 6)</f>
        <v>P287</v>
      </c>
      <c r="D1697" s="897" t="s">
        <v>1367</v>
      </c>
      <c r="E1697" s="897" t="s">
        <v>1535</v>
      </c>
      <c r="F1697" s="919" t="s">
        <v>2076</v>
      </c>
      <c r="G1697" s="1418" t="str">
        <f>IF(S1697&lt;&gt;"","E","")</f>
        <v/>
      </c>
      <c r="H1697" s="1418" t="s">
        <v>2075</v>
      </c>
      <c r="I1697" s="857"/>
      <c r="J1697" s="1418"/>
      <c r="K1697" s="1418"/>
      <c r="L1697" s="1418"/>
      <c r="M1697" s="1419"/>
      <c r="N1697" s="1418"/>
      <c r="R1697" s="1418" t="s">
        <v>395</v>
      </c>
      <c r="S1697" s="1418" t="str">
        <f>IF(Q$949="Yes",16,"")</f>
        <v/>
      </c>
    </row>
    <row r="1698" spans="1:19" s="1411" customFormat="1" x14ac:dyDescent="0.25">
      <c r="A1698" s="1104" t="s">
        <v>1520</v>
      </c>
      <c r="B1698" s="897" t="str">
        <f ca="1">_xlfn.CONCAT(IFERROR(SUBSTITUTE(ADDRESS(1,MATCH(A1698,INDIRECT("'"&amp;E1698&amp;"'"&amp;"!A" &amp; $O$968 + 5 &amp; ":Z" &amp; $O$968 + 5),0),4),1,""),""),$O$968 + 5)</f>
        <v>N300</v>
      </c>
      <c r="C1698" s="897" t="str">
        <f ca="1">_xlfn.CONCAT(IFERROR(SUBSTITUTE(ADDRESS(1,MATCH(A1698,INDIRECT("'"&amp;E1698&amp;"'"&amp;"!A" &amp; $O$968 + 5 &amp; ":Z" &amp; $O$968 + 5),0),4),1,""),""),$O$968 + 6)</f>
        <v>N301</v>
      </c>
      <c r="D1698" s="897" t="s">
        <v>1367</v>
      </c>
      <c r="E1698" s="897" t="s">
        <v>1535</v>
      </c>
      <c r="F1698" s="919" t="s">
        <v>2074</v>
      </c>
      <c r="G1698" s="1418" t="str">
        <f>IF(S1698&lt;&gt;"","G","")</f>
        <v/>
      </c>
      <c r="H1698" s="1418" t="s">
        <v>2075</v>
      </c>
      <c r="I1698" s="857"/>
      <c r="J1698" s="1418"/>
      <c r="K1698" s="1418"/>
      <c r="L1698" s="1418"/>
      <c r="M1698" s="1419"/>
      <c r="N1698" s="1418"/>
      <c r="R1698" s="1418" t="s">
        <v>395</v>
      </c>
      <c r="S1698" s="1418" t="str">
        <f>IF(Q$968="Yes",17,"")</f>
        <v/>
      </c>
    </row>
    <row r="1699" spans="1:19" s="1411" customFormat="1" x14ac:dyDescent="0.25">
      <c r="A1699" s="1104" t="s">
        <v>1521</v>
      </c>
      <c r="B1699" s="897" t="str">
        <f ca="1">_xlfn.CONCAT(IFERROR(SUBSTITUTE(ADDRESS(1,MATCH(A1699,INDIRECT("'"&amp;E1699&amp;"'"&amp;"!A" &amp; $O$968 + 5 &amp; ":Z" &amp; $O$968 + 5),0),4),1,""),""),$O$968 + 5)</f>
        <v>P300</v>
      </c>
      <c r="C1699" s="897" t="str">
        <f ca="1">_xlfn.CONCAT(IFERROR(SUBSTITUTE(ADDRESS(1,MATCH(A1699,INDIRECT("'"&amp;E1699&amp;"'"&amp;"!A" &amp; $O$968 + 5 &amp; ":Z" &amp; $O$968 + 5),0),4),1,""),""),$O$968 + 6)</f>
        <v>P301</v>
      </c>
      <c r="D1699" s="897" t="s">
        <v>1367</v>
      </c>
      <c r="E1699" s="897" t="s">
        <v>1535</v>
      </c>
      <c r="F1699" s="919" t="s">
        <v>2076</v>
      </c>
      <c r="G1699" s="1418" t="str">
        <f>IF(S1699&lt;&gt;"","E","")</f>
        <v/>
      </c>
      <c r="H1699" s="1418" t="s">
        <v>2075</v>
      </c>
      <c r="I1699" s="857"/>
      <c r="J1699" s="1418"/>
      <c r="K1699" s="1418"/>
      <c r="L1699" s="1418"/>
      <c r="M1699" s="1419"/>
      <c r="N1699" s="1418"/>
      <c r="R1699" s="1418" t="s">
        <v>395</v>
      </c>
      <c r="S1699" s="1418" t="str">
        <f>IF(Q$968="Yes",17,"")</f>
        <v/>
      </c>
    </row>
    <row r="1700" spans="1:19" s="1411" customFormat="1" x14ac:dyDescent="0.25">
      <c r="A1700" s="929" t="s">
        <v>1520</v>
      </c>
      <c r="B1700" s="897" t="str">
        <f ca="1">_xlfn.CONCAT(IFERROR(SUBSTITUTE(ADDRESS(1,MATCH(A1700,INDIRECT("'"&amp;E1700&amp;"'"&amp;"!A" &amp; $O$987 + 5 &amp; ":Z" &amp; $O$987 + 5),0),4),1,""),""),$O$987 + 5)</f>
        <v>N314</v>
      </c>
      <c r="C1700" s="897" t="str">
        <f ca="1">_xlfn.CONCAT(IFERROR(SUBSTITUTE(ADDRESS(1,MATCH(A1700,INDIRECT("'"&amp;E1700&amp;"'"&amp;"!A" &amp; $O$987 + 5 &amp; ":Z" &amp; $O$987 + 5),0),4),1,""),""),$O$987 + 6)</f>
        <v>N315</v>
      </c>
      <c r="D1700" s="897" t="s">
        <v>1367</v>
      </c>
      <c r="E1700" s="897" t="s">
        <v>1535</v>
      </c>
      <c r="F1700" s="919" t="s">
        <v>2074</v>
      </c>
      <c r="G1700" s="1418" t="str">
        <f>IF(S1700&lt;&gt;"","G","")</f>
        <v/>
      </c>
      <c r="H1700" s="1418" t="s">
        <v>2075</v>
      </c>
      <c r="I1700" s="857"/>
      <c r="J1700" s="1418"/>
      <c r="K1700" s="1418"/>
      <c r="L1700" s="1418"/>
      <c r="M1700" s="1419"/>
      <c r="N1700" s="1418"/>
      <c r="R1700" s="1418" t="s">
        <v>1715</v>
      </c>
      <c r="S1700" s="1418" t="str">
        <f>IF(Q$987="Yes",18,"")</f>
        <v/>
      </c>
    </row>
    <row r="1701" spans="1:19" s="1411" customFormat="1" x14ac:dyDescent="0.25">
      <c r="A1701" s="929" t="s">
        <v>1521</v>
      </c>
      <c r="B1701" s="897" t="str">
        <f ca="1">_xlfn.CONCAT(IFERROR(SUBSTITUTE(ADDRESS(1,MATCH(A1701,INDIRECT("'"&amp;E1701&amp;"'"&amp;"!A" &amp; $O$987 + 5 &amp; ":Z" &amp; $O$987 + 5),0),4),1,""),""),$O$987 + 5)</f>
        <v>P314</v>
      </c>
      <c r="C1701" s="897" t="str">
        <f ca="1">_xlfn.CONCAT(IFERROR(SUBSTITUTE(ADDRESS(1,MATCH(A1701,INDIRECT("'"&amp;E1701&amp;"'"&amp;"!A" &amp; $O$987 + 5 &amp; ":Z" &amp; $O$987 + 5),0),4),1,""),""),$O$987 + 6)</f>
        <v>P315</v>
      </c>
      <c r="D1701" s="897" t="s">
        <v>1367</v>
      </c>
      <c r="E1701" s="897" t="s">
        <v>1535</v>
      </c>
      <c r="F1701" s="919" t="s">
        <v>2076</v>
      </c>
      <c r="G1701" s="1418" t="str">
        <f>IF(S1701&lt;&gt;"","E","")</f>
        <v/>
      </c>
      <c r="H1701" s="1418" t="s">
        <v>2075</v>
      </c>
      <c r="I1701" s="857"/>
      <c r="J1701" s="1418"/>
      <c r="K1701" s="1418"/>
      <c r="L1701" s="1418"/>
      <c r="M1701" s="1419"/>
      <c r="N1701" s="1418"/>
      <c r="R1701" s="1418" t="s">
        <v>1715</v>
      </c>
      <c r="S1701" s="1418" t="str">
        <f>IF(Q$987="Yes",18,"")</f>
        <v/>
      </c>
    </row>
    <row r="1702" spans="1:19" s="1411" customFormat="1" x14ac:dyDescent="0.25">
      <c r="A1702" s="925" t="s">
        <v>1510</v>
      </c>
      <c r="B1702" s="897" t="str">
        <f ca="1">IFERROR(_xlfn.CONCAT("C",MATCH(A1702,INDIRECT("'"&amp;E1702&amp;"'!C"&amp;$O$570&amp;":C"&amp;$O$572),0)+$O$570-1),"")</f>
        <v>C35</v>
      </c>
      <c r="C1702" s="897" t="str">
        <f ca="1">IFERROR(_xlfn.CONCAT("D",MATCH(A1702,INDIRECT("'"&amp;E1702&amp;"'!C"&amp;$O$570&amp;":C"&amp;$O$572),0)+$O$570-1),"")</f>
        <v>D35</v>
      </c>
      <c r="D1702" s="897" t="s">
        <v>1367</v>
      </c>
      <c r="E1702" s="897" t="s">
        <v>1535</v>
      </c>
      <c r="F1702" s="919" t="s">
        <v>1510</v>
      </c>
      <c r="G1702" s="1418" t="str">
        <f>IF(S1702&lt;&gt;"","A","")</f>
        <v/>
      </c>
      <c r="H1702" s="1418" t="s">
        <v>2075</v>
      </c>
      <c r="I1702" s="241"/>
      <c r="M1702" s="1413"/>
      <c r="R1702" s="1418" t="s">
        <v>855</v>
      </c>
      <c r="S1702" s="1418" t="str">
        <f>IF(Q$570="Yes",1,"")</f>
        <v/>
      </c>
    </row>
    <row r="1703" spans="1:19" s="1411" customFormat="1" x14ac:dyDescent="0.25">
      <c r="A1703" s="925" t="s">
        <v>1400</v>
      </c>
      <c r="B1703" s="897" t="str">
        <f ca="1">IFERROR(_xlfn.CONCAT("C",MATCH(A1703,INDIRECT("'"&amp;E1703&amp;"'!C"&amp;$O$570&amp;":C"&amp;$O$572),0)+$O$570-1),"")</f>
        <v>C33</v>
      </c>
      <c r="C1703" s="897" t="str">
        <f ca="1">IFERROR(_xlfn.CONCAT("D",MATCH(A1703,INDIRECT("'"&amp;E1703&amp;"'!C"&amp;$O$570&amp;":C"&amp;$O$572),0)+$O$570-1),"")</f>
        <v>D33</v>
      </c>
      <c r="D1703" s="897" t="s">
        <v>1367</v>
      </c>
      <c r="E1703" s="897" t="s">
        <v>1535</v>
      </c>
      <c r="F1703" s="919" t="s">
        <v>1400</v>
      </c>
      <c r="G1703" s="1418" t="str">
        <f>IF(S1703&lt;&gt;"","B","")</f>
        <v/>
      </c>
      <c r="H1703" s="1418" t="s">
        <v>2075</v>
      </c>
      <c r="I1703" s="241"/>
      <c r="M1703" s="1413"/>
      <c r="R1703" s="1418" t="s">
        <v>855</v>
      </c>
      <c r="S1703" s="1418" t="str">
        <f>IF(Q$570="Yes",1,"")</f>
        <v/>
      </c>
    </row>
    <row r="1704" spans="1:19" s="1411" customFormat="1" x14ac:dyDescent="0.25">
      <c r="A1704" s="925" t="s">
        <v>1404</v>
      </c>
      <c r="B1704" s="897" t="str">
        <f ca="1">_xlfn.CONCAT(IFERROR(SUBSTITUTE(ADDRESS(1,MATCH(A1704,INDIRECT("'"&amp;E1704&amp;"'"&amp;"!A" &amp; $O$570+5 &amp; ":Z" &amp; $O$570+5),0),4),1,""),""),$O$570+5)</f>
        <v>H36</v>
      </c>
      <c r="C1704" s="897" t="str">
        <f ca="1">_xlfn.CONCAT(IFERROR(SUBSTITUTE(ADDRESS(1,MATCH(A1704,INDIRECT("'"&amp;E1704&amp;"'"&amp;"!A" &amp; $O$570+5 &amp; ":Z" &amp; $O$570+5),0),4),1,""),""),$O$570+6)</f>
        <v>H37</v>
      </c>
      <c r="D1704" s="897" t="s">
        <v>1367</v>
      </c>
      <c r="E1704" s="897" t="s">
        <v>1535</v>
      </c>
      <c r="F1704" s="919" t="s">
        <v>1404</v>
      </c>
      <c r="G1704" s="1418" t="str">
        <f>IF(S1704&lt;&gt;"","C","")</f>
        <v/>
      </c>
      <c r="H1704" s="1418" t="s">
        <v>2075</v>
      </c>
      <c r="I1704" s="241"/>
      <c r="M1704" s="1413"/>
      <c r="R1704" s="1418" t="s">
        <v>855</v>
      </c>
      <c r="S1704" s="1418" t="str">
        <f>IF(Q$570="Yes",1,"")</f>
        <v/>
      </c>
    </row>
    <row r="1705" spans="1:19" s="1411" customFormat="1" x14ac:dyDescent="0.25">
      <c r="A1705" s="925" t="s">
        <v>1405</v>
      </c>
      <c r="B1705" s="897" t="str">
        <f ca="1">_xlfn.CONCAT(IFERROR(SUBSTITUTE(ADDRESS(1,MATCH(A1705,INDIRECT("'"&amp;E1705&amp;"'"&amp;"!A" &amp; $O$570+5 &amp; ":Z" &amp; $O$570+5),0),4),1,""),""),$O$570+5)</f>
        <v>J36</v>
      </c>
      <c r="C1705" s="897" t="str">
        <f ca="1">_xlfn.CONCAT(IFERROR(SUBSTITUTE(ADDRESS(1,MATCH(A1705,INDIRECT("'"&amp;E1705&amp;"'"&amp;"!A" &amp; $O$570+5 &amp; ":Z" &amp; $O$570+5),0),4),1,""),""),$O$570+6)</f>
        <v>J37</v>
      </c>
      <c r="D1705" s="897" t="s">
        <v>1367</v>
      </c>
      <c r="E1705" s="897" t="s">
        <v>1535</v>
      </c>
      <c r="F1705" s="919" t="s">
        <v>1405</v>
      </c>
      <c r="G1705" s="1418" t="str">
        <f>IF(S1705&lt;&gt;"","D","")</f>
        <v/>
      </c>
      <c r="H1705" s="1418" t="s">
        <v>2075</v>
      </c>
      <c r="I1705" s="241"/>
      <c r="M1705" s="1413"/>
      <c r="R1705" s="1418" t="s">
        <v>855</v>
      </c>
      <c r="S1705" s="1418" t="str">
        <f>IF(Q$570="Yes",1,"")</f>
        <v/>
      </c>
    </row>
    <row r="1706" spans="1:19" s="1411" customFormat="1" x14ac:dyDescent="0.25">
      <c r="A1706" s="926" t="s">
        <v>1406</v>
      </c>
      <c r="B1706" s="897" t="str">
        <f ca="1">_xlfn.CONCAT(IFERROR(SUBSTITUTE(ADDRESS(1,MATCH(A1706,INDIRECT("'"&amp;E1706&amp;"'"&amp;"!A" &amp; $O$570+5 &amp; ":Z" &amp; $O$570+5),0),4),1,""),""),$O$570+5)</f>
        <v>L36</v>
      </c>
      <c r="C1706" s="897" t="str">
        <f ca="1">_xlfn.CONCAT(IFERROR(SUBSTITUTE(ADDRESS(1,MATCH(A1706,INDIRECT("'"&amp;E1706&amp;"'"&amp;"!A" &amp; $O$570+5 &amp; ":Z" &amp; $O$570+5),0),4),1,""),""),$O$570+6)</f>
        <v>L37</v>
      </c>
      <c r="D1706" s="897" t="s">
        <v>1367</v>
      </c>
      <c r="E1706" s="897" t="s">
        <v>1535</v>
      </c>
      <c r="F1706" s="1424" t="s">
        <v>2077</v>
      </c>
      <c r="G1706" s="1418" t="str">
        <f>IF(S1706&lt;&gt;"","F","")</f>
        <v/>
      </c>
      <c r="H1706" s="1418" t="s">
        <v>2075</v>
      </c>
      <c r="I1706" s="241"/>
      <c r="M1706" s="1413"/>
      <c r="R1706" s="1418" t="s">
        <v>855</v>
      </c>
      <c r="S1706" s="1418" t="str">
        <f>IF(Q$570="Yes",1,"")</f>
        <v/>
      </c>
    </row>
    <row r="1707" spans="1:19" s="1411" customFormat="1" x14ac:dyDescent="0.25">
      <c r="A1707" s="928" t="s">
        <v>1510</v>
      </c>
      <c r="B1707" s="897" t="str">
        <f ca="1">IFERROR(_xlfn.CONCAT("C",MATCH(A1707,INDIRECT("'"&amp;E1707&amp;"'!C"&amp;$O$589&amp;":C"&amp;$O$591),0)+$O$589-1),"")</f>
        <v>C49</v>
      </c>
      <c r="C1707" s="897" t="str">
        <f ca="1">IFERROR(_xlfn.CONCAT("D",MATCH(A1707,INDIRECT("'"&amp;E1707&amp;"'!C"&amp;$O$589&amp;":C"&amp;$O$591),0)+$O$589-1),"")</f>
        <v>D49</v>
      </c>
      <c r="D1707" s="897" t="s">
        <v>1367</v>
      </c>
      <c r="E1707" s="897" t="s">
        <v>1535</v>
      </c>
      <c r="F1707" s="919" t="s">
        <v>1510</v>
      </c>
      <c r="G1707" s="1418" t="str">
        <f>IF(S1707&lt;&gt;"","A","")</f>
        <v/>
      </c>
      <c r="H1707" s="1418" t="s">
        <v>2075</v>
      </c>
      <c r="I1707" s="241"/>
      <c r="M1707" s="1413"/>
      <c r="R1707" s="1418" t="s">
        <v>855</v>
      </c>
      <c r="S1707" s="1418" t="str">
        <f>IF(Q$589="Yes",2,"")</f>
        <v/>
      </c>
    </row>
    <row r="1708" spans="1:19" s="1411" customFormat="1" x14ac:dyDescent="0.25">
      <c r="A1708" s="928" t="s">
        <v>1400</v>
      </c>
      <c r="B1708" s="897" t="str">
        <f ca="1">IFERROR(_xlfn.CONCAT("C",MATCH(A1708,INDIRECT("'"&amp;E1708&amp;"'!C"&amp;$O$589&amp;":C"&amp;$O$591),0)+$O$589-1),"")</f>
        <v>C47</v>
      </c>
      <c r="C1708" s="897" t="str">
        <f ca="1">IFERROR(_xlfn.CONCAT("D",MATCH(A1708,INDIRECT("'"&amp;E1708&amp;"'!C"&amp;$O$589&amp;":C"&amp;$O$591),0)+$O$589-1),"")</f>
        <v>D47</v>
      </c>
      <c r="D1708" s="897" t="s">
        <v>1367</v>
      </c>
      <c r="E1708" s="897" t="s">
        <v>1535</v>
      </c>
      <c r="F1708" s="919" t="s">
        <v>1400</v>
      </c>
      <c r="G1708" s="1418" t="str">
        <f>IF(S1708&lt;&gt;"","B","")</f>
        <v/>
      </c>
      <c r="H1708" s="1418" t="s">
        <v>2075</v>
      </c>
      <c r="I1708" s="241"/>
      <c r="M1708" s="1413"/>
      <c r="R1708" s="1418" t="s">
        <v>855</v>
      </c>
      <c r="S1708" s="1418" t="str">
        <f>IF(Q$589="Yes",2,"")</f>
        <v/>
      </c>
    </row>
    <row r="1709" spans="1:19" s="1411" customFormat="1" x14ac:dyDescent="0.25">
      <c r="A1709" s="928" t="s">
        <v>1404</v>
      </c>
      <c r="B1709" s="897" t="str">
        <f ca="1">_xlfn.CONCAT(IFERROR(SUBSTITUTE(ADDRESS(1,MATCH(A1709,INDIRECT("'"&amp;E1709&amp;"'"&amp;"!A" &amp; $O$589+5 &amp; ":Z" &amp; $O$589+5),0),4),1,""),""),$O$589+5)</f>
        <v>H50</v>
      </c>
      <c r="C1709" s="897" t="str">
        <f ca="1">_xlfn.CONCAT(IFERROR(SUBSTITUTE(ADDRESS(1,MATCH(A1709,INDIRECT("'"&amp;E1709&amp;"'"&amp;"!A" &amp; $O$589+5 &amp; ":Z" &amp; $O$589+5),0),4),1,""),""),$O$589+6)</f>
        <v>H51</v>
      </c>
      <c r="D1709" s="897" t="s">
        <v>1367</v>
      </c>
      <c r="E1709" s="897" t="s">
        <v>1535</v>
      </c>
      <c r="F1709" s="919" t="s">
        <v>1404</v>
      </c>
      <c r="G1709" s="1418" t="str">
        <f>IF(S1709&lt;&gt;"","C","")</f>
        <v/>
      </c>
      <c r="H1709" s="1418" t="s">
        <v>2075</v>
      </c>
      <c r="I1709" s="241"/>
      <c r="M1709" s="1413"/>
      <c r="R1709" s="1418" t="s">
        <v>855</v>
      </c>
      <c r="S1709" s="1418" t="str">
        <f>IF(Q$589="Yes",2,"")</f>
        <v/>
      </c>
    </row>
    <row r="1710" spans="1:19" s="1411" customFormat="1" x14ac:dyDescent="0.25">
      <c r="A1710" s="928" t="s">
        <v>1405</v>
      </c>
      <c r="B1710" s="897" t="str">
        <f ca="1">_xlfn.CONCAT(IFERROR(SUBSTITUTE(ADDRESS(1,MATCH(A1710,INDIRECT("'"&amp;E1710&amp;"'"&amp;"!A" &amp; $O$589+5 &amp; ":Z" &amp; $O$589+5),0),4),1,""),""),$O$589+5)</f>
        <v>J50</v>
      </c>
      <c r="C1710" s="897" t="str">
        <f ca="1">_xlfn.CONCAT(IFERROR(SUBSTITUTE(ADDRESS(1,MATCH(A1710,INDIRECT("'"&amp;E1710&amp;"'"&amp;"!A" &amp; $O$589+5 &amp; ":Z" &amp; $O$589+5),0),4),1,""),""),$O$589+6)</f>
        <v>J51</v>
      </c>
      <c r="D1710" s="897" t="s">
        <v>1367</v>
      </c>
      <c r="E1710" s="897" t="s">
        <v>1535</v>
      </c>
      <c r="F1710" s="919" t="s">
        <v>1405</v>
      </c>
      <c r="G1710" s="1418" t="str">
        <f>IF(S1710&lt;&gt;"","D","")</f>
        <v/>
      </c>
      <c r="H1710" s="1418" t="s">
        <v>2075</v>
      </c>
      <c r="I1710" s="241"/>
      <c r="M1710" s="1413"/>
      <c r="R1710" s="1418" t="s">
        <v>855</v>
      </c>
      <c r="S1710" s="1418" t="str">
        <f>IF(Q$589="Yes",2,"")</f>
        <v/>
      </c>
    </row>
    <row r="1711" spans="1:19" s="1411" customFormat="1" x14ac:dyDescent="0.25">
      <c r="A1711" s="929" t="s">
        <v>1406</v>
      </c>
      <c r="B1711" s="897" t="str">
        <f ca="1">_xlfn.CONCAT(IFERROR(SUBSTITUTE(ADDRESS(1,MATCH(A1711,INDIRECT("'"&amp;E1711&amp;"'"&amp;"!A" &amp; $O$589+5 &amp; ":Z" &amp; $O$589+5),0),4),1,""),""),$O$589+5)</f>
        <v>L50</v>
      </c>
      <c r="C1711" s="897" t="str">
        <f ca="1">_xlfn.CONCAT(IFERROR(SUBSTITUTE(ADDRESS(1,MATCH(A1711,INDIRECT("'"&amp;E1711&amp;"'"&amp;"!A" &amp; $O$589+5 &amp; ":Z" &amp; $O$589+5),0),4),1,""),""),$O$589+6)</f>
        <v>L51</v>
      </c>
      <c r="D1711" s="897" t="s">
        <v>1367</v>
      </c>
      <c r="E1711" s="897" t="s">
        <v>1535</v>
      </c>
      <c r="F1711" s="1424" t="s">
        <v>2077</v>
      </c>
      <c r="G1711" s="1418" t="str">
        <f>IF(S1711&lt;&gt;"","F","")</f>
        <v/>
      </c>
      <c r="H1711" s="1418" t="s">
        <v>2075</v>
      </c>
      <c r="I1711" s="241"/>
      <c r="M1711" s="1413"/>
      <c r="R1711" s="1418" t="s">
        <v>855</v>
      </c>
      <c r="S1711" s="1418" t="str">
        <f>IF(Q$589="Yes",2,"")</f>
        <v/>
      </c>
    </row>
    <row r="1712" spans="1:19" s="1411" customFormat="1" x14ac:dyDescent="0.25">
      <c r="A1712" s="926" t="s">
        <v>1510</v>
      </c>
      <c r="B1712" s="897" t="str">
        <f ca="1">IFERROR(_xlfn.CONCAT("C",MATCH(A1712,INDIRECT("'"&amp;E1712&amp;"'!C"&amp;$O$608&amp;":C"&amp;$O$610),0)+$O$608-1),"")</f>
        <v>C63</v>
      </c>
      <c r="C1712" s="897" t="str">
        <f ca="1">IFERROR(_xlfn.CONCAT("D",MATCH(A1712,INDIRECT("'"&amp;E1712&amp;"'!C"&amp;$O$608&amp;":C"&amp;$O$610),0)+$O$608-1),"")</f>
        <v>D63</v>
      </c>
      <c r="D1712" s="897" t="s">
        <v>1367</v>
      </c>
      <c r="E1712" s="897" t="s">
        <v>1535</v>
      </c>
      <c r="F1712" s="919" t="s">
        <v>1510</v>
      </c>
      <c r="G1712" s="1418" t="str">
        <f>IF(S1712&lt;&gt;"","A","")</f>
        <v/>
      </c>
      <c r="H1712" s="1418" t="s">
        <v>2075</v>
      </c>
      <c r="I1712" s="241"/>
      <c r="M1712" s="1413"/>
      <c r="R1712" s="1418" t="s">
        <v>855</v>
      </c>
      <c r="S1712" s="1418" t="str">
        <f>IF(Q$608="Yes",3,"")</f>
        <v/>
      </c>
    </row>
    <row r="1713" spans="1:19" s="1411" customFormat="1" x14ac:dyDescent="0.25">
      <c r="A1713" s="926" t="s">
        <v>1400</v>
      </c>
      <c r="B1713" s="897" t="str">
        <f ca="1">IFERROR(_xlfn.CONCAT("C",MATCH(A1713,INDIRECT("'"&amp;E1713&amp;"'!C"&amp;$O$589&amp;":C"&amp;$O$591),0)+$O$589-1),"")</f>
        <v>C47</v>
      </c>
      <c r="C1713" s="897" t="str">
        <f ca="1">IFERROR(_xlfn.CONCAT("D",MATCH(A1713,INDIRECT("'"&amp;E1713&amp;"'!C"&amp;$O$608&amp;":C"&amp;$O$610),0)+$O$608-1),"")</f>
        <v>D61</v>
      </c>
      <c r="D1713" s="897" t="s">
        <v>1367</v>
      </c>
      <c r="E1713" s="897" t="s">
        <v>1535</v>
      </c>
      <c r="F1713" s="919" t="s">
        <v>1400</v>
      </c>
      <c r="G1713" s="1418" t="str">
        <f>IF(S1713&lt;&gt;"","B","")</f>
        <v/>
      </c>
      <c r="H1713" s="1418" t="s">
        <v>2075</v>
      </c>
      <c r="I1713" s="241"/>
      <c r="M1713" s="1413"/>
      <c r="R1713" s="1418" t="s">
        <v>855</v>
      </c>
      <c r="S1713" s="1418" t="str">
        <f>IF(Q$608="Yes",3,"")</f>
        <v/>
      </c>
    </row>
    <row r="1714" spans="1:19" s="1411" customFormat="1" x14ac:dyDescent="0.25">
      <c r="A1714" s="926" t="s">
        <v>1404</v>
      </c>
      <c r="B1714" s="897" t="str">
        <f ca="1">_xlfn.IFNA(_xlfn.CONCAT(SUBSTITUTE(ADDRESS(1,MATCH(A1714,INDIRECT("'"&amp;E1714&amp;"'"&amp;"!A" &amp; $O$608+5 &amp; ":Z" &amp; $O$608+5),0),4),1,""),$O$608+6),"")</f>
        <v>H65</v>
      </c>
      <c r="C1714" s="897" t="str">
        <f ca="1">_xlfn.IFNA(SUBSTITUTE(ADDRESS(1,MATCH(A1714,INDIRECT("'"&amp;E1714&amp;"'"&amp;"!A" &amp; O$608+5 &amp; ":Z" &amp; O$608+5),0),4),1,""),"")</f>
        <v>H</v>
      </c>
      <c r="D1714" s="897" t="s">
        <v>1374</v>
      </c>
      <c r="E1714" s="897" t="s">
        <v>1535</v>
      </c>
      <c r="F1714" s="919" t="s">
        <v>1404</v>
      </c>
      <c r="G1714" s="1418" t="str">
        <f>IF(S1714&lt;&gt;"","C","")</f>
        <v/>
      </c>
      <c r="H1714" s="1418" t="s">
        <v>2075</v>
      </c>
      <c r="I1714" s="241"/>
      <c r="M1714" s="1413"/>
      <c r="R1714" s="1418" t="s">
        <v>855</v>
      </c>
      <c r="S1714" s="1418" t="str">
        <f>IF(Q$608="Yes",3,"")</f>
        <v/>
      </c>
    </row>
    <row r="1715" spans="1:19" s="1411" customFormat="1" x14ac:dyDescent="0.25">
      <c r="A1715" s="926" t="s">
        <v>1405</v>
      </c>
      <c r="B1715" s="897" t="str">
        <f ca="1">_xlfn.IFNA(_xlfn.CONCAT(SUBSTITUTE(ADDRESS(1,MATCH(A1715,INDIRECT("'"&amp;E1715&amp;"'"&amp;"!A" &amp; $O$608+5 &amp; ":Z" &amp; $O$608+5),0),4),1,""),$O$608+6),"")</f>
        <v>J65</v>
      </c>
      <c r="C1715" s="897" t="str">
        <f t="shared" ref="C1715:C1716" ca="1" si="282">_xlfn.IFNA(SUBSTITUTE(ADDRESS(1,MATCH(A1715,INDIRECT("'"&amp;E1715&amp;"'"&amp;"!A" &amp; O$608+5 &amp; ":Z" &amp; O$608+5),0),4),1,""),"")</f>
        <v>J</v>
      </c>
      <c r="D1715" s="897" t="s">
        <v>1374</v>
      </c>
      <c r="E1715" s="897" t="s">
        <v>1535</v>
      </c>
      <c r="F1715" s="919" t="s">
        <v>1405</v>
      </c>
      <c r="G1715" s="1418" t="str">
        <f>IF(S1715&lt;&gt;"","D","")</f>
        <v/>
      </c>
      <c r="H1715" s="1418" t="s">
        <v>2075</v>
      </c>
      <c r="I1715" s="241"/>
      <c r="M1715" s="1413"/>
      <c r="R1715" s="1418" t="s">
        <v>855</v>
      </c>
      <c r="S1715" s="1418" t="str">
        <f>IF(Q$608="Yes",3,"")</f>
        <v/>
      </c>
    </row>
    <row r="1716" spans="1:19" s="1411" customFormat="1" x14ac:dyDescent="0.25">
      <c r="A1716" s="926" t="s">
        <v>1406</v>
      </c>
      <c r="B1716" s="897" t="str">
        <f ca="1">_xlfn.IFNA(_xlfn.CONCAT(SUBSTITUTE(ADDRESS(1,MATCH(A1716,INDIRECT("'"&amp;E1716&amp;"'"&amp;"!A" &amp; $O$608+5 &amp; ":Z" &amp; $O$608+5),0),4),1,""),$O$608+6),"")</f>
        <v>L65</v>
      </c>
      <c r="C1716" s="897" t="str">
        <f t="shared" ca="1" si="282"/>
        <v>L</v>
      </c>
      <c r="D1716" s="897" t="s">
        <v>1374</v>
      </c>
      <c r="E1716" s="897" t="s">
        <v>1535</v>
      </c>
      <c r="F1716" s="1424" t="s">
        <v>2077</v>
      </c>
      <c r="G1716" s="1418" t="str">
        <f>IF(S1716&lt;&gt;"","F","")</f>
        <v/>
      </c>
      <c r="H1716" s="1418" t="s">
        <v>2075</v>
      </c>
      <c r="I1716" s="241"/>
      <c r="M1716" s="1413"/>
      <c r="R1716" s="1418" t="s">
        <v>855</v>
      </c>
      <c r="S1716" s="1418" t="str">
        <f>IF(Q$608="Yes",3,"")</f>
        <v/>
      </c>
    </row>
    <row r="1717" spans="1:19" s="1411" customFormat="1" x14ac:dyDescent="0.25">
      <c r="A1717" s="929" t="s">
        <v>1510</v>
      </c>
      <c r="B1717" s="897" t="str">
        <f ca="1">IFERROR(_xlfn.CONCAT("C",MATCH(A1717,INDIRECT("'"&amp;E1717&amp;"'!C"&amp;$O$639&amp;":C"&amp;$O$641),0)+$O$639-1),"")</f>
        <v>C79</v>
      </c>
      <c r="C1717" s="897" t="str">
        <f ca="1">IFERROR(_xlfn.CONCAT("D",MATCH(A1717,INDIRECT("'"&amp;E1717&amp;"'!C"&amp;$O$639&amp;":C"&amp;$O$641),0)+$O$639-1),"")</f>
        <v>D79</v>
      </c>
      <c r="D1717" s="897" t="s">
        <v>1367</v>
      </c>
      <c r="E1717" s="897" t="s">
        <v>1535</v>
      </c>
      <c r="F1717" s="919" t="s">
        <v>1510</v>
      </c>
      <c r="G1717" s="1418" t="str">
        <f>IF(S1717&lt;&gt;"","A","")</f>
        <v/>
      </c>
      <c r="H1717" s="1418" t="s">
        <v>2075</v>
      </c>
      <c r="I1717" s="241"/>
      <c r="M1717" s="1413"/>
      <c r="R1717" s="1425" t="s">
        <v>855</v>
      </c>
      <c r="S1717" s="1418" t="str">
        <f>IF(Q$639="Yes",4,"")</f>
        <v/>
      </c>
    </row>
    <row r="1718" spans="1:19" s="1411" customFormat="1" x14ac:dyDescent="0.25">
      <c r="A1718" s="929" t="s">
        <v>1400</v>
      </c>
      <c r="B1718" s="897" t="str">
        <f ca="1">IFERROR(_xlfn.CONCAT("C",MATCH(A1718,INDIRECT("'"&amp;E1718&amp;"'!C"&amp;$O$639&amp;":C"&amp;$O$641),0)+$O$639-1),"")</f>
        <v>C77</v>
      </c>
      <c r="C1718" s="897" t="str">
        <f ca="1">IFERROR(_xlfn.CONCAT("D",MATCH(A1718,INDIRECT("'"&amp;E1718&amp;"'!C"&amp;$O$639&amp;":C"&amp;$O$641),0)+$O$639-1),"")</f>
        <v>D77</v>
      </c>
      <c r="D1718" s="897" t="s">
        <v>1367</v>
      </c>
      <c r="E1718" s="897" t="s">
        <v>1535</v>
      </c>
      <c r="F1718" s="919" t="s">
        <v>1400</v>
      </c>
      <c r="G1718" s="1418" t="str">
        <f>IF(S1718&lt;&gt;"","B","")</f>
        <v/>
      </c>
      <c r="H1718" s="1418" t="s">
        <v>2075</v>
      </c>
      <c r="I1718" s="241"/>
      <c r="M1718" s="1413"/>
      <c r="R1718" s="1425" t="s">
        <v>855</v>
      </c>
      <c r="S1718" s="1418" t="str">
        <f>IF(Q$639="Yes",4,"")</f>
        <v/>
      </c>
    </row>
    <row r="1719" spans="1:19" s="1411" customFormat="1" x14ac:dyDescent="0.25">
      <c r="A1719" s="929" t="s">
        <v>1404</v>
      </c>
      <c r="B1719" s="897" t="str">
        <f ca="1">_xlfn.IFNA(_xlfn.CONCAT(SUBSTITUTE(ADDRESS(1,MATCH(A1719,INDIRECT("'"&amp;E1719&amp;"'"&amp;"!A" &amp; $O$639 + 5 &amp; ":Z" &amp; $O$639 + 5),0),4),1,""), $O$639 + 6),"")</f>
        <v>H81</v>
      </c>
      <c r="C1719" s="897" t="str">
        <f t="shared" ref="C1719:C1721" ca="1" si="283">_xlfn.IFNA(SUBSTITUTE(ADDRESS(1,MATCH(A1719,INDIRECT("'"&amp;E1719&amp;"'"&amp;"!A" &amp; $O$639 + 5 &amp; ":Z" &amp; $O$639 + 5),0),4),1,""),"")</f>
        <v>H</v>
      </c>
      <c r="D1719" s="897" t="s">
        <v>1374</v>
      </c>
      <c r="E1719" s="897" t="s">
        <v>1535</v>
      </c>
      <c r="F1719" s="919" t="s">
        <v>1404</v>
      </c>
      <c r="G1719" s="1418" t="str">
        <f>IF(S1719&lt;&gt;"","C","")</f>
        <v/>
      </c>
      <c r="H1719" s="1418" t="s">
        <v>2075</v>
      </c>
      <c r="I1719" s="241"/>
      <c r="M1719" s="1413"/>
      <c r="R1719" s="1425" t="s">
        <v>855</v>
      </c>
      <c r="S1719" s="1418" t="str">
        <f>IF(Q$639="Yes",4,"")</f>
        <v/>
      </c>
    </row>
    <row r="1720" spans="1:19" s="1411" customFormat="1" x14ac:dyDescent="0.25">
      <c r="A1720" s="929" t="s">
        <v>1405</v>
      </c>
      <c r="B1720" s="897" t="str">
        <f ca="1">_xlfn.IFNA(_xlfn.CONCAT(SUBSTITUTE(ADDRESS(1,MATCH(A1720,INDIRECT("'"&amp;E1720&amp;"'"&amp;"!A" &amp; $O$639 + 5 &amp; ":Z" &amp; $O$639 + 5),0),4),1,""), $O$639 + 6),"")</f>
        <v>J81</v>
      </c>
      <c r="C1720" s="897" t="str">
        <f t="shared" ca="1" si="283"/>
        <v>J</v>
      </c>
      <c r="D1720" s="897" t="s">
        <v>1374</v>
      </c>
      <c r="E1720" s="897" t="s">
        <v>1535</v>
      </c>
      <c r="F1720" s="919" t="s">
        <v>1405</v>
      </c>
      <c r="G1720" s="1418" t="str">
        <f>IF(S1720&lt;&gt;"","D","")</f>
        <v/>
      </c>
      <c r="H1720" s="1418" t="s">
        <v>2075</v>
      </c>
      <c r="I1720" s="241"/>
      <c r="M1720" s="1413"/>
      <c r="R1720" s="1425" t="s">
        <v>855</v>
      </c>
      <c r="S1720" s="1418" t="str">
        <f>IF(Q$639="Yes",4,"")</f>
        <v/>
      </c>
    </row>
    <row r="1721" spans="1:19" s="1411" customFormat="1" x14ac:dyDescent="0.25">
      <c r="A1721" s="929" t="s">
        <v>1406</v>
      </c>
      <c r="B1721" s="897" t="str">
        <f ca="1">_xlfn.IFNA(_xlfn.CONCAT(SUBSTITUTE(ADDRESS(1,MATCH(A1721,INDIRECT("'"&amp;E1721&amp;"'"&amp;"!A" &amp; $O$639 + 5 &amp; ":Z" &amp; $O$639 + 5),0),4),1,""),$O$639 + 6),"")</f>
        <v>L81</v>
      </c>
      <c r="C1721" s="897" t="str">
        <f t="shared" ca="1" si="283"/>
        <v>L</v>
      </c>
      <c r="D1721" s="897" t="s">
        <v>1374</v>
      </c>
      <c r="E1721" s="897" t="s">
        <v>1535</v>
      </c>
      <c r="F1721" s="1424" t="s">
        <v>2077</v>
      </c>
      <c r="G1721" s="1418" t="str">
        <f>IF(S1721&lt;&gt;"","F","")</f>
        <v/>
      </c>
      <c r="H1721" s="1418" t="s">
        <v>2075</v>
      </c>
      <c r="I1721" s="241"/>
      <c r="M1721" s="1413"/>
      <c r="R1721" s="1425" t="s">
        <v>855</v>
      </c>
      <c r="S1721" s="1418" t="str">
        <f>IF(Q$639="Yes",4,"")</f>
        <v/>
      </c>
    </row>
    <row r="1722" spans="1:19" s="1411" customFormat="1" x14ac:dyDescent="0.25">
      <c r="A1722" s="926" t="s">
        <v>1510</v>
      </c>
      <c r="B1722" s="897" t="str">
        <f ca="1">IFERROR(_xlfn.CONCAT("C",MATCH(A1722,INDIRECT("'"&amp;E1722&amp;"'!C"&amp;$O$670&amp;":C"&amp;$O$672),0)+$O$670-1),"")</f>
        <v>C95</v>
      </c>
      <c r="C1722" s="897" t="str">
        <f ca="1">IFERROR(_xlfn.CONCAT("D",MATCH(A1722,INDIRECT("'"&amp;E1722&amp;"'!C"&amp;$O$670&amp;":C"&amp;$O$672),0)+$O$670-1),"")</f>
        <v>D95</v>
      </c>
      <c r="D1722" s="897" t="s">
        <v>1367</v>
      </c>
      <c r="E1722" s="897" t="s">
        <v>1535</v>
      </c>
      <c r="F1722" s="919" t="s">
        <v>1510</v>
      </c>
      <c r="G1722" s="1418" t="str">
        <f>IF(S1722&lt;&gt;"","A","")</f>
        <v/>
      </c>
      <c r="H1722" s="1418" t="s">
        <v>2075</v>
      </c>
      <c r="I1722" s="241"/>
      <c r="M1722" s="1413"/>
      <c r="R1722" s="1418" t="s">
        <v>1544</v>
      </c>
      <c r="S1722" s="1418" t="str">
        <f>IF(Q$670="Yes",5,"")</f>
        <v/>
      </c>
    </row>
    <row r="1723" spans="1:19" s="1411" customFormat="1" x14ac:dyDescent="0.25">
      <c r="A1723" s="926" t="s">
        <v>1400</v>
      </c>
      <c r="B1723" s="897" t="str">
        <f ca="1">IFERROR(_xlfn.CONCAT("C",MATCH(A1723,INDIRECT("'"&amp;E1723&amp;"'!C"&amp;$O$670&amp;":C"&amp;$O$672),0)+$O$670-1),"")</f>
        <v>C93</v>
      </c>
      <c r="C1723" s="897" t="str">
        <f ca="1">IFERROR(_xlfn.CONCAT("D",MATCH(A1723,INDIRECT("'"&amp;E1723&amp;"'!C"&amp;$O$670&amp;":C"&amp;$O$672),0)+$O$670-1),"")</f>
        <v>D93</v>
      </c>
      <c r="D1723" s="897" t="s">
        <v>1367</v>
      </c>
      <c r="E1723" s="897" t="s">
        <v>1535</v>
      </c>
      <c r="F1723" s="919" t="s">
        <v>1400</v>
      </c>
      <c r="G1723" s="1418" t="str">
        <f>IF(S1723&lt;&gt;"","B","")</f>
        <v/>
      </c>
      <c r="H1723" s="1418" t="s">
        <v>2075</v>
      </c>
      <c r="I1723" s="241"/>
      <c r="M1723" s="1413"/>
      <c r="R1723" s="1418" t="s">
        <v>1544</v>
      </c>
      <c r="S1723" s="1418" t="str">
        <f>IF(Q$670="Yes",5,"")</f>
        <v/>
      </c>
    </row>
    <row r="1724" spans="1:19" s="1411" customFormat="1" x14ac:dyDescent="0.25">
      <c r="A1724" s="926" t="s">
        <v>1404</v>
      </c>
      <c r="B1724" s="897" t="str">
        <f ca="1">_xlfn.CONCAT(IFERROR(SUBSTITUTE(ADDRESS(1,MATCH(A1724,INDIRECT("'"&amp;E1724&amp;"'"&amp;"!A" &amp; $O$670 + 5 &amp; ":Z" &amp; $O$670 + 5),0),4),1,""),""),$O$670 + 5)</f>
        <v>H96</v>
      </c>
      <c r="C1724" s="897" t="str">
        <f ca="1">_xlfn.CONCAT(IFERROR(SUBSTITUTE(ADDRESS(1,MATCH(A1724,INDIRECT("'"&amp;E1724&amp;"'"&amp;"!A" &amp; $O$670 + 5 &amp; ":Z" &amp; $O$670 + 5),0),4),1,""),""),$O$670 + 6)</f>
        <v>H97</v>
      </c>
      <c r="D1724" s="897" t="s">
        <v>1367</v>
      </c>
      <c r="E1724" s="897" t="s">
        <v>1535</v>
      </c>
      <c r="F1724" s="919" t="s">
        <v>1404</v>
      </c>
      <c r="G1724" s="1418" t="str">
        <f>IF(S1724&lt;&gt;"","C","")</f>
        <v/>
      </c>
      <c r="H1724" s="1418" t="s">
        <v>2075</v>
      </c>
      <c r="I1724" s="241"/>
      <c r="M1724" s="1413"/>
      <c r="R1724" s="1418" t="s">
        <v>1544</v>
      </c>
      <c r="S1724" s="1418" t="str">
        <f>IF(Q$670="Yes",5,"")</f>
        <v/>
      </c>
    </row>
    <row r="1725" spans="1:19" s="1411" customFormat="1" x14ac:dyDescent="0.25">
      <c r="A1725" s="926" t="s">
        <v>1405</v>
      </c>
      <c r="B1725" s="897" t="str">
        <f ca="1">_xlfn.CONCAT(IFERROR(SUBSTITUTE(ADDRESS(1,MATCH(A1725,INDIRECT("'"&amp;E1725&amp;"'"&amp;"!A" &amp; $O$670 + 5 &amp; ":Z" &amp; $O$670 + 5),0),4),1,""),""),$O$670 + 5)</f>
        <v>J96</v>
      </c>
      <c r="C1725" s="897" t="str">
        <f ca="1">_xlfn.CONCAT(IFERROR(SUBSTITUTE(ADDRESS(1,MATCH(A1725,INDIRECT("'"&amp;E1725&amp;"'"&amp;"!A" &amp; $O$670 + 5 &amp; ":Z" &amp; $O$670 + 5),0),4),1,""),""),$O$670 + 6)</f>
        <v>J97</v>
      </c>
      <c r="D1725" s="897" t="s">
        <v>1367</v>
      </c>
      <c r="E1725" s="897" t="s">
        <v>1535</v>
      </c>
      <c r="F1725" s="919" t="s">
        <v>1405</v>
      </c>
      <c r="G1725" s="1418" t="str">
        <f>IF(S1725&lt;&gt;"","D","")</f>
        <v/>
      </c>
      <c r="H1725" s="1418" t="s">
        <v>2075</v>
      </c>
      <c r="I1725" s="241"/>
      <c r="M1725" s="1413"/>
      <c r="R1725" s="1418" t="s">
        <v>1544</v>
      </c>
      <c r="S1725" s="1418" t="str">
        <f>IF(Q$670="Yes",5,"")</f>
        <v/>
      </c>
    </row>
    <row r="1726" spans="1:19" s="1411" customFormat="1" x14ac:dyDescent="0.25">
      <c r="A1726" s="926" t="s">
        <v>1406</v>
      </c>
      <c r="B1726" s="897" t="str">
        <f ca="1">_xlfn.CONCAT(IFERROR(SUBSTITUTE(ADDRESS(1,MATCH(A1726,INDIRECT("'"&amp;E1726&amp;"'"&amp;"!A" &amp; $O$670 + 5 &amp; ":Z" &amp; $O$670 + 5),0),4),1,""),""),$O$670 + 5)</f>
        <v>L96</v>
      </c>
      <c r="C1726" s="897" t="str">
        <f ca="1">_xlfn.CONCAT(IFERROR(SUBSTITUTE(ADDRESS(1,MATCH(A1726,INDIRECT("'"&amp;E1726&amp;"'"&amp;"!A" &amp; $O$670 + 5 &amp; ":Z" &amp; $O$670 + 5),0),4),1,""),""),$O$670 + 6)</f>
        <v>L97</v>
      </c>
      <c r="D1726" s="897" t="s">
        <v>1367</v>
      </c>
      <c r="E1726" s="897" t="s">
        <v>1535</v>
      </c>
      <c r="F1726" s="1424" t="s">
        <v>2077</v>
      </c>
      <c r="G1726" s="1418" t="str">
        <f>IF(S1726&lt;&gt;"","F","")</f>
        <v/>
      </c>
      <c r="H1726" s="1418" t="s">
        <v>2075</v>
      </c>
      <c r="I1726" s="241"/>
      <c r="M1726" s="1413"/>
      <c r="R1726" s="1418" t="s">
        <v>1544</v>
      </c>
      <c r="S1726" s="1418" t="str">
        <f>IF(Q$670="Yes",5,"")</f>
        <v/>
      </c>
    </row>
    <row r="1727" spans="1:19" s="1411" customFormat="1" x14ac:dyDescent="0.25">
      <c r="A1727" s="929" t="s">
        <v>1510</v>
      </c>
      <c r="B1727" s="897" t="str">
        <f ca="1">IFERROR(_xlfn.CONCAT("C",MATCH(A1727,INDIRECT("'"&amp;E1727&amp;"'!C"&amp;$O$688&amp;":C"&amp;$O$690),0)+$O$688-1),"")</f>
        <v>C109</v>
      </c>
      <c r="C1727" s="897" t="str">
        <f ca="1">IFERROR(_xlfn.CONCAT("D",MATCH(A1727,INDIRECT("'"&amp;E1727&amp;"'!C"&amp;$O$688&amp;":C"&amp;$O$690),0)+$O$688-1),"")</f>
        <v>D109</v>
      </c>
      <c r="D1727" s="897" t="s">
        <v>1367</v>
      </c>
      <c r="E1727" s="897" t="s">
        <v>1535</v>
      </c>
      <c r="F1727" s="919" t="s">
        <v>1510</v>
      </c>
      <c r="G1727" s="1418" t="str">
        <f>IF(S1727&lt;&gt;"","A","")</f>
        <v/>
      </c>
      <c r="H1727" s="1418" t="s">
        <v>2075</v>
      </c>
      <c r="I1727" s="241"/>
      <c r="M1727" s="1413"/>
      <c r="R1727" s="1418" t="s">
        <v>1544</v>
      </c>
      <c r="S1727" s="1418" t="str">
        <f>IF(Q$688="Yes",6,"")</f>
        <v/>
      </c>
    </row>
    <row r="1728" spans="1:19" s="1411" customFormat="1" x14ac:dyDescent="0.25">
      <c r="A1728" s="929" t="s">
        <v>1400</v>
      </c>
      <c r="B1728" s="897" t="str">
        <f ca="1">IFERROR(_xlfn.CONCAT("C",MATCH(A1728,INDIRECT("'"&amp;E1728&amp;"'!C"&amp;$O$688&amp;":C"&amp;$O$690),0)+$O$688-1),"")</f>
        <v>C107</v>
      </c>
      <c r="C1728" s="897" t="str">
        <f ca="1">IFERROR(_xlfn.CONCAT("D",MATCH(A1728,INDIRECT("'"&amp;E1728&amp;"'!C"&amp;$O$688&amp;":C"&amp;$O$690),0)+$O$688-1),"")</f>
        <v>D107</v>
      </c>
      <c r="D1728" s="897" t="s">
        <v>1367</v>
      </c>
      <c r="E1728" s="897" t="s">
        <v>1535</v>
      </c>
      <c r="F1728" s="919" t="s">
        <v>1400</v>
      </c>
      <c r="G1728" s="1418" t="str">
        <f>IF(S1728&lt;&gt;"","B","")</f>
        <v/>
      </c>
      <c r="H1728" s="1418" t="s">
        <v>2075</v>
      </c>
      <c r="I1728" s="241"/>
      <c r="M1728" s="1413"/>
      <c r="R1728" s="1418" t="s">
        <v>1544</v>
      </c>
      <c r="S1728" s="1418" t="str">
        <f>IF(Q$688="Yes",6,"")</f>
        <v/>
      </c>
    </row>
    <row r="1729" spans="1:19" s="1411" customFormat="1" x14ac:dyDescent="0.25">
      <c r="A1729" s="929" t="s">
        <v>1404</v>
      </c>
      <c r="B1729" s="897" t="str">
        <f ca="1">_xlfn.CONCAT(IFERROR(SUBSTITUTE(ADDRESS(1,MATCH(A1729,INDIRECT("'"&amp;E1729&amp;"'"&amp;"!A" &amp; $O$688 + 5 &amp; ":Z" &amp; $O$688 + 5),0),4),1,""),""),$O$688 + 5)</f>
        <v>H110</v>
      </c>
      <c r="C1729" s="897" t="str">
        <f ca="1">_xlfn.CONCAT(IFERROR(SUBSTITUTE(ADDRESS(1,MATCH(A1729,INDIRECT("'"&amp;E1729&amp;"'"&amp;"!A" &amp; $O$688 + 5 &amp; ":Z" &amp; $O$688 + 5),0),4),1,""),""),$O$688 + 6)</f>
        <v>H111</v>
      </c>
      <c r="D1729" s="897" t="s">
        <v>1367</v>
      </c>
      <c r="E1729" s="897" t="s">
        <v>1535</v>
      </c>
      <c r="F1729" s="919" t="s">
        <v>1404</v>
      </c>
      <c r="G1729" s="1418" t="str">
        <f>IF(S1729&lt;&gt;"","C","")</f>
        <v/>
      </c>
      <c r="H1729" s="1418" t="s">
        <v>2075</v>
      </c>
      <c r="I1729" s="241"/>
      <c r="M1729" s="1413"/>
      <c r="R1729" s="1418" t="s">
        <v>1544</v>
      </c>
      <c r="S1729" s="1418" t="str">
        <f>IF(Q$688="Yes",6,"")</f>
        <v/>
      </c>
    </row>
    <row r="1730" spans="1:19" s="1411" customFormat="1" x14ac:dyDescent="0.25">
      <c r="A1730" s="929" t="s">
        <v>1405</v>
      </c>
      <c r="B1730" s="897" t="str">
        <f ca="1">_xlfn.CONCAT(IFERROR(SUBSTITUTE(ADDRESS(1,MATCH(A1730,INDIRECT("'"&amp;E1730&amp;"'"&amp;"!A" &amp; $O$688 + 5 &amp; ":Z" &amp; $O$688 + 5),0),4),1,""),""),$O$688 + 5)</f>
        <v>J110</v>
      </c>
      <c r="C1730" s="897" t="str">
        <f ca="1">_xlfn.CONCAT(IFERROR(SUBSTITUTE(ADDRESS(1,MATCH(A1730,INDIRECT("'"&amp;E1730&amp;"'"&amp;"!A" &amp; $O$688 + 5 &amp; ":Z" &amp; $O$688 + 5),0),4),1,""),""),$O$688 + 6)</f>
        <v>J111</v>
      </c>
      <c r="D1730" s="897" t="s">
        <v>1367</v>
      </c>
      <c r="E1730" s="897" t="s">
        <v>1535</v>
      </c>
      <c r="F1730" s="919" t="s">
        <v>1405</v>
      </c>
      <c r="G1730" s="1418" t="str">
        <f>IF(S1730&lt;&gt;"","D","")</f>
        <v/>
      </c>
      <c r="H1730" s="1418" t="s">
        <v>2075</v>
      </c>
      <c r="I1730" s="241"/>
      <c r="M1730" s="1413"/>
      <c r="R1730" s="1418" t="s">
        <v>1544</v>
      </c>
      <c r="S1730" s="1418" t="str">
        <f>IF(Q$688="Yes",6,"")</f>
        <v/>
      </c>
    </row>
    <row r="1731" spans="1:19" s="1411" customFormat="1" x14ac:dyDescent="0.25">
      <c r="A1731" s="929" t="s">
        <v>1406</v>
      </c>
      <c r="B1731" s="897" t="str">
        <f ca="1">_xlfn.CONCAT(IFERROR(SUBSTITUTE(ADDRESS(1,MATCH(A1731,INDIRECT("'"&amp;E1731&amp;"'"&amp;"!A" &amp; $O$688 + 5 &amp; ":Z" &amp; $O$688 + 5),0),4),1,""),""),$O$688 + 5)</f>
        <v>L110</v>
      </c>
      <c r="C1731" s="897" t="str">
        <f ca="1">_xlfn.CONCAT(IFERROR(SUBSTITUTE(ADDRESS(1,MATCH(A1731,INDIRECT("'"&amp;E1731&amp;"'"&amp;"!A" &amp; $O$688 + 5 &amp; ":Z" &amp; $O$688 + 5),0),4),1,""),""),$O$688 + 6)</f>
        <v>L111</v>
      </c>
      <c r="D1731" s="897" t="s">
        <v>1367</v>
      </c>
      <c r="E1731" s="897" t="s">
        <v>1535</v>
      </c>
      <c r="F1731" s="1424" t="s">
        <v>2077</v>
      </c>
      <c r="G1731" s="1418" t="str">
        <f>IF(S1731&lt;&gt;"","F","")</f>
        <v/>
      </c>
      <c r="H1731" s="1418" t="s">
        <v>2075</v>
      </c>
      <c r="I1731" s="241"/>
      <c r="M1731" s="1413"/>
      <c r="R1731" s="1418" t="s">
        <v>1544</v>
      </c>
      <c r="S1731" s="1418" t="str">
        <f>IF(Q$688="Yes",6,"")</f>
        <v/>
      </c>
    </row>
    <row r="1732" spans="1:19" s="1411" customFormat="1" x14ac:dyDescent="0.25">
      <c r="A1732" s="926" t="s">
        <v>1510</v>
      </c>
      <c r="B1732" s="897" t="str">
        <f ca="1">IFERROR(_xlfn.CONCAT("C",MATCH(A1732,INDIRECT("'"&amp;E1732&amp;"'!C"&amp;$O$706&amp;":C"&amp;$O$708),0)+$O$706-1),"")</f>
        <v>C123</v>
      </c>
      <c r="C1732" s="897" t="str">
        <f ca="1">IFERROR(_xlfn.CONCAT("D",MATCH(A1732,INDIRECT("'"&amp;E1732&amp;"'!C"&amp;$O$706&amp;":C"&amp;$O$708),0)+$O$706-1),"")</f>
        <v>D123</v>
      </c>
      <c r="D1732" s="897" t="s">
        <v>1367</v>
      </c>
      <c r="E1732" s="897" t="s">
        <v>1535</v>
      </c>
      <c r="F1732" s="919" t="s">
        <v>1510</v>
      </c>
      <c r="G1732" s="1418" t="str">
        <f>IF(S1732&lt;&gt;"","A","")</f>
        <v/>
      </c>
      <c r="H1732" s="1418" t="s">
        <v>2075</v>
      </c>
      <c r="I1732" s="241"/>
      <c r="M1732" s="1413"/>
      <c r="R1732" s="1418" t="s">
        <v>1544</v>
      </c>
      <c r="S1732" s="1418" t="str">
        <f>IF(Q$706="Yes",7,"")</f>
        <v/>
      </c>
    </row>
    <row r="1733" spans="1:19" s="1411" customFormat="1" x14ac:dyDescent="0.25">
      <c r="A1733" s="926" t="s">
        <v>1400</v>
      </c>
      <c r="B1733" s="897" t="str">
        <f ca="1">IFERROR(_xlfn.CONCAT("C",MATCH(A1733,INDIRECT("'"&amp;E1733&amp;"'!C"&amp;$O$706&amp;":C"&amp;$O$708),0)+$O$706-1),"")</f>
        <v>C121</v>
      </c>
      <c r="C1733" s="897" t="str">
        <f ca="1">IFERROR(_xlfn.CONCAT("D",MATCH(A1733,INDIRECT("'"&amp;E1733&amp;"'!C"&amp;$O$706&amp;":C"&amp;$O$708),0)+$O$706-1),"")</f>
        <v>D121</v>
      </c>
      <c r="D1733" s="897" t="s">
        <v>1367</v>
      </c>
      <c r="E1733" s="897" t="s">
        <v>1535</v>
      </c>
      <c r="F1733" s="919" t="s">
        <v>1400</v>
      </c>
      <c r="G1733" s="1418" t="str">
        <f>IF(S1733&lt;&gt;"","B","")</f>
        <v/>
      </c>
      <c r="H1733" s="1418" t="s">
        <v>2075</v>
      </c>
      <c r="I1733" s="241"/>
      <c r="M1733" s="1413"/>
      <c r="R1733" s="1418" t="s">
        <v>1544</v>
      </c>
      <c r="S1733" s="1418" t="str">
        <f>IF(Q$706="Yes",7,"")</f>
        <v/>
      </c>
    </row>
    <row r="1734" spans="1:19" s="1411" customFormat="1" x14ac:dyDescent="0.25">
      <c r="A1734" s="926" t="s">
        <v>1404</v>
      </c>
      <c r="B1734" s="897" t="str">
        <f ca="1">_xlfn.IFNA(_xlfn.CONCAT(SUBSTITUTE(ADDRESS(1,MATCH(A1734,INDIRECT("'"&amp;E1734&amp;"'"&amp;"!A" &amp; $O$706 + 5 &amp; ":Z" &amp; $O$706+ 5),0),4),1,""),$O$706 + 6),"")</f>
        <v>H125</v>
      </c>
      <c r="C1734" s="897" t="str">
        <f t="shared" ref="C1734:C1736" ca="1" si="284">_xlfn.IFNA(SUBSTITUTE(ADDRESS(1,MATCH(A1734,INDIRECT("'"&amp;E1734&amp;"'"&amp;"!A" &amp; $O$706 + 5 &amp; ":Z" &amp; $O$706+ 5),0),4),1,""),"")</f>
        <v>H</v>
      </c>
      <c r="D1734" s="897" t="s">
        <v>1374</v>
      </c>
      <c r="E1734" s="897" t="s">
        <v>1535</v>
      </c>
      <c r="F1734" s="919" t="s">
        <v>1404</v>
      </c>
      <c r="G1734" s="1418" t="str">
        <f>IF(S1734&lt;&gt;"","C","")</f>
        <v/>
      </c>
      <c r="H1734" s="1418" t="s">
        <v>2075</v>
      </c>
      <c r="I1734" s="241"/>
      <c r="M1734" s="1413"/>
      <c r="R1734" s="1418" t="s">
        <v>1544</v>
      </c>
      <c r="S1734" s="1418" t="str">
        <f>IF(Q$706="Yes",7,"")</f>
        <v/>
      </c>
    </row>
    <row r="1735" spans="1:19" s="1411" customFormat="1" x14ac:dyDescent="0.25">
      <c r="A1735" s="926" t="s">
        <v>1405</v>
      </c>
      <c r="B1735" s="897" t="str">
        <f ca="1">_xlfn.IFNA(_xlfn.CONCAT(SUBSTITUTE(ADDRESS(1,MATCH(A1735,INDIRECT("'"&amp;E1735&amp;"'"&amp;"!A" &amp; $O$706 + 5 &amp; ":Z" &amp; $O$706+ 5),0),4),1,""),$O$706 + 6),"")</f>
        <v>J125</v>
      </c>
      <c r="C1735" s="897" t="str">
        <f t="shared" ca="1" si="284"/>
        <v>J</v>
      </c>
      <c r="D1735" s="897" t="s">
        <v>1374</v>
      </c>
      <c r="E1735" s="897" t="s">
        <v>1535</v>
      </c>
      <c r="F1735" s="919" t="s">
        <v>1405</v>
      </c>
      <c r="G1735" s="1418" t="str">
        <f>IF(S1735&lt;&gt;"","D","")</f>
        <v/>
      </c>
      <c r="H1735" s="1418" t="s">
        <v>2075</v>
      </c>
      <c r="I1735" s="241"/>
      <c r="M1735" s="1413"/>
      <c r="R1735" s="1418" t="s">
        <v>1544</v>
      </c>
      <c r="S1735" s="1418" t="str">
        <f>IF(Q$706="Yes",7,"")</f>
        <v/>
      </c>
    </row>
    <row r="1736" spans="1:19" s="1411" customFormat="1" x14ac:dyDescent="0.25">
      <c r="A1736" s="926" t="s">
        <v>1406</v>
      </c>
      <c r="B1736" s="897" t="str">
        <f ca="1">_xlfn.IFNA(_xlfn.CONCAT(SUBSTITUTE(ADDRESS(1,MATCH(A1736,INDIRECT("'"&amp;E1736&amp;"'"&amp;"!A" &amp; $O$706 + 5 &amp; ":Z" &amp; $O$706+ 5),0),4),1,""),$O$706 + 6),"")</f>
        <v>L125</v>
      </c>
      <c r="C1736" s="897" t="str">
        <f t="shared" ca="1" si="284"/>
        <v>L</v>
      </c>
      <c r="D1736" s="897" t="s">
        <v>1374</v>
      </c>
      <c r="E1736" s="897" t="s">
        <v>1535</v>
      </c>
      <c r="F1736" s="1424" t="s">
        <v>2077</v>
      </c>
      <c r="G1736" s="1418" t="str">
        <f>IF(S1736&lt;&gt;"","F","")</f>
        <v/>
      </c>
      <c r="H1736" s="1418" t="s">
        <v>2075</v>
      </c>
      <c r="I1736" s="241"/>
      <c r="M1736" s="1413"/>
      <c r="R1736" s="1418" t="s">
        <v>1544</v>
      </c>
      <c r="S1736" s="1418" t="str">
        <f>IF(Q$706="Yes",7,"")</f>
        <v/>
      </c>
    </row>
    <row r="1737" spans="1:19" s="1411" customFormat="1" x14ac:dyDescent="0.25">
      <c r="A1737" s="929" t="s">
        <v>1510</v>
      </c>
      <c r="B1737" s="897" t="str">
        <f ca="1">IFERROR(_xlfn.CONCAT("C",MATCH(A1737,INDIRECT("'"&amp;E1737&amp;"'!C"&amp;$O$736&amp;":C"&amp;$O$738),0)+$O$736-1),"")</f>
        <v>C139</v>
      </c>
      <c r="C1737" s="897" t="str">
        <f ca="1">IFERROR(_xlfn.CONCAT("D",MATCH(A1737,INDIRECT("'"&amp;E1737&amp;"'!C"&amp;$O$736&amp;":C"&amp;$O$738),0)+$O$736-1),"")</f>
        <v>D139</v>
      </c>
      <c r="D1737" s="897" t="s">
        <v>1367</v>
      </c>
      <c r="E1737" s="897" t="s">
        <v>1535</v>
      </c>
      <c r="F1737" s="919" t="s">
        <v>1510</v>
      </c>
      <c r="G1737" s="1418" t="str">
        <f>IF(S1737&lt;&gt;"","A","")</f>
        <v/>
      </c>
      <c r="H1737" s="1418" t="s">
        <v>2075</v>
      </c>
      <c r="I1737" s="241"/>
      <c r="M1737" s="1413"/>
      <c r="R1737" s="1418" t="s">
        <v>1544</v>
      </c>
      <c r="S1737" s="1418" t="str">
        <f>IF(Q$736="Yes",8,"")</f>
        <v/>
      </c>
    </row>
    <row r="1738" spans="1:19" s="1411" customFormat="1" x14ac:dyDescent="0.25">
      <c r="A1738" s="929" t="s">
        <v>1400</v>
      </c>
      <c r="B1738" s="897" t="str">
        <f ca="1">IFERROR(_xlfn.CONCAT("C",MATCH(A1738,INDIRECT("'"&amp;E1738&amp;"'!C"&amp;$O$736&amp;":C"&amp;$O$738),0)+$O$736-1),"")</f>
        <v>C137</v>
      </c>
      <c r="C1738" s="897" t="str">
        <f ca="1">IFERROR(_xlfn.CONCAT("D",MATCH(A1738,INDIRECT("'"&amp;E1738&amp;"'!C"&amp;$O$736&amp;":C"&amp;$O$738),0)+$O$736-1),"")</f>
        <v>D137</v>
      </c>
      <c r="D1738" s="897" t="s">
        <v>1367</v>
      </c>
      <c r="E1738" s="897" t="s">
        <v>1535</v>
      </c>
      <c r="F1738" s="919" t="s">
        <v>1400</v>
      </c>
      <c r="G1738" s="1418" t="str">
        <f>IF(S1738&lt;&gt;"","B","")</f>
        <v/>
      </c>
      <c r="H1738" s="1418" t="s">
        <v>2075</v>
      </c>
      <c r="I1738" s="241"/>
      <c r="M1738" s="1413"/>
      <c r="R1738" s="1418" t="s">
        <v>1544</v>
      </c>
      <c r="S1738" s="1418" t="str">
        <f>IF(Q$736="Yes",8,"")</f>
        <v/>
      </c>
    </row>
    <row r="1739" spans="1:19" s="1411" customFormat="1" x14ac:dyDescent="0.25">
      <c r="A1739" s="929" t="s">
        <v>1404</v>
      </c>
      <c r="B1739" s="897" t="str">
        <f ca="1">_xlfn.IFNA(_xlfn.CONCAT(SUBSTITUTE(ADDRESS(1,MATCH(A1739,INDIRECT("'"&amp;E1739&amp;"'"&amp;"!A" &amp; $O$736 + 5 &amp; ":Z" &amp; $O$736+ 5),0),4),1,""),$O$736 + 6),"")</f>
        <v>H141</v>
      </c>
      <c r="C1739" s="897" t="str">
        <f t="shared" ref="C1739:C1741" ca="1" si="285">_xlfn.IFNA(SUBSTITUTE(ADDRESS(1,MATCH(A1739,INDIRECT("'"&amp;E1739&amp;"'"&amp;"!A" &amp; $O$736 + 5 &amp; ":Z" &amp; $O$736+ 5),0),4),1,""),"")</f>
        <v>H</v>
      </c>
      <c r="D1739" s="897" t="s">
        <v>1374</v>
      </c>
      <c r="E1739" s="897" t="s">
        <v>1535</v>
      </c>
      <c r="F1739" s="919" t="s">
        <v>1404</v>
      </c>
      <c r="G1739" s="1418" t="str">
        <f>IF(S1739&lt;&gt;"","C","")</f>
        <v/>
      </c>
      <c r="H1739" s="1418" t="s">
        <v>2075</v>
      </c>
      <c r="I1739" s="241"/>
      <c r="M1739" s="1413"/>
      <c r="R1739" s="1418" t="s">
        <v>1544</v>
      </c>
      <c r="S1739" s="1418" t="str">
        <f>IF(Q$736="Yes",8,"")</f>
        <v/>
      </c>
    </row>
    <row r="1740" spans="1:19" s="1411" customFormat="1" x14ac:dyDescent="0.25">
      <c r="A1740" s="929" t="s">
        <v>1405</v>
      </c>
      <c r="B1740" s="897" t="str">
        <f ca="1">_xlfn.IFNA(_xlfn.CONCAT(SUBSTITUTE(ADDRESS(1,MATCH(A1740,INDIRECT("'"&amp;E1740&amp;"'"&amp;"!A" &amp; $O$736 + 5 &amp; ":Z" &amp; $O$736+ 5),0),4),1,""),$O$736 + 6),"")</f>
        <v>J141</v>
      </c>
      <c r="C1740" s="897" t="str">
        <f t="shared" ca="1" si="285"/>
        <v>J</v>
      </c>
      <c r="D1740" s="897" t="s">
        <v>1374</v>
      </c>
      <c r="E1740" s="897" t="s">
        <v>1535</v>
      </c>
      <c r="F1740" s="919" t="s">
        <v>1405</v>
      </c>
      <c r="G1740" s="1418" t="str">
        <f>IF(S1740&lt;&gt;"","D","")</f>
        <v/>
      </c>
      <c r="H1740" s="1418" t="s">
        <v>2075</v>
      </c>
      <c r="I1740" s="241"/>
      <c r="M1740" s="1413"/>
      <c r="R1740" s="1418" t="s">
        <v>1544</v>
      </c>
      <c r="S1740" s="1418" t="str">
        <f>IF(Q$736="Yes",8,"")</f>
        <v/>
      </c>
    </row>
    <row r="1741" spans="1:19" s="1411" customFormat="1" x14ac:dyDescent="0.25">
      <c r="A1741" s="929" t="s">
        <v>1406</v>
      </c>
      <c r="B1741" s="897" t="str">
        <f ca="1">_xlfn.IFNA(_xlfn.CONCAT(SUBSTITUTE(ADDRESS(1,MATCH(A1741,INDIRECT("'"&amp;E1741&amp;"'"&amp;"!A" &amp; $O$736 + 5 &amp; ":Z" &amp; $O$736+ 5),0),4),1,""),$O$736 + 6),"")</f>
        <v>L141</v>
      </c>
      <c r="C1741" s="897" t="str">
        <f t="shared" ca="1" si="285"/>
        <v>L</v>
      </c>
      <c r="D1741" s="897" t="s">
        <v>1374</v>
      </c>
      <c r="E1741" s="897" t="s">
        <v>1535</v>
      </c>
      <c r="F1741" s="1424" t="s">
        <v>2077</v>
      </c>
      <c r="G1741" s="1418" t="str">
        <f>IF(S1741&lt;&gt;"","F","")</f>
        <v/>
      </c>
      <c r="H1741" s="1418" t="s">
        <v>2075</v>
      </c>
      <c r="I1741" s="241"/>
      <c r="M1741" s="1413"/>
      <c r="R1741" s="1418" t="s">
        <v>1544</v>
      </c>
      <c r="S1741" s="1418" t="str">
        <f>IF(Q$736="Yes",8,"")</f>
        <v/>
      </c>
    </row>
    <row r="1742" spans="1:19" s="1411" customFormat="1" x14ac:dyDescent="0.25">
      <c r="A1742" s="926" t="s">
        <v>1510</v>
      </c>
      <c r="B1742" s="897" t="str">
        <f ca="1">IFERROR(_xlfn.CONCAT("C",MATCH(A1742,INDIRECT("'"&amp;E1742&amp;"'!C"&amp;$O$796&amp;":C"&amp;$O$798),0)+$O$796-1),"")</f>
        <v>C183</v>
      </c>
      <c r="C1742" s="897" t="str">
        <f ca="1">IFERROR(_xlfn.CONCAT("D",MATCH(A1742,INDIRECT("'"&amp;E1742&amp;"'!C"&amp;$O$796&amp;":C"&amp;$O$798),0)+$O$796-1),"")</f>
        <v>D183</v>
      </c>
      <c r="D1742" s="897" t="s">
        <v>1367</v>
      </c>
      <c r="E1742" s="897" t="s">
        <v>1535</v>
      </c>
      <c r="F1742" s="919" t="s">
        <v>1510</v>
      </c>
      <c r="G1742" s="1418" t="str">
        <f>IF(S1742&lt;&gt;"","A","")</f>
        <v/>
      </c>
      <c r="H1742" s="1418" t="s">
        <v>2075</v>
      </c>
      <c r="I1742" s="241"/>
      <c r="M1742" s="1413"/>
      <c r="R1742" s="1418" t="s">
        <v>1550</v>
      </c>
      <c r="S1742" s="1418" t="str">
        <f>IF(Q$796="Yes",9,"")</f>
        <v/>
      </c>
    </row>
    <row r="1743" spans="1:19" s="1411" customFormat="1" x14ac:dyDescent="0.25">
      <c r="A1743" s="926" t="s">
        <v>1400</v>
      </c>
      <c r="B1743" s="897" t="str">
        <f ca="1">IFERROR(_xlfn.CONCAT("C",MATCH(A1743,INDIRECT("'"&amp;E1743&amp;"'!C"&amp;$O$796&amp;":C"&amp;$O$798),0)+$O$796-1),"")</f>
        <v>C181</v>
      </c>
      <c r="C1743" s="897" t="str">
        <f ca="1">IFERROR(_xlfn.CONCAT("D",MATCH(A1743,INDIRECT("'"&amp;E1743&amp;"'!C"&amp;$O$796&amp;":C"&amp;$O$798),0)+$O$796-1),"")</f>
        <v>D181</v>
      </c>
      <c r="D1743" s="897" t="s">
        <v>1367</v>
      </c>
      <c r="E1743" s="897" t="s">
        <v>1535</v>
      </c>
      <c r="F1743" s="919" t="s">
        <v>1400</v>
      </c>
      <c r="G1743" s="1418" t="str">
        <f>IF(S1743&lt;&gt;"","B","")</f>
        <v/>
      </c>
      <c r="H1743" s="1418" t="s">
        <v>2075</v>
      </c>
      <c r="I1743" s="241"/>
      <c r="M1743" s="1413"/>
      <c r="R1743" s="1418" t="s">
        <v>1550</v>
      </c>
      <c r="S1743" s="1418" t="str">
        <f>IF(Q$796="Yes",9,"")</f>
        <v/>
      </c>
    </row>
    <row r="1744" spans="1:19" s="1411" customFormat="1" x14ac:dyDescent="0.25">
      <c r="A1744" s="926" t="s">
        <v>1404</v>
      </c>
      <c r="B1744" s="897" t="str">
        <f ca="1">_xlfn.CONCAT(IFERROR(SUBSTITUTE(ADDRESS(1,MATCH(A1744,INDIRECT("'"&amp;E1744&amp;"'"&amp;"!A" &amp; $O$796 + 5 &amp; ":Z" &amp; $O$796+ 5),0),4),1,""),""),$O$796 + 5)</f>
        <v>H184</v>
      </c>
      <c r="C1744" s="897" t="str">
        <f ca="1">_xlfn.CONCAT(IFERROR(SUBSTITUTE(ADDRESS(1,MATCH(A1744,INDIRECT("'"&amp;E1744&amp;"'"&amp;"!A" &amp; $O$796 + 5 &amp; ":Z" &amp; $O$796+ 5),0),4),1,""),""),$O$796 + 6)</f>
        <v>H185</v>
      </c>
      <c r="D1744" s="897" t="s">
        <v>1367</v>
      </c>
      <c r="E1744" s="897" t="s">
        <v>1535</v>
      </c>
      <c r="F1744" s="919" t="s">
        <v>1404</v>
      </c>
      <c r="G1744" s="1418" t="str">
        <f>IF(S1744&lt;&gt;"","C","")</f>
        <v/>
      </c>
      <c r="H1744" s="1418" t="s">
        <v>2075</v>
      </c>
      <c r="I1744" s="241"/>
      <c r="M1744" s="1413"/>
      <c r="R1744" s="1418" t="s">
        <v>1550</v>
      </c>
      <c r="S1744" s="1418" t="str">
        <f>IF(Q$796="Yes",9,"")</f>
        <v/>
      </c>
    </row>
    <row r="1745" spans="1:19" s="1411" customFormat="1" x14ac:dyDescent="0.25">
      <c r="A1745" s="926" t="s">
        <v>1405</v>
      </c>
      <c r="B1745" s="897" t="str">
        <f ca="1">_xlfn.CONCAT(IFERROR(SUBSTITUTE(ADDRESS(1,MATCH(A1745,INDIRECT("'"&amp;E1745&amp;"'"&amp;"!A" &amp; $O$796 + 5 &amp; ":Z" &amp; $O$796+ 5),0),4),1,""),""),$O$796 + 5)</f>
        <v>J184</v>
      </c>
      <c r="C1745" s="897" t="str">
        <f ca="1">_xlfn.CONCAT(IFERROR(SUBSTITUTE(ADDRESS(1,MATCH(A1745,INDIRECT("'"&amp;E1745&amp;"'"&amp;"!A" &amp; $O$796 + 5 &amp; ":Z" &amp; $O$796+ 5),0),4),1,""),""),$O$796 + 6)</f>
        <v>J185</v>
      </c>
      <c r="D1745" s="897" t="s">
        <v>1367</v>
      </c>
      <c r="E1745" s="897" t="s">
        <v>1535</v>
      </c>
      <c r="F1745" s="919" t="s">
        <v>1405</v>
      </c>
      <c r="G1745" s="1418" t="str">
        <f>IF(S1745&lt;&gt;"","D","")</f>
        <v/>
      </c>
      <c r="H1745" s="1418" t="s">
        <v>2075</v>
      </c>
      <c r="I1745" s="241"/>
      <c r="M1745" s="1413"/>
      <c r="R1745" s="1418" t="s">
        <v>1550</v>
      </c>
      <c r="S1745" s="1418" t="str">
        <f>IF(Q$796="Yes",9,"")</f>
        <v/>
      </c>
    </row>
    <row r="1746" spans="1:19" s="1411" customFormat="1" x14ac:dyDescent="0.25">
      <c r="A1746" s="926" t="s">
        <v>1406</v>
      </c>
      <c r="B1746" s="897" t="str">
        <f ca="1">_xlfn.CONCAT(IFERROR(SUBSTITUTE(ADDRESS(1,MATCH(A1746,INDIRECT("'"&amp;E1746&amp;"'"&amp;"!A" &amp; $O$796 + 5 &amp; ":Z" &amp; $O$796+ 5),0),4),1,""),""),$O$796 + 5)</f>
        <v>L184</v>
      </c>
      <c r="C1746" s="897" t="str">
        <f ca="1">_xlfn.CONCAT(IFERROR(SUBSTITUTE(ADDRESS(1,MATCH(A1746,INDIRECT("'"&amp;E1746&amp;"'"&amp;"!A" &amp; $O$796 + 5 &amp; ":Z" &amp; $O$796+ 5),0),4),1,""),""),$O$796 + 6)</f>
        <v>L185</v>
      </c>
      <c r="D1746" s="897" t="s">
        <v>1367</v>
      </c>
      <c r="E1746" s="897" t="s">
        <v>1535</v>
      </c>
      <c r="F1746" s="1424" t="s">
        <v>2077</v>
      </c>
      <c r="G1746" s="1418" t="str">
        <f>IF(S1746&lt;&gt;"","F","")</f>
        <v/>
      </c>
      <c r="H1746" s="1418" t="s">
        <v>2075</v>
      </c>
      <c r="I1746" s="241"/>
      <c r="M1746" s="1413"/>
      <c r="R1746" s="1418" t="s">
        <v>1550</v>
      </c>
      <c r="S1746" s="1418" t="str">
        <f>IF(Q$796="Yes",9,"")</f>
        <v/>
      </c>
    </row>
    <row r="1747" spans="1:19" s="1411" customFormat="1" x14ac:dyDescent="0.25">
      <c r="A1747" s="929" t="s">
        <v>1510</v>
      </c>
      <c r="B1747" s="897" t="str">
        <f ca="1">IFERROR(_xlfn.CONCAT("C",MATCH(A1747,INDIRECT("'"&amp;E1747&amp;"'!C"&amp;$O$814&amp;":C"&amp;$O$816),0)+$O$814-1),"")</f>
        <v>C197</v>
      </c>
      <c r="C1747" s="897" t="str">
        <f ca="1">IFERROR(_xlfn.CONCAT("D",MATCH(A1747,INDIRECT("'"&amp;E1747&amp;"'!C"&amp;$O$814&amp;":C"&amp;$O$816),0)+$O$814-1),"")</f>
        <v>D197</v>
      </c>
      <c r="D1747" s="897" t="s">
        <v>1367</v>
      </c>
      <c r="E1747" s="897" t="s">
        <v>1535</v>
      </c>
      <c r="F1747" s="919" t="s">
        <v>1510</v>
      </c>
      <c r="G1747" s="1418" t="str">
        <f>IF(S1747&lt;&gt;"","A","")</f>
        <v/>
      </c>
      <c r="H1747" s="1418" t="s">
        <v>2075</v>
      </c>
      <c r="I1747" s="241"/>
      <c r="M1747" s="1413"/>
      <c r="R1747" s="1418" t="s">
        <v>1550</v>
      </c>
      <c r="S1747" s="1418" t="str">
        <f>IF(Q$814="Yes",10,"")</f>
        <v/>
      </c>
    </row>
    <row r="1748" spans="1:19" s="1411" customFormat="1" x14ac:dyDescent="0.25">
      <c r="A1748" s="929" t="s">
        <v>1400</v>
      </c>
      <c r="B1748" s="897" t="str">
        <f ca="1">IFERROR(_xlfn.CONCAT("C",MATCH(A1748,INDIRECT("'"&amp;E1748&amp;"'!C"&amp;$O$814&amp;":C"&amp;$O$816),0)+$O$814-1),"")</f>
        <v>C195</v>
      </c>
      <c r="C1748" s="897" t="str">
        <f ca="1">IFERROR(_xlfn.CONCAT("D",MATCH(A1748,INDIRECT("'"&amp;E1748&amp;"'!C"&amp;$O$814&amp;":C"&amp;$O$816),0)+$O$814-1),"")</f>
        <v>D195</v>
      </c>
      <c r="D1748" s="897" t="s">
        <v>1367</v>
      </c>
      <c r="E1748" s="897" t="s">
        <v>1535</v>
      </c>
      <c r="F1748" s="919" t="s">
        <v>1400</v>
      </c>
      <c r="G1748" s="1418" t="str">
        <f>IF(S1748&lt;&gt;"","B","")</f>
        <v/>
      </c>
      <c r="H1748" s="1418" t="s">
        <v>2075</v>
      </c>
      <c r="I1748" s="241"/>
      <c r="M1748" s="1413"/>
      <c r="R1748" s="1418" t="s">
        <v>1550</v>
      </c>
      <c r="S1748" s="1418" t="str">
        <f>IF(Q$814="Yes",10,"")</f>
        <v/>
      </c>
    </row>
    <row r="1749" spans="1:19" s="1411" customFormat="1" x14ac:dyDescent="0.25">
      <c r="A1749" s="929" t="s">
        <v>1404</v>
      </c>
      <c r="B1749" s="897" t="str">
        <f ca="1">_xlfn.CONCAT(IFERROR(SUBSTITUTE(ADDRESS(1,MATCH(A1749,INDIRECT("'"&amp;E1749&amp;"'"&amp;"!A" &amp; $O$814 + 5 &amp; ":Z" &amp; $O$814+ 5),0),4),1,""),""),$O$814 + 5)</f>
        <v>H198</v>
      </c>
      <c r="C1749" s="897" t="str">
        <f ca="1">_xlfn.CONCAT(IFERROR(SUBSTITUTE(ADDRESS(1,MATCH(A1749,INDIRECT("'"&amp;E1749&amp;"'"&amp;"!A" &amp; $O$814 + 5 &amp; ":Z" &amp; $O$814+ 5),0),4),1,""),""),$O$814 + 6)</f>
        <v>H199</v>
      </c>
      <c r="D1749" s="897" t="s">
        <v>1367</v>
      </c>
      <c r="E1749" s="897" t="s">
        <v>1535</v>
      </c>
      <c r="F1749" s="919" t="s">
        <v>1404</v>
      </c>
      <c r="G1749" s="1418" t="str">
        <f>IF(S1749&lt;&gt;"","C","")</f>
        <v/>
      </c>
      <c r="H1749" s="1418" t="s">
        <v>2075</v>
      </c>
      <c r="I1749" s="241"/>
      <c r="M1749" s="1413"/>
      <c r="R1749" s="1418" t="s">
        <v>1550</v>
      </c>
      <c r="S1749" s="1418" t="str">
        <f>IF(Q$814="Yes",10,"")</f>
        <v/>
      </c>
    </row>
    <row r="1750" spans="1:19" s="1411" customFormat="1" x14ac:dyDescent="0.25">
      <c r="A1750" s="929" t="s">
        <v>1405</v>
      </c>
      <c r="B1750" s="897" t="str">
        <f ca="1">_xlfn.CONCAT(IFERROR(SUBSTITUTE(ADDRESS(1,MATCH(A1750,INDIRECT("'"&amp;E1750&amp;"'"&amp;"!A" &amp; $O$814 + 5 &amp; ":Z" &amp; $O$814+ 5),0),4),1,""),""),$O$814 + 5)</f>
        <v>J198</v>
      </c>
      <c r="C1750" s="897" t="str">
        <f ca="1">_xlfn.CONCAT(IFERROR(SUBSTITUTE(ADDRESS(1,MATCH(A1750,INDIRECT("'"&amp;E1750&amp;"'"&amp;"!A" &amp; $O$814 + 5 &amp; ":Z" &amp; $O$814+ 5),0),4),1,""),""),$O$814 + 6)</f>
        <v>J199</v>
      </c>
      <c r="D1750" s="897" t="s">
        <v>1367</v>
      </c>
      <c r="E1750" s="897" t="s">
        <v>1535</v>
      </c>
      <c r="F1750" s="919" t="s">
        <v>1405</v>
      </c>
      <c r="G1750" s="1418" t="str">
        <f>IF(S1750&lt;&gt;"","D","")</f>
        <v/>
      </c>
      <c r="H1750" s="1418" t="s">
        <v>2075</v>
      </c>
      <c r="I1750" s="241"/>
      <c r="M1750" s="1413"/>
      <c r="R1750" s="1418" t="s">
        <v>1550</v>
      </c>
      <c r="S1750" s="1418" t="str">
        <f>IF(Q$814="Yes",10,"")</f>
        <v/>
      </c>
    </row>
    <row r="1751" spans="1:19" s="1411" customFormat="1" x14ac:dyDescent="0.25">
      <c r="A1751" s="929" t="s">
        <v>1406</v>
      </c>
      <c r="B1751" s="897" t="str">
        <f ca="1">_xlfn.CONCAT(IFERROR(SUBSTITUTE(ADDRESS(1,MATCH(A1751,INDIRECT("'"&amp;E1751&amp;"'"&amp;"!A" &amp; $O$814 + 5 &amp; ":Z" &amp; $O$814+ 5),0),4),1,""),""),$O$814 + 5)</f>
        <v>L198</v>
      </c>
      <c r="C1751" s="897" t="str">
        <f ca="1">_xlfn.CONCAT(IFERROR(SUBSTITUTE(ADDRESS(1,MATCH(A1751,INDIRECT("'"&amp;E1751&amp;"'"&amp;"!A" &amp; $O$814 + 5 &amp; ":Z" &amp; $O$814+ 5),0),4),1,""),""),$O$814 + 6)</f>
        <v>L199</v>
      </c>
      <c r="D1751" s="897" t="s">
        <v>1367</v>
      </c>
      <c r="E1751" s="897" t="s">
        <v>1535</v>
      </c>
      <c r="F1751" s="1424" t="s">
        <v>2077</v>
      </c>
      <c r="G1751" s="1418" t="str">
        <f>IF(S1751&lt;&gt;"","F","")</f>
        <v/>
      </c>
      <c r="H1751" s="1418" t="s">
        <v>2075</v>
      </c>
      <c r="I1751" s="241"/>
      <c r="M1751" s="1413"/>
      <c r="R1751" s="1418" t="s">
        <v>1550</v>
      </c>
      <c r="S1751" s="1418" t="str">
        <f>IF(Q$814="Yes",10,"")</f>
        <v/>
      </c>
    </row>
    <row r="1752" spans="1:19" s="1411" customFormat="1" x14ac:dyDescent="0.25">
      <c r="A1752" s="926" t="s">
        <v>1510</v>
      </c>
      <c r="B1752" s="897" t="str">
        <f ca="1">IFERROR(_xlfn.CONCAT("C",MATCH(A1752,INDIRECT("'"&amp;E1752&amp;"'!C"&amp;$O$832&amp;":C"&amp;$O$834),0)+$O$832-1),"")</f>
        <v>C211</v>
      </c>
      <c r="C1752" s="897" t="str">
        <f ca="1">IFERROR(_xlfn.CONCAT("D",MATCH(A1752,INDIRECT("'"&amp;E1752&amp;"'!C"&amp;$O$832&amp;":C"&amp;$O$834),0)+$O$832-1),"")</f>
        <v>D211</v>
      </c>
      <c r="D1752" s="897" t="s">
        <v>1367</v>
      </c>
      <c r="E1752" s="897" t="s">
        <v>1535</v>
      </c>
      <c r="F1752" s="919" t="s">
        <v>1510</v>
      </c>
      <c r="G1752" s="1418" t="str">
        <f>IF(S1752&lt;&gt;"","A","")</f>
        <v/>
      </c>
      <c r="H1752" s="1418" t="s">
        <v>2075</v>
      </c>
      <c r="I1752" s="241"/>
      <c r="M1752" s="1413"/>
      <c r="R1752" s="1418" t="s">
        <v>1550</v>
      </c>
      <c r="S1752" s="1418" t="str">
        <f>IF(Q$832="Yes",11,"")</f>
        <v/>
      </c>
    </row>
    <row r="1753" spans="1:19" s="1411" customFormat="1" x14ac:dyDescent="0.25">
      <c r="A1753" s="926" t="s">
        <v>1400</v>
      </c>
      <c r="B1753" s="897" t="str">
        <f ca="1">IFERROR(_xlfn.CONCAT("C",MATCH(A1753,INDIRECT("'"&amp;E1753&amp;"'!C"&amp;$O$832&amp;":C"&amp;$O$834),0)+$O$832-1),"")</f>
        <v>C209</v>
      </c>
      <c r="C1753" s="897" t="str">
        <f ca="1">IFERROR(_xlfn.CONCAT("D",MATCH(A1753,INDIRECT("'"&amp;E1753&amp;"'!C"&amp;$O$832&amp;":C"&amp;$O$834),0)+$O$832-1),"")</f>
        <v>D209</v>
      </c>
      <c r="D1753" s="897" t="s">
        <v>1367</v>
      </c>
      <c r="E1753" s="897" t="s">
        <v>1535</v>
      </c>
      <c r="F1753" s="919" t="s">
        <v>1400</v>
      </c>
      <c r="G1753" s="1418" t="str">
        <f>IF(S1753&lt;&gt;"","B","")</f>
        <v/>
      </c>
      <c r="H1753" s="1418" t="s">
        <v>2075</v>
      </c>
      <c r="I1753" s="241"/>
      <c r="M1753" s="1413"/>
      <c r="R1753" s="1418" t="s">
        <v>1550</v>
      </c>
      <c r="S1753" s="1418" t="str">
        <f>IF(Q$832="Yes",11,"")</f>
        <v/>
      </c>
    </row>
    <row r="1754" spans="1:19" s="1411" customFormat="1" x14ac:dyDescent="0.25">
      <c r="A1754" s="926" t="s">
        <v>1404</v>
      </c>
      <c r="B1754" s="897" t="str">
        <f ca="1">_xlfn.IFNA(_xlfn.CONCAT(SUBSTITUTE(ADDRESS(1,MATCH(A1754,INDIRECT("'"&amp;E1754&amp;"'"&amp;"!A" &amp; $O$832 + 5 &amp; ":Z" &amp; $O$832+ 5),0),4),1,""),$O$832 + 6),"")</f>
        <v>H213</v>
      </c>
      <c r="C1754" s="897" t="str">
        <f t="shared" ref="C1754:C1756" ca="1" si="286">_xlfn.IFNA(SUBSTITUTE(ADDRESS(1,MATCH(A1754,INDIRECT("'"&amp;E1754&amp;"'"&amp;"!A" &amp; $O$832 + 5 &amp; ":Z" &amp; $O$832+ 5),0),4),1,""),"")</f>
        <v>H</v>
      </c>
      <c r="D1754" s="897" t="s">
        <v>1374</v>
      </c>
      <c r="E1754" s="897" t="s">
        <v>1535</v>
      </c>
      <c r="F1754" s="919" t="s">
        <v>1404</v>
      </c>
      <c r="G1754" s="1418" t="str">
        <f>IF(S1754&lt;&gt;"","C","")</f>
        <v/>
      </c>
      <c r="H1754" s="1418" t="s">
        <v>2075</v>
      </c>
      <c r="I1754" s="241"/>
      <c r="M1754" s="1413"/>
      <c r="R1754" s="1418" t="s">
        <v>1550</v>
      </c>
      <c r="S1754" s="1418" t="str">
        <f>IF(Q$832="Yes",11,"")</f>
        <v/>
      </c>
    </row>
    <row r="1755" spans="1:19" s="1411" customFormat="1" x14ac:dyDescent="0.25">
      <c r="A1755" s="926" t="s">
        <v>1405</v>
      </c>
      <c r="B1755" s="897" t="str">
        <f ca="1">_xlfn.IFNA(_xlfn.CONCAT(SUBSTITUTE(ADDRESS(1,MATCH(A1755,INDIRECT("'"&amp;E1755&amp;"'"&amp;"!A" &amp; $O$832 + 5 &amp; ":Z" &amp; $O$832+ 5),0),4),1,""),$O$832 + 6),"")</f>
        <v>J213</v>
      </c>
      <c r="C1755" s="897" t="str">
        <f t="shared" ca="1" si="286"/>
        <v>J</v>
      </c>
      <c r="D1755" s="897" t="s">
        <v>1374</v>
      </c>
      <c r="E1755" s="897" t="s">
        <v>1535</v>
      </c>
      <c r="F1755" s="919" t="s">
        <v>1405</v>
      </c>
      <c r="G1755" s="1418" t="str">
        <f>IF(S1755&lt;&gt;"","D","")</f>
        <v/>
      </c>
      <c r="H1755" s="1418" t="s">
        <v>2075</v>
      </c>
      <c r="I1755" s="241"/>
      <c r="M1755" s="1413"/>
      <c r="R1755" s="1418" t="s">
        <v>1550</v>
      </c>
      <c r="S1755" s="1418" t="str">
        <f>IF(Q$832="Yes",11,"")</f>
        <v/>
      </c>
    </row>
    <row r="1756" spans="1:19" s="1411" customFormat="1" x14ac:dyDescent="0.25">
      <c r="A1756" s="926" t="s">
        <v>1406</v>
      </c>
      <c r="B1756" s="897" t="str">
        <f ca="1">_xlfn.IFNA(_xlfn.CONCAT(SUBSTITUTE(ADDRESS(1,MATCH(A1756,INDIRECT("'"&amp;E1756&amp;"'"&amp;"!A" &amp; $O$832 + 5 &amp; ":Z" &amp; $O$832+ 5),0),4),1,""),$O$832 + 6),"")</f>
        <v>L213</v>
      </c>
      <c r="C1756" s="897" t="str">
        <f t="shared" ca="1" si="286"/>
        <v>L</v>
      </c>
      <c r="D1756" s="897" t="s">
        <v>1374</v>
      </c>
      <c r="E1756" s="897" t="s">
        <v>1535</v>
      </c>
      <c r="F1756" s="1424" t="s">
        <v>2077</v>
      </c>
      <c r="G1756" s="1418" t="str">
        <f>IF(S1756&lt;&gt;"","F","")</f>
        <v/>
      </c>
      <c r="H1756" s="1418" t="s">
        <v>2075</v>
      </c>
      <c r="I1756" s="241"/>
      <c r="M1756" s="1413"/>
      <c r="R1756" s="1418" t="s">
        <v>1550</v>
      </c>
      <c r="S1756" s="1418" t="str">
        <f>IF(Q$832="Yes",11,"")</f>
        <v/>
      </c>
    </row>
    <row r="1757" spans="1:19" s="1411" customFormat="1" x14ac:dyDescent="0.25">
      <c r="A1757" s="929" t="s">
        <v>1510</v>
      </c>
      <c r="B1757" s="897" t="str">
        <f ca="1">IFERROR(_xlfn.CONCAT("C",MATCH(A1757,INDIRECT("'"&amp;E1757&amp;"'!C"&amp;$O$862&amp;":C"&amp;$O$864),0)+$O$862-1),"")</f>
        <v>C227</v>
      </c>
      <c r="C1757" s="897" t="str">
        <f ca="1">IFERROR(_xlfn.CONCAT("D",MATCH(A1757,INDIRECT("'"&amp;E1757&amp;"'!C"&amp;$O$862&amp;":C"&amp;$O$864),0)+$O$862-1),"")</f>
        <v>D227</v>
      </c>
      <c r="D1757" s="897" t="s">
        <v>1367</v>
      </c>
      <c r="E1757" s="897" t="s">
        <v>1535</v>
      </c>
      <c r="F1757" s="919" t="s">
        <v>1510</v>
      </c>
      <c r="G1757" s="1418" t="str">
        <f>IF(S1757&lt;&gt;"","A","")</f>
        <v/>
      </c>
      <c r="H1757" s="1418" t="s">
        <v>2075</v>
      </c>
      <c r="I1757" s="241"/>
      <c r="M1757" s="1413"/>
      <c r="R1757" s="1418" t="s">
        <v>1550</v>
      </c>
      <c r="S1757" s="1418" t="str">
        <f>IF(Q$862="Yes",12,"")</f>
        <v/>
      </c>
    </row>
    <row r="1758" spans="1:19" s="1411" customFormat="1" x14ac:dyDescent="0.25">
      <c r="A1758" s="929" t="s">
        <v>1400</v>
      </c>
      <c r="B1758" s="897" t="str">
        <f ca="1">IFERROR(_xlfn.CONCAT("C",MATCH(A1758,INDIRECT("'"&amp;E1758&amp;"'!C"&amp;$O$862&amp;":C"&amp;$O$864),0)+$O$862-1),"")</f>
        <v>C225</v>
      </c>
      <c r="C1758" s="897" t="str">
        <f ca="1">IFERROR(_xlfn.CONCAT("D",MATCH(A1758,INDIRECT("'"&amp;E1758&amp;"'!C"&amp;$O$862&amp;":C"&amp;$O$864),0)+$O$862-1),"")</f>
        <v>D225</v>
      </c>
      <c r="D1758" s="897" t="s">
        <v>1367</v>
      </c>
      <c r="E1758" s="897" t="s">
        <v>1535</v>
      </c>
      <c r="F1758" s="919" t="s">
        <v>1400</v>
      </c>
      <c r="G1758" s="1418" t="str">
        <f>IF(S1758&lt;&gt;"","B","")</f>
        <v/>
      </c>
      <c r="H1758" s="1418" t="s">
        <v>2075</v>
      </c>
      <c r="I1758" s="241"/>
      <c r="M1758" s="1413"/>
      <c r="R1758" s="1418" t="s">
        <v>1550</v>
      </c>
      <c r="S1758" s="1418" t="str">
        <f>IF(Q$862="Yes",12,"")</f>
        <v/>
      </c>
    </row>
    <row r="1759" spans="1:19" s="1411" customFormat="1" x14ac:dyDescent="0.25">
      <c r="A1759" s="929" t="s">
        <v>1404</v>
      </c>
      <c r="B1759" s="897" t="str">
        <f ca="1">_xlfn.IFNA(_xlfn.CONCAT(SUBSTITUTE(ADDRESS(1,MATCH(A1759,INDIRECT("'"&amp;E1759&amp;"'"&amp;"!A" &amp; $O$862 + 5 &amp; ":Z" &amp; $O$862+ 5),0),4),1,""),$O$862 + 6),"")</f>
        <v>H229</v>
      </c>
      <c r="C1759" s="897" t="str">
        <f t="shared" ref="C1759:C1761" ca="1" si="287">_xlfn.IFNA(SUBSTITUTE(ADDRESS(1,MATCH(A1759,INDIRECT("'"&amp;E1759&amp;"'"&amp;"!A" &amp; $O$862 + 5 &amp; ":Z" &amp; $O$862+ 5),0),4),1,""),"")</f>
        <v>H</v>
      </c>
      <c r="D1759" s="897" t="s">
        <v>1374</v>
      </c>
      <c r="E1759" s="897" t="s">
        <v>1535</v>
      </c>
      <c r="F1759" s="919" t="s">
        <v>1404</v>
      </c>
      <c r="G1759" s="1418" t="str">
        <f>IF(S1759&lt;&gt;"","C","")</f>
        <v/>
      </c>
      <c r="H1759" s="1418" t="s">
        <v>2075</v>
      </c>
      <c r="I1759" s="241"/>
      <c r="M1759" s="1413"/>
      <c r="R1759" s="1418" t="s">
        <v>1550</v>
      </c>
      <c r="S1759" s="1418" t="str">
        <f>IF(Q$862="Yes",12,"")</f>
        <v/>
      </c>
    </row>
    <row r="1760" spans="1:19" s="1411" customFormat="1" x14ac:dyDescent="0.25">
      <c r="A1760" s="929" t="s">
        <v>1405</v>
      </c>
      <c r="B1760" s="897" t="str">
        <f ca="1">_xlfn.IFNA(_xlfn.CONCAT(SUBSTITUTE(ADDRESS(1,MATCH(A1760,INDIRECT("'"&amp;E1760&amp;"'"&amp;"!A" &amp; $O$862 + 5 &amp; ":Z" &amp; $O$862+ 5),0),4),1,""),$O$862 + 6),"")</f>
        <v>J229</v>
      </c>
      <c r="C1760" s="897" t="str">
        <f t="shared" ca="1" si="287"/>
        <v>J</v>
      </c>
      <c r="D1760" s="897" t="s">
        <v>1374</v>
      </c>
      <c r="E1760" s="897" t="s">
        <v>1535</v>
      </c>
      <c r="F1760" s="919" t="s">
        <v>1405</v>
      </c>
      <c r="G1760" s="1418" t="str">
        <f>IF(S1760&lt;&gt;"","D","")</f>
        <v/>
      </c>
      <c r="H1760" s="1418" t="s">
        <v>2075</v>
      </c>
      <c r="I1760" s="241"/>
      <c r="M1760" s="1413"/>
      <c r="R1760" s="1418" t="s">
        <v>1550</v>
      </c>
      <c r="S1760" s="1418" t="str">
        <f>IF(Q$862="Yes",12,"")</f>
        <v/>
      </c>
    </row>
    <row r="1761" spans="1:19" s="1411" customFormat="1" x14ac:dyDescent="0.25">
      <c r="A1761" s="929" t="s">
        <v>1406</v>
      </c>
      <c r="B1761" s="897" t="str">
        <f ca="1">_xlfn.IFNA(_xlfn.CONCAT(SUBSTITUTE(ADDRESS(1,MATCH(A1761,INDIRECT("'"&amp;E1761&amp;"'"&amp;"!A" &amp; $O$862 + 5 &amp; ":Z" &amp; $O$862+ 5),0),4),1,""),$O$862 + 6),"")</f>
        <v>L229</v>
      </c>
      <c r="C1761" s="897" t="str">
        <f t="shared" ca="1" si="287"/>
        <v>L</v>
      </c>
      <c r="D1761" s="897" t="s">
        <v>1374</v>
      </c>
      <c r="E1761" s="897" t="s">
        <v>1535</v>
      </c>
      <c r="F1761" s="1424" t="s">
        <v>2077</v>
      </c>
      <c r="G1761" s="1418" t="str">
        <f>IF(S1761&lt;&gt;"","F","")</f>
        <v/>
      </c>
      <c r="H1761" s="1418" t="s">
        <v>2075</v>
      </c>
      <c r="I1761" s="241"/>
      <c r="M1761" s="1413"/>
      <c r="R1761" s="1418" t="s">
        <v>1550</v>
      </c>
      <c r="S1761" s="1418" t="str">
        <f>IF(Q$862="Yes",12,"")</f>
        <v/>
      </c>
    </row>
    <row r="1762" spans="1:19" s="1411" customFormat="1" x14ac:dyDescent="0.25">
      <c r="A1762" s="926" t="s">
        <v>1510</v>
      </c>
      <c r="B1762" s="897" t="str">
        <f ca="1">IFERROR(_xlfn.CONCAT("C",MATCH(A1762,INDIRECT("'"&amp;E1762&amp;"'!C"&amp;$O$892&amp;":C"&amp;$O$894),0)+$O$892-1),"")</f>
        <v>C243</v>
      </c>
      <c r="C1762" s="897" t="str">
        <f ca="1">IFERROR(_xlfn.CONCAT("D",MATCH(A1762,INDIRECT("'"&amp;E1762&amp;"'!C"&amp;$O$892&amp;":C"&amp;$O$894),0)+$O$892-1),"")</f>
        <v>D243</v>
      </c>
      <c r="D1762" s="897" t="s">
        <v>1367</v>
      </c>
      <c r="E1762" s="897" t="s">
        <v>1535</v>
      </c>
      <c r="F1762" s="919" t="s">
        <v>1510</v>
      </c>
      <c r="G1762" s="1418" t="str">
        <f>IF(S1762&lt;&gt;"","A","")</f>
        <v/>
      </c>
      <c r="H1762" s="1418" t="s">
        <v>2075</v>
      </c>
      <c r="I1762" s="241"/>
      <c r="M1762" s="1413"/>
      <c r="R1762" s="1418" t="s">
        <v>395</v>
      </c>
      <c r="S1762" s="1418" t="str">
        <f>IF(Q$892="Yes",13,"")</f>
        <v/>
      </c>
    </row>
    <row r="1763" spans="1:19" s="1411" customFormat="1" x14ac:dyDescent="0.25">
      <c r="A1763" s="926" t="s">
        <v>1400</v>
      </c>
      <c r="B1763" s="897" t="str">
        <f ca="1">IFERROR(_xlfn.CONCAT("C",MATCH(A1763,INDIRECT("'"&amp;E1763&amp;"'!C"&amp;$O$892&amp;":C"&amp;$O$894),0)+$O$892-1),"")</f>
        <v>C241</v>
      </c>
      <c r="C1763" s="897" t="str">
        <f ca="1">IFERROR(_xlfn.CONCAT("D",MATCH(A1763,INDIRECT("'"&amp;E1763&amp;"'!C"&amp;$O$892&amp;":C"&amp;$O$894),0)+$O$892-1),"")</f>
        <v>D241</v>
      </c>
      <c r="D1763" s="897" t="s">
        <v>1367</v>
      </c>
      <c r="E1763" s="897" t="s">
        <v>1535</v>
      </c>
      <c r="F1763" s="919" t="s">
        <v>1400</v>
      </c>
      <c r="G1763" s="1418" t="str">
        <f>IF(S1763&lt;&gt;"","B","")</f>
        <v/>
      </c>
      <c r="H1763" s="1418" t="s">
        <v>2075</v>
      </c>
      <c r="I1763" s="241"/>
      <c r="M1763" s="1413"/>
      <c r="R1763" s="1418" t="s">
        <v>395</v>
      </c>
      <c r="S1763" s="1418" t="str">
        <f>IF(Q$892="Yes",13,"")</f>
        <v/>
      </c>
    </row>
    <row r="1764" spans="1:19" s="1411" customFormat="1" x14ac:dyDescent="0.25">
      <c r="A1764" s="926" t="s">
        <v>1404</v>
      </c>
      <c r="B1764" s="897" t="str">
        <f ca="1">_xlfn.CONCAT(IFERROR(SUBSTITUTE(ADDRESS(1,MATCH(A1764,INDIRECT("'"&amp;E1764&amp;"'"&amp;"!A" &amp; $O$892 + 5 &amp; ":Z" &amp; $O$892+ 5),0),4),1,""),""),$O$892 + 5)</f>
        <v>H244</v>
      </c>
      <c r="C1764" s="897" t="str">
        <f ca="1">_xlfn.CONCAT(IFERROR(SUBSTITUTE(ADDRESS(1,MATCH(A1764,INDIRECT("'"&amp;E1764&amp;"'"&amp;"!A" &amp; $O$892 + 5 &amp; ":Z" &amp; $O$892+ 5),0),4),1,""),""),$O$892 + 6)</f>
        <v>H245</v>
      </c>
      <c r="D1764" s="897" t="s">
        <v>1367</v>
      </c>
      <c r="E1764" s="897" t="s">
        <v>1535</v>
      </c>
      <c r="F1764" s="919" t="s">
        <v>1404</v>
      </c>
      <c r="G1764" s="1418" t="str">
        <f>IF(S1764&lt;&gt;"","C","")</f>
        <v/>
      </c>
      <c r="H1764" s="1418" t="s">
        <v>2075</v>
      </c>
      <c r="I1764" s="241"/>
      <c r="M1764" s="1413"/>
      <c r="R1764" s="1418" t="s">
        <v>395</v>
      </c>
      <c r="S1764" s="1418" t="str">
        <f>IF(Q$892="Yes",13,"")</f>
        <v/>
      </c>
    </row>
    <row r="1765" spans="1:19" s="1411" customFormat="1" x14ac:dyDescent="0.25">
      <c r="A1765" s="926" t="s">
        <v>1405</v>
      </c>
      <c r="B1765" s="897" t="str">
        <f ca="1">_xlfn.CONCAT(IFERROR(SUBSTITUTE(ADDRESS(1,MATCH(A1765,INDIRECT("'"&amp;E1765&amp;"'"&amp;"!A" &amp; $O$892 + 5 &amp; ":Z" &amp; $O$892+ 5),0),4),1,""),""),$O$892 + 5)</f>
        <v>J244</v>
      </c>
      <c r="C1765" s="897" t="str">
        <f ca="1">_xlfn.CONCAT(IFERROR(SUBSTITUTE(ADDRESS(1,MATCH(A1765,INDIRECT("'"&amp;E1765&amp;"'"&amp;"!A" &amp; $O$892 + 5 &amp; ":Z" &amp; $O$892+ 5),0),4),1,""),""),$O$892 + 6)</f>
        <v>J245</v>
      </c>
      <c r="D1765" s="897" t="s">
        <v>1367</v>
      </c>
      <c r="E1765" s="897" t="s">
        <v>1535</v>
      </c>
      <c r="F1765" s="919" t="s">
        <v>1405</v>
      </c>
      <c r="G1765" s="1418" t="str">
        <f>IF(S1765&lt;&gt;"","D","")</f>
        <v/>
      </c>
      <c r="H1765" s="1418" t="s">
        <v>2075</v>
      </c>
      <c r="I1765" s="241"/>
      <c r="M1765" s="1413"/>
      <c r="R1765" s="1418" t="s">
        <v>395</v>
      </c>
      <c r="S1765" s="1418" t="str">
        <f>IF(Q$892="Yes",13,"")</f>
        <v/>
      </c>
    </row>
    <row r="1766" spans="1:19" s="1411" customFormat="1" x14ac:dyDescent="0.25">
      <c r="A1766" s="926" t="s">
        <v>1406</v>
      </c>
      <c r="B1766" s="897" t="str">
        <f ca="1">_xlfn.CONCAT(IFERROR(SUBSTITUTE(ADDRESS(1,MATCH(A1766,INDIRECT("'"&amp;E1766&amp;"'"&amp;"!A" &amp; $O$892 + 5 &amp; ":Z" &amp; $O$892+ 5),0),4),1,""),""),$O$892 + 5)</f>
        <v>L244</v>
      </c>
      <c r="C1766" s="897" t="str">
        <f ca="1">_xlfn.CONCAT(IFERROR(SUBSTITUTE(ADDRESS(1,MATCH(A1766,INDIRECT("'"&amp;E1766&amp;"'"&amp;"!A" &amp; $O$892 + 5 &amp; ":Z" &amp; $O$892+ 5),0),4),1,""),""),$O$892 + 6)</f>
        <v>L245</v>
      </c>
      <c r="D1766" s="897" t="s">
        <v>1367</v>
      </c>
      <c r="E1766" s="897" t="s">
        <v>1535</v>
      </c>
      <c r="F1766" s="1424" t="s">
        <v>2077</v>
      </c>
      <c r="G1766" s="1418" t="str">
        <f>IF(S1766&lt;&gt;"","F","")</f>
        <v/>
      </c>
      <c r="H1766" s="1418" t="s">
        <v>2075</v>
      </c>
      <c r="I1766" s="241"/>
      <c r="M1766" s="1413"/>
      <c r="R1766" s="1418" t="s">
        <v>395</v>
      </c>
      <c r="S1766" s="1418" t="str">
        <f>IF(Q$892="Yes",13,"")</f>
        <v/>
      </c>
    </row>
    <row r="1767" spans="1:19" s="1411" customFormat="1" x14ac:dyDescent="0.25">
      <c r="A1767" s="1082" t="s">
        <v>1510</v>
      </c>
      <c r="B1767" s="897" t="str">
        <f ca="1">IFERROR(_xlfn.CONCAT("C",MATCH(A1767,INDIRECT("'"&amp;E1767&amp;"'!C"&amp;$O$911&amp;":C"&amp;$O$913),0)+$O$911-1),"")</f>
        <v>C257</v>
      </c>
      <c r="C1767" s="897" t="str">
        <f ca="1">IFERROR(_xlfn.CONCAT("D",MATCH(A1767,INDIRECT("'"&amp;E1767&amp;"'!C"&amp;$O$911&amp;":C"&amp;$O$913),0)+$O$911-1),"")</f>
        <v>D257</v>
      </c>
      <c r="D1767" s="897" t="s">
        <v>1367</v>
      </c>
      <c r="E1767" s="897" t="s">
        <v>1535</v>
      </c>
      <c r="F1767" s="919" t="s">
        <v>1510</v>
      </c>
      <c r="G1767" s="1418" t="str">
        <f>IF(S1767&lt;&gt;"","A","")</f>
        <v/>
      </c>
      <c r="H1767" s="1418" t="s">
        <v>2075</v>
      </c>
      <c r="I1767" s="241"/>
      <c r="M1767" s="1413"/>
      <c r="R1767" s="1418" t="s">
        <v>395</v>
      </c>
      <c r="S1767" s="1418" t="str">
        <f>IF(Q$911="Yes",14,"")</f>
        <v/>
      </c>
    </row>
    <row r="1768" spans="1:19" s="1411" customFormat="1" x14ac:dyDescent="0.25">
      <c r="A1768" s="1082" t="s">
        <v>1400</v>
      </c>
      <c r="B1768" s="897" t="str">
        <f ca="1">IFERROR(_xlfn.CONCAT("C",MATCH(A1768,INDIRECT("'"&amp;E1768&amp;"'!C"&amp;$O$911&amp;":C"&amp;$O$913),0)+$O$911-1),"")</f>
        <v>C255</v>
      </c>
      <c r="C1768" s="897" t="str">
        <f ca="1">IFERROR(_xlfn.CONCAT("D",MATCH(A1768,INDIRECT("'"&amp;E1768&amp;"'!C"&amp;$O$911&amp;":C"&amp;$O$913),0)+$O$911-1),"")</f>
        <v>D255</v>
      </c>
      <c r="D1768" s="897" t="s">
        <v>1367</v>
      </c>
      <c r="E1768" s="897" t="s">
        <v>1535</v>
      </c>
      <c r="F1768" s="919" t="s">
        <v>1400</v>
      </c>
      <c r="G1768" s="1418" t="str">
        <f>IF(S1768&lt;&gt;"","B","")</f>
        <v/>
      </c>
      <c r="H1768" s="1418" t="s">
        <v>2075</v>
      </c>
      <c r="I1768" s="241"/>
      <c r="M1768" s="1413"/>
      <c r="R1768" s="1418" t="s">
        <v>395</v>
      </c>
      <c r="S1768" s="1418" t="str">
        <f>IF(Q$911="Yes",14,"")</f>
        <v/>
      </c>
    </row>
    <row r="1769" spans="1:19" s="1411" customFormat="1" x14ac:dyDescent="0.25">
      <c r="A1769" s="1082" t="s">
        <v>1404</v>
      </c>
      <c r="B1769" s="897" t="str">
        <f ca="1">_xlfn.CONCAT(IFERROR(SUBSTITUTE(ADDRESS(1,MATCH(A1769,INDIRECT("'"&amp;E1769&amp;"'"&amp;"!A" &amp; $O$911 + 5 &amp; ":Z" &amp; $O$911 + 5),0),4),1,""),""),$O$911 + 5)</f>
        <v>H258</v>
      </c>
      <c r="C1769" s="897" t="str">
        <f ca="1">_xlfn.CONCAT(IFERROR(SUBSTITUTE(ADDRESS(1,MATCH(A1769,INDIRECT("'"&amp;E1769&amp;"'"&amp;"!A" &amp; $O$911 + 5 &amp; ":Z" &amp; $O$911 + 5),0),4),1,""),""),$O$911 + 6)</f>
        <v>H259</v>
      </c>
      <c r="D1769" s="897" t="s">
        <v>1367</v>
      </c>
      <c r="E1769" s="897" t="s">
        <v>1535</v>
      </c>
      <c r="F1769" s="919" t="s">
        <v>1404</v>
      </c>
      <c r="G1769" s="1418" t="str">
        <f>IF(S1769&lt;&gt;"","C","")</f>
        <v/>
      </c>
      <c r="H1769" s="1418" t="s">
        <v>2075</v>
      </c>
      <c r="I1769" s="241"/>
      <c r="M1769" s="1413"/>
      <c r="R1769" s="1418" t="s">
        <v>395</v>
      </c>
      <c r="S1769" s="1418" t="str">
        <f>IF(Q$911="Yes",14,"")</f>
        <v/>
      </c>
    </row>
    <row r="1770" spans="1:19" s="1411" customFormat="1" x14ac:dyDescent="0.25">
      <c r="A1770" s="1082" t="s">
        <v>1405</v>
      </c>
      <c r="B1770" s="897" t="str">
        <f ca="1">_xlfn.CONCAT(IFERROR(SUBSTITUTE(ADDRESS(1,MATCH(A1770,INDIRECT("'"&amp;E1770&amp;"'"&amp;"!A" &amp; $O$911 + 5 &amp; ":Z" &amp; $O$911 + 5),0),4),1,""),""),$O$911 + 5)</f>
        <v>J258</v>
      </c>
      <c r="C1770" s="897" t="str">
        <f ca="1">_xlfn.CONCAT(IFERROR(SUBSTITUTE(ADDRESS(1,MATCH(A1770,INDIRECT("'"&amp;E1770&amp;"'"&amp;"!A" &amp; $O$911 + 5 &amp; ":Z" &amp; $O$911 + 5),0),4),1,""),""),$O$911 + 6)</f>
        <v>J259</v>
      </c>
      <c r="D1770" s="897" t="s">
        <v>1367</v>
      </c>
      <c r="E1770" s="897" t="s">
        <v>1535</v>
      </c>
      <c r="F1770" s="919" t="s">
        <v>1405</v>
      </c>
      <c r="G1770" s="1418" t="str">
        <f>IF(S1770&lt;&gt;"","D","")</f>
        <v/>
      </c>
      <c r="H1770" s="1418" t="s">
        <v>2075</v>
      </c>
      <c r="I1770" s="241"/>
      <c r="M1770" s="1413"/>
      <c r="R1770" s="1418" t="s">
        <v>395</v>
      </c>
      <c r="S1770" s="1418" t="str">
        <f>IF(Q$911="Yes",14,"")</f>
        <v/>
      </c>
    </row>
    <row r="1771" spans="1:19" s="1411" customFormat="1" x14ac:dyDescent="0.25">
      <c r="A1771" s="1082" t="s">
        <v>1406</v>
      </c>
      <c r="B1771" s="897" t="str">
        <f ca="1">_xlfn.CONCAT(IFERROR(SUBSTITUTE(ADDRESS(1,MATCH(A1771,INDIRECT("'"&amp;E1771&amp;"'"&amp;"!A" &amp; $O$911 + 5 &amp; ":Z" &amp; $O$911 + 5),0),4),1,""),""),$O$911 + 5)</f>
        <v>L258</v>
      </c>
      <c r="C1771" s="897" t="str">
        <f ca="1">_xlfn.CONCAT(IFERROR(SUBSTITUTE(ADDRESS(1,MATCH(A1771,INDIRECT("'"&amp;E1771&amp;"'"&amp;"!A" &amp; $O$911 + 5 &amp; ":Z" &amp; $O$911 + 5),0),4),1,""),""),$O$911 + 6)</f>
        <v>L259</v>
      </c>
      <c r="D1771" s="897" t="s">
        <v>1367</v>
      </c>
      <c r="E1771" s="897" t="s">
        <v>1535</v>
      </c>
      <c r="F1771" s="1424" t="s">
        <v>2077</v>
      </c>
      <c r="G1771" s="1418" t="str">
        <f>IF(S1771&lt;&gt;"","F","")</f>
        <v/>
      </c>
      <c r="H1771" s="1418" t="s">
        <v>2075</v>
      </c>
      <c r="I1771" s="241"/>
      <c r="M1771" s="1413"/>
      <c r="R1771" s="1418" t="s">
        <v>395</v>
      </c>
      <c r="S1771" s="1418" t="str">
        <f>IF(Q$911="Yes",14,"")</f>
        <v/>
      </c>
    </row>
    <row r="1772" spans="1:19" s="1411" customFormat="1" x14ac:dyDescent="0.25">
      <c r="A1772" s="1102" t="s">
        <v>1510</v>
      </c>
      <c r="B1772" s="897" t="str">
        <f ca="1">IFERROR(_xlfn.CONCAT("C",MATCH(A1772,INDIRECT("'"&amp;E1772&amp;"'!C"&amp;$O$930&amp;":C"&amp;$O$932),0)+$O$930-1),"")</f>
        <v>C271</v>
      </c>
      <c r="C1772" s="897" t="str">
        <f ca="1">IFERROR(_xlfn.CONCAT("D",MATCH(A1772,INDIRECT("'"&amp;E1772&amp;"'!C"&amp;$O$930&amp;":C"&amp;$O$932),0)+$O$930-1),"")</f>
        <v>D271</v>
      </c>
      <c r="D1772" s="897" t="s">
        <v>1367</v>
      </c>
      <c r="E1772" s="897" t="s">
        <v>1535</v>
      </c>
      <c r="F1772" s="919" t="s">
        <v>1510</v>
      </c>
      <c r="G1772" s="1418" t="str">
        <f>IF(S1772&lt;&gt;"","A","")</f>
        <v/>
      </c>
      <c r="H1772" s="1418" t="s">
        <v>2075</v>
      </c>
      <c r="I1772" s="241"/>
      <c r="M1772" s="1413"/>
      <c r="R1772" s="1418" t="s">
        <v>395</v>
      </c>
      <c r="S1772" s="1418" t="str">
        <f>IF(Q$930="Yes",15,"")</f>
        <v/>
      </c>
    </row>
    <row r="1773" spans="1:19" s="1411" customFormat="1" x14ac:dyDescent="0.25">
      <c r="A1773" s="1102" t="s">
        <v>1400</v>
      </c>
      <c r="B1773" s="897" t="str">
        <f ca="1">IFERROR(_xlfn.CONCAT("C",MATCH(A1773,INDIRECT("'"&amp;E1773&amp;"'!C"&amp;$O$930&amp;":C"&amp;$O$932),0)+$O$930-1),"")</f>
        <v>C269</v>
      </c>
      <c r="C1773" s="897" t="str">
        <f ca="1">IFERROR(_xlfn.CONCAT("D",MATCH(A1773,INDIRECT("'"&amp;E1773&amp;"'!C"&amp;$O$930&amp;":C"&amp;$O$932),0)+$O$930-1),"")</f>
        <v>D269</v>
      </c>
      <c r="D1773" s="897" t="s">
        <v>1367</v>
      </c>
      <c r="E1773" s="897" t="s">
        <v>1535</v>
      </c>
      <c r="F1773" s="919" t="s">
        <v>1400</v>
      </c>
      <c r="G1773" s="1418" t="str">
        <f>IF(S1773&lt;&gt;"","B","")</f>
        <v/>
      </c>
      <c r="H1773" s="1418" t="s">
        <v>2075</v>
      </c>
      <c r="I1773" s="241"/>
      <c r="M1773" s="1413"/>
      <c r="R1773" s="1418" t="s">
        <v>395</v>
      </c>
      <c r="S1773" s="1418" t="str">
        <f>IF(Q$930="Yes",15,"")</f>
        <v/>
      </c>
    </row>
    <row r="1774" spans="1:19" s="1411" customFormat="1" x14ac:dyDescent="0.25">
      <c r="A1774" s="1102" t="s">
        <v>1404</v>
      </c>
      <c r="B1774" s="897" t="str">
        <f ca="1">_xlfn.CONCAT(IFERROR(SUBSTITUTE(ADDRESS(1,MATCH(A1774,INDIRECT("'"&amp;E1774&amp;"'"&amp;"!A" &amp; $O$930 + 5 &amp; ":Z" &amp; $O$930 + 5),0),4),1,""),""),$O$930 + 5)</f>
        <v>H272</v>
      </c>
      <c r="C1774" s="897" t="str">
        <f ca="1">_xlfn.CONCAT(IFERROR(SUBSTITUTE(ADDRESS(1,MATCH(A1774,INDIRECT("'"&amp;E1774&amp;"'"&amp;"!A" &amp; $O$930 + 5 &amp; ":Z" &amp; $O$930 + 5),0),4),1,""),""),$O$930 + 6)</f>
        <v>H273</v>
      </c>
      <c r="D1774" s="897" t="s">
        <v>1367</v>
      </c>
      <c r="E1774" s="897" t="s">
        <v>1535</v>
      </c>
      <c r="F1774" s="919" t="s">
        <v>1404</v>
      </c>
      <c r="G1774" s="1418" t="str">
        <f>IF(S1774&lt;&gt;"","C","")</f>
        <v/>
      </c>
      <c r="H1774" s="1418" t="s">
        <v>2075</v>
      </c>
      <c r="I1774" s="241"/>
      <c r="M1774" s="1413"/>
      <c r="R1774" s="1418" t="s">
        <v>395</v>
      </c>
      <c r="S1774" s="1418" t="str">
        <f>IF(Q$930="Yes",15,"")</f>
        <v/>
      </c>
    </row>
    <row r="1775" spans="1:19" s="1411" customFormat="1" x14ac:dyDescent="0.25">
      <c r="A1775" s="1102" t="s">
        <v>1405</v>
      </c>
      <c r="B1775" s="897" t="str">
        <f ca="1">_xlfn.CONCAT(IFERROR(SUBSTITUTE(ADDRESS(1,MATCH(A1775,INDIRECT("'"&amp;E1775&amp;"'"&amp;"!A" &amp; $O$930 + 5 &amp; ":Z" &amp; $O$930 + 5),0),4),1,""),""),$O$930 + 5)</f>
        <v>J272</v>
      </c>
      <c r="C1775" s="897" t="str">
        <f ca="1">_xlfn.CONCAT(IFERROR(SUBSTITUTE(ADDRESS(1,MATCH(A1775,INDIRECT("'"&amp;E1775&amp;"'"&amp;"!A" &amp; $O$930 + 5 &amp; ":Z" &amp; $O$930 + 5),0),4),1,""),""),$O$930 + 6)</f>
        <v>J273</v>
      </c>
      <c r="D1775" s="897" t="s">
        <v>1367</v>
      </c>
      <c r="E1775" s="897" t="s">
        <v>1535</v>
      </c>
      <c r="F1775" s="919" t="s">
        <v>1405</v>
      </c>
      <c r="G1775" s="1418" t="str">
        <f>IF(S1775&lt;&gt;"","D","")</f>
        <v/>
      </c>
      <c r="H1775" s="1418" t="s">
        <v>2075</v>
      </c>
      <c r="I1775" s="241"/>
      <c r="M1775" s="1413"/>
      <c r="R1775" s="1418" t="s">
        <v>395</v>
      </c>
      <c r="S1775" s="1418" t="str">
        <f>IF(Q$930="Yes",15,"")</f>
        <v/>
      </c>
    </row>
    <row r="1776" spans="1:19" s="1411" customFormat="1" x14ac:dyDescent="0.25">
      <c r="A1776" s="1102" t="s">
        <v>1406</v>
      </c>
      <c r="B1776" s="897" t="str">
        <f ca="1">_xlfn.CONCAT(IFERROR(SUBSTITUTE(ADDRESS(1,MATCH(A1776,INDIRECT("'"&amp;E1776&amp;"'"&amp;"!A" &amp; $O$930 + 5 &amp; ":Z" &amp; $O$930 + 5),0),4),1,""),""),$O$930 + 5)</f>
        <v>L272</v>
      </c>
      <c r="C1776" s="897" t="str">
        <f ca="1">_xlfn.CONCAT(IFERROR(SUBSTITUTE(ADDRESS(1,MATCH(A1776,INDIRECT("'"&amp;E1776&amp;"'"&amp;"!A" &amp; $O$930 + 5 &amp; ":Z" &amp; $O$930 + 5),0),4),1,""),""),$O$930 + 6)</f>
        <v>L273</v>
      </c>
      <c r="D1776" s="897" t="s">
        <v>1367</v>
      </c>
      <c r="E1776" s="897" t="s">
        <v>1535</v>
      </c>
      <c r="F1776" s="1424" t="s">
        <v>2077</v>
      </c>
      <c r="G1776" s="1418" t="str">
        <f>IF(S1776&lt;&gt;"","F","")</f>
        <v/>
      </c>
      <c r="H1776" s="1418" t="s">
        <v>2075</v>
      </c>
      <c r="I1776" s="241"/>
      <c r="M1776" s="1413"/>
      <c r="R1776" s="1418" t="s">
        <v>395</v>
      </c>
      <c r="S1776" s="1418" t="str">
        <f>IF(Q$930="Yes",15,"")</f>
        <v/>
      </c>
    </row>
    <row r="1777" spans="1:19" s="1411" customFormat="1" x14ac:dyDescent="0.25">
      <c r="A1777" s="1082" t="s">
        <v>1510</v>
      </c>
      <c r="B1777" s="897" t="str">
        <f ca="1">IFERROR(_xlfn.CONCAT("C",MATCH(A1777,INDIRECT("'"&amp;E1777&amp;"'!C"&amp;$O$949&amp;":C"&amp;$O$951),0)+$O$949-1),"")</f>
        <v>C285</v>
      </c>
      <c r="C1777" s="897" t="str">
        <f ca="1">IFERROR(_xlfn.CONCAT("D",MATCH(A1777,INDIRECT("'"&amp;E1777&amp;"'!C"&amp;$O$949&amp;":C"&amp;$O$951),0)+$O$949-1),"")</f>
        <v>D285</v>
      </c>
      <c r="D1777" s="897" t="s">
        <v>1367</v>
      </c>
      <c r="E1777" s="897" t="s">
        <v>1535</v>
      </c>
      <c r="F1777" s="919" t="s">
        <v>1510</v>
      </c>
      <c r="G1777" s="1418" t="str">
        <f>IF(S1777&lt;&gt;"","A","")</f>
        <v/>
      </c>
      <c r="H1777" s="1418" t="s">
        <v>2075</v>
      </c>
      <c r="I1777" s="241"/>
      <c r="M1777" s="1413"/>
      <c r="R1777" s="1418" t="s">
        <v>395</v>
      </c>
      <c r="S1777" s="1418" t="str">
        <f>IF(Q$949="Yes",16,"")</f>
        <v/>
      </c>
    </row>
    <row r="1778" spans="1:19" s="1411" customFormat="1" x14ac:dyDescent="0.25">
      <c r="A1778" s="1082" t="s">
        <v>1400</v>
      </c>
      <c r="B1778" s="897" t="str">
        <f ca="1">IFERROR(_xlfn.CONCAT("C",MATCH(A1778,INDIRECT("'"&amp;E1778&amp;"'!C"&amp;$O$949&amp;":C"&amp;$O$951),0)+$O$949-1),"")</f>
        <v>C283</v>
      </c>
      <c r="C1778" s="897" t="str">
        <f ca="1">IFERROR(_xlfn.CONCAT("D",MATCH(A1778,INDIRECT("'"&amp;E1778&amp;"'!C"&amp;$O$949&amp;":C"&amp;$O$951),0)+$O$949-1),"")</f>
        <v>D283</v>
      </c>
      <c r="D1778" s="897" t="s">
        <v>1367</v>
      </c>
      <c r="E1778" s="897" t="s">
        <v>1535</v>
      </c>
      <c r="F1778" s="919" t="s">
        <v>1400</v>
      </c>
      <c r="G1778" s="1418" t="str">
        <f>IF(S1778&lt;&gt;"","B","")</f>
        <v/>
      </c>
      <c r="H1778" s="1418" t="s">
        <v>2075</v>
      </c>
      <c r="I1778" s="241"/>
      <c r="M1778" s="1413"/>
      <c r="R1778" s="1418" t="s">
        <v>395</v>
      </c>
      <c r="S1778" s="1418" t="str">
        <f>IF(Q$949="Yes",16,"")</f>
        <v/>
      </c>
    </row>
    <row r="1779" spans="1:19" s="1411" customFormat="1" x14ac:dyDescent="0.25">
      <c r="A1779" s="1082" t="s">
        <v>1404</v>
      </c>
      <c r="B1779" s="897" t="str">
        <f ca="1">_xlfn.CONCAT(IFERROR(SUBSTITUTE(ADDRESS(1,MATCH(A1779,INDIRECT("'"&amp;E1779&amp;"'"&amp;"!A" &amp; $O$949 + 5 &amp; ":Z" &amp; $O$949 + 5),0),4),1,""),""),$O$949 + 5)</f>
        <v>H286</v>
      </c>
      <c r="C1779" s="897" t="str">
        <f ca="1">_xlfn.CONCAT(IFERROR(SUBSTITUTE(ADDRESS(1,MATCH(A1779,INDIRECT("'"&amp;E1779&amp;"'"&amp;"!A" &amp; $O$949 + 5 &amp; ":Z" &amp; $O$949 + 5),0),4),1,""),""),$O$949 + 6)</f>
        <v>H287</v>
      </c>
      <c r="D1779" s="897" t="s">
        <v>1367</v>
      </c>
      <c r="E1779" s="897" t="s">
        <v>1535</v>
      </c>
      <c r="F1779" s="919" t="s">
        <v>1404</v>
      </c>
      <c r="G1779" s="1418" t="str">
        <f>IF(S1779&lt;&gt;"","C","")</f>
        <v/>
      </c>
      <c r="H1779" s="1418" t="s">
        <v>2075</v>
      </c>
      <c r="I1779" s="241"/>
      <c r="M1779" s="1413"/>
      <c r="R1779" s="1418" t="s">
        <v>395</v>
      </c>
      <c r="S1779" s="1418" t="str">
        <f>IF(Q$949="Yes",16,"")</f>
        <v/>
      </c>
    </row>
    <row r="1780" spans="1:19" s="1411" customFormat="1" x14ac:dyDescent="0.25">
      <c r="A1780" s="1082" t="s">
        <v>1405</v>
      </c>
      <c r="B1780" s="897" t="str">
        <f ca="1">_xlfn.CONCAT(IFERROR(SUBSTITUTE(ADDRESS(1,MATCH(A1780,INDIRECT("'"&amp;E1780&amp;"'"&amp;"!A" &amp; $O$949 + 5 &amp; ":Z" &amp; $O$949 + 5),0),4),1,""),""),$O$949 + 5)</f>
        <v>J286</v>
      </c>
      <c r="C1780" s="897" t="str">
        <f ca="1">_xlfn.CONCAT(IFERROR(SUBSTITUTE(ADDRESS(1,MATCH(A1780,INDIRECT("'"&amp;E1780&amp;"'"&amp;"!A" &amp; $O$949 + 5 &amp; ":Z" &amp; $O$949 + 5),0),4),1,""),""),$O$949 + 6)</f>
        <v>J287</v>
      </c>
      <c r="D1780" s="897" t="s">
        <v>1367</v>
      </c>
      <c r="E1780" s="897" t="s">
        <v>1535</v>
      </c>
      <c r="F1780" s="919" t="s">
        <v>1405</v>
      </c>
      <c r="G1780" s="1418" t="str">
        <f>IF(S1780&lt;&gt;"","D","")</f>
        <v/>
      </c>
      <c r="H1780" s="1418" t="s">
        <v>2075</v>
      </c>
      <c r="I1780" s="241"/>
      <c r="M1780" s="1413"/>
      <c r="R1780" s="1418" t="s">
        <v>395</v>
      </c>
      <c r="S1780" s="1418" t="str">
        <f>IF(Q$949="Yes",16,"")</f>
        <v/>
      </c>
    </row>
    <row r="1781" spans="1:19" s="1411" customFormat="1" x14ac:dyDescent="0.25">
      <c r="A1781" s="1082" t="s">
        <v>1406</v>
      </c>
      <c r="B1781" s="897" t="str">
        <f ca="1">_xlfn.CONCAT(IFERROR(SUBSTITUTE(ADDRESS(1,MATCH(A1781,INDIRECT("'"&amp;E1781&amp;"'"&amp;"!A" &amp; $O$949 + 5 &amp; ":Z" &amp; $O$949 + 5),0),4),1,""),""),$O$949 + 5)</f>
        <v>L286</v>
      </c>
      <c r="C1781" s="897" t="str">
        <f ca="1">_xlfn.CONCAT(IFERROR(SUBSTITUTE(ADDRESS(1,MATCH(A1781,INDIRECT("'"&amp;E1781&amp;"'"&amp;"!A" &amp; $O$949 + 5 &amp; ":Z" &amp; $O$949 + 5),0),4),1,""),""),$O$949 + 6)</f>
        <v>L287</v>
      </c>
      <c r="D1781" s="897" t="s">
        <v>1367</v>
      </c>
      <c r="E1781" s="897" t="s">
        <v>1535</v>
      </c>
      <c r="F1781" s="1424" t="s">
        <v>2077</v>
      </c>
      <c r="G1781" s="1418" t="str">
        <f>IF(S1781&lt;&gt;"","F","")</f>
        <v/>
      </c>
      <c r="H1781" s="1418" t="s">
        <v>2075</v>
      </c>
      <c r="I1781" s="241"/>
      <c r="M1781" s="1413"/>
      <c r="R1781" s="1418" t="s">
        <v>395</v>
      </c>
      <c r="S1781" s="1418" t="str">
        <f>IF(Q$949="Yes",16,"")</f>
        <v/>
      </c>
    </row>
    <row r="1782" spans="1:19" s="1411" customFormat="1" x14ac:dyDescent="0.25">
      <c r="A1782" s="1104" t="s">
        <v>1510</v>
      </c>
      <c r="B1782" s="897" t="str">
        <f ca="1">IFERROR(_xlfn.CONCAT("C",MATCH(A1782,INDIRECT("'"&amp;E1782&amp;"'!C"&amp;$O$968&amp;":C"&amp;$O$970),0)+$O$968-1),"")</f>
        <v>C299</v>
      </c>
      <c r="C1782" s="897" t="str">
        <f ca="1">IFERROR(_xlfn.CONCAT("D",MATCH(A1782,INDIRECT("'"&amp;E1782&amp;"'!C"&amp;$O$968&amp;":C"&amp;$O$970),0)+$O$968-1),"")</f>
        <v>D299</v>
      </c>
      <c r="D1782" s="897" t="s">
        <v>1367</v>
      </c>
      <c r="E1782" s="897" t="s">
        <v>1535</v>
      </c>
      <c r="F1782" s="919" t="s">
        <v>1510</v>
      </c>
      <c r="G1782" s="1418" t="str">
        <f>IF(S1782&lt;&gt;"","A","")</f>
        <v/>
      </c>
      <c r="H1782" s="1418" t="s">
        <v>2075</v>
      </c>
      <c r="I1782" s="241"/>
      <c r="M1782" s="1413"/>
      <c r="R1782" s="1418" t="s">
        <v>395</v>
      </c>
      <c r="S1782" s="1418" t="str">
        <f>IF(Q$968="Yes",17,"")</f>
        <v/>
      </c>
    </row>
    <row r="1783" spans="1:19" s="1411" customFormat="1" x14ac:dyDescent="0.25">
      <c r="A1783" s="1104" t="s">
        <v>1400</v>
      </c>
      <c r="B1783" s="897" t="str">
        <f ca="1">IFERROR(_xlfn.CONCAT("C",MATCH(A1783,INDIRECT("'"&amp;E1783&amp;"'!C"&amp;$O$968&amp;":C"&amp;$O$970),0)+$O$968-1),"")</f>
        <v>C297</v>
      </c>
      <c r="C1783" s="897" t="str">
        <f ca="1">IFERROR(_xlfn.CONCAT("D",MATCH(A1783,INDIRECT("'"&amp;E1783&amp;"'!C"&amp;$O$968&amp;":C"&amp;$O$970),0)+$O$968-1),"")</f>
        <v>D297</v>
      </c>
      <c r="D1783" s="897" t="s">
        <v>1367</v>
      </c>
      <c r="E1783" s="897" t="s">
        <v>1535</v>
      </c>
      <c r="F1783" s="919" t="s">
        <v>1400</v>
      </c>
      <c r="G1783" s="1418" t="str">
        <f>IF(S1783&lt;&gt;"","B","")</f>
        <v/>
      </c>
      <c r="H1783" s="1418" t="s">
        <v>2075</v>
      </c>
      <c r="I1783" s="241"/>
      <c r="M1783" s="1413"/>
      <c r="R1783" s="1418" t="s">
        <v>395</v>
      </c>
      <c r="S1783" s="1418" t="str">
        <f>IF(Q$968="Yes",17,"")</f>
        <v/>
      </c>
    </row>
    <row r="1784" spans="1:19" s="1411" customFormat="1" x14ac:dyDescent="0.25">
      <c r="A1784" s="1104" t="s">
        <v>1404</v>
      </c>
      <c r="B1784" s="897" t="str">
        <f ca="1">_xlfn.CONCAT(IFERROR(SUBSTITUTE(ADDRESS(1,MATCH(A1784,INDIRECT("'"&amp;E1784&amp;"'"&amp;"!A" &amp; $O$968 + 5 &amp; ":Z" &amp; $O$968 + 5),0),4),1,""),""),$O$968 + 5)</f>
        <v>H300</v>
      </c>
      <c r="C1784" s="897" t="str">
        <f ca="1">_xlfn.CONCAT(IFERROR(SUBSTITUTE(ADDRESS(1,MATCH(A1784,INDIRECT("'"&amp;E1784&amp;"'"&amp;"!A" &amp; $O$968 + 5 &amp; ":Z" &amp; $O$968 + 5),0),4),1,""),""),$O$968 + 6)</f>
        <v>H301</v>
      </c>
      <c r="D1784" s="897" t="s">
        <v>1367</v>
      </c>
      <c r="E1784" s="897" t="s">
        <v>1535</v>
      </c>
      <c r="F1784" s="919" t="s">
        <v>1404</v>
      </c>
      <c r="G1784" s="1418" t="str">
        <f>IF(S1784&lt;&gt;"","C","")</f>
        <v/>
      </c>
      <c r="H1784" s="1418" t="s">
        <v>2075</v>
      </c>
      <c r="I1784" s="241"/>
      <c r="M1784" s="1413"/>
      <c r="R1784" s="1418" t="s">
        <v>395</v>
      </c>
      <c r="S1784" s="1418" t="str">
        <f>IF(Q$968="Yes",17,"")</f>
        <v/>
      </c>
    </row>
    <row r="1785" spans="1:19" s="1411" customFormat="1" x14ac:dyDescent="0.25">
      <c r="A1785" s="1104" t="s">
        <v>1405</v>
      </c>
      <c r="B1785" s="897" t="str">
        <f ca="1">_xlfn.CONCAT(IFERROR(SUBSTITUTE(ADDRESS(1,MATCH(A1785,INDIRECT("'"&amp;E1785&amp;"'"&amp;"!A" &amp; $O$968 + 5 &amp; ":Z" &amp; $O$968 + 5),0),4),1,""),""),$O$968 + 5)</f>
        <v>J300</v>
      </c>
      <c r="C1785" s="897" t="str">
        <f ca="1">_xlfn.CONCAT(IFERROR(SUBSTITUTE(ADDRESS(1,MATCH(A1785,INDIRECT("'"&amp;E1785&amp;"'"&amp;"!A" &amp; $O$968 + 5 &amp; ":Z" &amp; $O$968 + 5),0),4),1,""),""),$O$968 + 6)</f>
        <v>J301</v>
      </c>
      <c r="D1785" s="897" t="s">
        <v>1367</v>
      </c>
      <c r="E1785" s="897" t="s">
        <v>1535</v>
      </c>
      <c r="F1785" s="919" t="s">
        <v>1405</v>
      </c>
      <c r="G1785" s="1418" t="str">
        <f>IF(S1785&lt;&gt;"","D","")</f>
        <v/>
      </c>
      <c r="H1785" s="1418" t="s">
        <v>2075</v>
      </c>
      <c r="I1785" s="241"/>
      <c r="M1785" s="1413"/>
      <c r="R1785" s="1418" t="s">
        <v>395</v>
      </c>
      <c r="S1785" s="1418" t="str">
        <f>IF(Q$968="Yes",17,"")</f>
        <v/>
      </c>
    </row>
    <row r="1786" spans="1:19" s="1411" customFormat="1" x14ac:dyDescent="0.25">
      <c r="A1786" s="1104" t="s">
        <v>1406</v>
      </c>
      <c r="B1786" s="897" t="str">
        <f ca="1">_xlfn.CONCAT(IFERROR(SUBSTITUTE(ADDRESS(1,MATCH(A1786,INDIRECT("'"&amp;E1786&amp;"'"&amp;"!A" &amp; $O$968 + 5 &amp; ":Z" &amp; $O$968 + 5),0),4),1,""),""),$O$968 + 5)</f>
        <v>L300</v>
      </c>
      <c r="C1786" s="897" t="str">
        <f ca="1">_xlfn.CONCAT(IFERROR(SUBSTITUTE(ADDRESS(1,MATCH(A1786,INDIRECT("'"&amp;E1786&amp;"'"&amp;"!A" &amp; $O$968 + 5 &amp; ":Z" &amp; $O$968 + 5),0),4),1,""),""),$O$968 + 6)</f>
        <v>L301</v>
      </c>
      <c r="D1786" s="897" t="s">
        <v>1367</v>
      </c>
      <c r="E1786" s="897" t="s">
        <v>1535</v>
      </c>
      <c r="F1786" s="1424" t="s">
        <v>2077</v>
      </c>
      <c r="G1786" s="1418" t="str">
        <f>IF(S1786&lt;&gt;"","F","")</f>
        <v/>
      </c>
      <c r="H1786" s="1418" t="s">
        <v>2075</v>
      </c>
      <c r="I1786" s="241"/>
      <c r="M1786" s="1413"/>
      <c r="R1786" s="1418" t="s">
        <v>395</v>
      </c>
      <c r="S1786" s="1418" t="str">
        <f>IF(Q$968="Yes",17,"")</f>
        <v/>
      </c>
    </row>
    <row r="1787" spans="1:19" s="1411" customFormat="1" x14ac:dyDescent="0.25">
      <c r="A1787" s="929" t="s">
        <v>1510</v>
      </c>
      <c r="B1787" s="897" t="str">
        <f ca="1">IFERROR(_xlfn.CONCAT("C",MATCH(A1787,INDIRECT("'"&amp;E1787&amp;"'!C"&amp;$O$987&amp;":C"&amp;$O$989),0)+$O$987-1),"")</f>
        <v>C313</v>
      </c>
      <c r="C1787" s="897" t="str">
        <f ca="1">IFERROR(_xlfn.CONCAT("D",MATCH(A1787,INDIRECT("'"&amp;E1787&amp;"'!C"&amp;$O$987&amp;":C"&amp;$O$989),0)+$O$987-1),"")</f>
        <v>D313</v>
      </c>
      <c r="D1787" s="897" t="s">
        <v>1367</v>
      </c>
      <c r="E1787" s="897" t="s">
        <v>1535</v>
      </c>
      <c r="F1787" s="919" t="s">
        <v>1510</v>
      </c>
      <c r="G1787" s="1418" t="str">
        <f>IF(S1787&lt;&gt;"","A","")</f>
        <v/>
      </c>
      <c r="H1787" s="1418" t="s">
        <v>2075</v>
      </c>
      <c r="I1787" s="241"/>
      <c r="M1787" s="1413"/>
      <c r="R1787" s="1418" t="s">
        <v>1715</v>
      </c>
      <c r="S1787" s="1418" t="str">
        <f>IF(Q$987="Yes",18,"")</f>
        <v/>
      </c>
    </row>
    <row r="1788" spans="1:19" s="1411" customFormat="1" x14ac:dyDescent="0.25">
      <c r="A1788" s="929" t="s">
        <v>1400</v>
      </c>
      <c r="B1788" s="897" t="str">
        <f ca="1">IFERROR(_xlfn.CONCAT("C",MATCH(A1788,INDIRECT("'"&amp;E1788&amp;"'!C"&amp;$O$987&amp;":C"&amp;$O$989),0)+$O$987-1),"")</f>
        <v>C311</v>
      </c>
      <c r="C1788" s="897" t="str">
        <f ca="1">IFERROR(_xlfn.CONCAT("D",MATCH(A1788,INDIRECT("'"&amp;E1788&amp;"'!C"&amp;$O$987&amp;":C"&amp;$O$989),0)+$O$987-1),"")</f>
        <v>D311</v>
      </c>
      <c r="D1788" s="897" t="s">
        <v>1367</v>
      </c>
      <c r="E1788" s="897" t="s">
        <v>1535</v>
      </c>
      <c r="F1788" s="919" t="s">
        <v>1400</v>
      </c>
      <c r="G1788" s="1418" t="str">
        <f>IF(S1788&lt;&gt;"","B","")</f>
        <v/>
      </c>
      <c r="H1788" s="1418" t="s">
        <v>2075</v>
      </c>
      <c r="I1788" s="241"/>
      <c r="M1788" s="1413"/>
      <c r="R1788" s="1418" t="s">
        <v>1715</v>
      </c>
      <c r="S1788" s="1418" t="str">
        <f>IF(Q$987="Yes",18,"")</f>
        <v/>
      </c>
    </row>
    <row r="1789" spans="1:19" s="1411" customFormat="1" x14ac:dyDescent="0.25">
      <c r="A1789" s="929" t="s">
        <v>1404</v>
      </c>
      <c r="B1789" s="897" t="str">
        <f ca="1">_xlfn.CONCAT(IFERROR(SUBSTITUTE(ADDRESS(1,MATCH(A1789,INDIRECT("'"&amp;E1789&amp;"'"&amp;"!A" &amp; $O$987 + 5 &amp; ":Z" &amp; $O$987 + 5),0),4),1,""),""),$O$987 + 5)</f>
        <v>H314</v>
      </c>
      <c r="C1789" s="897" t="str">
        <f ca="1">_xlfn.CONCAT(IFERROR(SUBSTITUTE(ADDRESS(1,MATCH(A1789,INDIRECT("'"&amp;E1789&amp;"'"&amp;"!A" &amp; $O$987 + 5 &amp; ":Z" &amp; $O$987 + 5),0),4),1,""),""),$O$987 + 6)</f>
        <v>H315</v>
      </c>
      <c r="D1789" s="897" t="s">
        <v>1367</v>
      </c>
      <c r="E1789" s="897" t="s">
        <v>1535</v>
      </c>
      <c r="F1789" s="919" t="s">
        <v>1404</v>
      </c>
      <c r="G1789" s="1418" t="str">
        <f>IF(S1789&lt;&gt;"","C","")</f>
        <v/>
      </c>
      <c r="H1789" s="1418" t="s">
        <v>2075</v>
      </c>
      <c r="I1789" s="241"/>
      <c r="M1789" s="1413"/>
      <c r="R1789" s="1418" t="s">
        <v>1715</v>
      </c>
      <c r="S1789" s="1418" t="str">
        <f>IF(Q$987="Yes",18,"")</f>
        <v/>
      </c>
    </row>
    <row r="1790" spans="1:19" s="1411" customFormat="1" x14ac:dyDescent="0.25">
      <c r="A1790" s="929" t="s">
        <v>1405</v>
      </c>
      <c r="B1790" s="897" t="str">
        <f ca="1">_xlfn.CONCAT(IFERROR(SUBSTITUTE(ADDRESS(1,MATCH(A1790,INDIRECT("'"&amp;E1790&amp;"'"&amp;"!A" &amp; $O$987 + 5 &amp; ":Z" &amp; $O$987 + 5),0),4),1,""),""),$O$987 + 5)</f>
        <v>J314</v>
      </c>
      <c r="C1790" s="897" t="str">
        <f ca="1">_xlfn.CONCAT(IFERROR(SUBSTITUTE(ADDRESS(1,MATCH(A1790,INDIRECT("'"&amp;E1790&amp;"'"&amp;"!A" &amp; $O$987 + 5 &amp; ":Z" &amp; $O$987 + 5),0),4),1,""),""),$O$987 + 6)</f>
        <v>J315</v>
      </c>
      <c r="D1790" s="897" t="s">
        <v>1367</v>
      </c>
      <c r="E1790" s="897" t="s">
        <v>1535</v>
      </c>
      <c r="F1790" s="919" t="s">
        <v>1405</v>
      </c>
      <c r="G1790" s="1418" t="str">
        <f>IF(S1790&lt;&gt;"","D","")</f>
        <v/>
      </c>
      <c r="H1790" s="1418" t="s">
        <v>2075</v>
      </c>
      <c r="I1790" s="241"/>
      <c r="M1790" s="1413"/>
      <c r="R1790" s="1418" t="s">
        <v>1715</v>
      </c>
      <c r="S1790" s="1418" t="str">
        <f>IF(Q$987="Yes",18,"")</f>
        <v/>
      </c>
    </row>
    <row r="1791" spans="1:19" s="1411" customFormat="1" x14ac:dyDescent="0.25">
      <c r="A1791" s="929" t="s">
        <v>1406</v>
      </c>
      <c r="B1791" s="897" t="str">
        <f ca="1">_xlfn.CONCAT(IFERROR(SUBSTITUTE(ADDRESS(1,MATCH(A1791,INDIRECT("'"&amp;E1791&amp;"'"&amp;"!A" &amp; $O$987 + 5 &amp; ":Z" &amp; $O$987 + 5),0),4),1,""),""),$O$987 + 5)</f>
        <v>L314</v>
      </c>
      <c r="C1791" s="897" t="str">
        <f ca="1">_xlfn.CONCAT(IFERROR(SUBSTITUTE(ADDRESS(1,MATCH(A1791,INDIRECT("'"&amp;E1791&amp;"'"&amp;"!A" &amp; $O$987 + 5 &amp; ":Z" &amp; $O$987 + 5),0),4),1,""),""),$O$987 + 6)</f>
        <v>L315</v>
      </c>
      <c r="D1791" s="897" t="s">
        <v>1367</v>
      </c>
      <c r="E1791" s="897" t="s">
        <v>1535</v>
      </c>
      <c r="F1791" s="1424" t="s">
        <v>2077</v>
      </c>
      <c r="G1791" s="1418" t="str">
        <f>IF(S1791&lt;&gt;"","F","")</f>
        <v/>
      </c>
      <c r="H1791" s="1418" t="s">
        <v>2075</v>
      </c>
      <c r="I1791" s="241"/>
      <c r="M1791" s="1413"/>
      <c r="R1791" s="1418" t="s">
        <v>1715</v>
      </c>
      <c r="S1791" s="1418" t="str">
        <f>IF(Q$987="Yes",18,"")</f>
        <v/>
      </c>
    </row>
    <row r="1792" spans="1:19" s="1411" customFormat="1" x14ac:dyDescent="0.25">
      <c r="A1792" s="926" t="s">
        <v>1510</v>
      </c>
      <c r="B1792" s="897" t="str">
        <f ca="1">IFERROR(_xlfn.CONCAT("C",MATCH(A1792,INDIRECT("'"&amp;E1792&amp;"'!C"&amp;$O$1105&amp;":C"&amp;$O$1107),0)+$O$1105-1),"")</f>
        <v>C439</v>
      </c>
      <c r="C1792" s="897" t="str">
        <f ca="1">IFERROR(_xlfn.CONCAT("D",MATCH(A1792,INDIRECT("'"&amp;E1792&amp;"'!C"&amp;$O$1105&amp;":C"&amp;$O$1107),0)+$O$1105-1),"")</f>
        <v>D439</v>
      </c>
      <c r="D1792" s="897" t="s">
        <v>1367</v>
      </c>
      <c r="E1792" s="897" t="s">
        <v>1535</v>
      </c>
      <c r="F1792" s="897" t="s">
        <v>1510</v>
      </c>
      <c r="G1792" s="897" t="str">
        <f>IF(S1792&lt;&gt;"","A","")</f>
        <v/>
      </c>
      <c r="H1792" s="897" t="s">
        <v>2078</v>
      </c>
      <c r="I1792" s="241"/>
      <c r="M1792" s="1413"/>
      <c r="R1792" s="1418" t="s">
        <v>1105</v>
      </c>
      <c r="S1792" s="1418" t="str">
        <f>IF(Q$1105="Yes",1,"")</f>
        <v/>
      </c>
    </row>
    <row r="1793" spans="1:19" s="1411" customFormat="1" x14ac:dyDescent="0.25">
      <c r="A1793" s="926" t="s">
        <v>1400</v>
      </c>
      <c r="B1793" s="897" t="str">
        <f ca="1">IFERROR(_xlfn.CONCAT("C",MATCH(A1793,INDIRECT("'"&amp;E1793&amp;"'!C"&amp;$O$1105&amp;":C"&amp;$O$1107),0)+$O$1105-1),"")</f>
        <v>C437</v>
      </c>
      <c r="C1793" s="897" t="str">
        <f ca="1">IFERROR(_xlfn.CONCAT("D",MATCH(A1793,INDIRECT("'"&amp;E1793&amp;"'!C"&amp;$O$1105&amp;":C"&amp;$O$1107),0)+$O$1105-1),"")</f>
        <v>D437</v>
      </c>
      <c r="D1793" s="897" t="s">
        <v>1367</v>
      </c>
      <c r="E1793" s="897" t="s">
        <v>1535</v>
      </c>
      <c r="F1793" s="1424" t="s">
        <v>1400</v>
      </c>
      <c r="G1793" s="897" t="str">
        <f>IF(S1793&lt;&gt;"","B","")</f>
        <v/>
      </c>
      <c r="H1793" s="897" t="s">
        <v>2078</v>
      </c>
      <c r="I1793" s="241"/>
      <c r="M1793" s="1413"/>
      <c r="R1793" s="1418" t="s">
        <v>1105</v>
      </c>
      <c r="S1793" s="1418" t="str">
        <f>IF(Q$1105="Yes",1,"")</f>
        <v/>
      </c>
    </row>
    <row r="1794" spans="1:19" s="1411" customFormat="1" x14ac:dyDescent="0.25">
      <c r="A1794" s="926" t="s">
        <v>1500</v>
      </c>
      <c r="B1794" s="897" t="str">
        <f ca="1">_xlfn.CONCAT(IFERROR(SUBSTITUTE(ADDRESS(1,MATCH(A1794,INDIRECT("'"&amp;E1794&amp;"'"&amp;"!A" &amp; $O$1105 + 5 &amp; ":Z" &amp; $O$1105 + 5),0),4),1,""),""),$O$1105+ 6)</f>
        <v>J441</v>
      </c>
      <c r="C1794" s="897" t="str">
        <f t="shared" ref="C1794:C1796" ca="1" si="288">IFERROR(SUBSTITUTE(ADDRESS(1,MATCH(A1794,INDIRECT("'"&amp;E1794&amp;"'"&amp;"!A" &amp; $O$1105 + 5 &amp; ":Z" &amp; $O$1105 + 5),0),4),1,""),"")</f>
        <v>J</v>
      </c>
      <c r="D1794" s="897" t="s">
        <v>1374</v>
      </c>
      <c r="E1794" s="897" t="s">
        <v>1535</v>
      </c>
      <c r="F1794" s="1424" t="s">
        <v>1500</v>
      </c>
      <c r="G1794" s="897" t="str">
        <f>IF(S1794&lt;&gt;"","C","")</f>
        <v/>
      </c>
      <c r="H1794" s="897" t="s">
        <v>2078</v>
      </c>
      <c r="I1794" s="241"/>
      <c r="M1794" s="1413"/>
      <c r="R1794" s="1418" t="s">
        <v>1105</v>
      </c>
      <c r="S1794" s="1418" t="str">
        <f>IF(Q$1105="Yes",1,"")</f>
        <v/>
      </c>
    </row>
    <row r="1795" spans="1:19" s="1411" customFormat="1" x14ac:dyDescent="0.25">
      <c r="A1795" s="926" t="s">
        <v>728</v>
      </c>
      <c r="B1795" s="897" t="str">
        <f ca="1">_xlfn.CONCAT(IFERROR(SUBSTITUTE(ADDRESS(1,MATCH(A1795,INDIRECT("'"&amp;E1795&amp;"'"&amp;"!A" &amp; $O$1105 + 5 &amp; ":Z" &amp; $O$1105 + 5),0),4),1,""),""),$O$1105+ 6)</f>
        <v>L441</v>
      </c>
      <c r="C1795" s="897" t="str">
        <f t="shared" ca="1" si="288"/>
        <v>L</v>
      </c>
      <c r="D1795" s="897" t="s">
        <v>1374</v>
      </c>
      <c r="E1795" s="897" t="s">
        <v>1535</v>
      </c>
      <c r="F1795" s="1424" t="s">
        <v>728</v>
      </c>
      <c r="G1795" s="897" t="str">
        <f>IF(S1795&lt;&gt;"","E","")</f>
        <v/>
      </c>
      <c r="H1795" s="897" t="s">
        <v>2078</v>
      </c>
      <c r="I1795" s="241"/>
      <c r="M1795" s="1413"/>
      <c r="R1795" s="1418" t="s">
        <v>1105</v>
      </c>
      <c r="S1795" s="1418" t="str">
        <f>IF(Q$1105="Yes",1,"")</f>
        <v/>
      </c>
    </row>
    <row r="1796" spans="1:19" s="1411" customFormat="1" x14ac:dyDescent="0.25">
      <c r="A1796" s="926" t="s">
        <v>1501</v>
      </c>
      <c r="B1796" s="897" t="str">
        <f ca="1">_xlfn.CONCAT(IFERROR(SUBSTITUTE(ADDRESS(1,MATCH(A1796,INDIRECT("'"&amp;E1796&amp;"'"&amp;"!A" &amp; $O$1105 + 5 &amp; ":Z" &amp; $O$1105 + 5),0),4),1,""),""),$O$1105+ 6)</f>
        <v>N441</v>
      </c>
      <c r="C1796" s="897" t="str">
        <f t="shared" ca="1" si="288"/>
        <v>N</v>
      </c>
      <c r="D1796" s="897" t="s">
        <v>1374</v>
      </c>
      <c r="E1796" s="897" t="s">
        <v>1535</v>
      </c>
      <c r="F1796" s="1424" t="s">
        <v>1501</v>
      </c>
      <c r="G1796" s="897" t="str">
        <f>IF(S1796&lt;&gt;"","F","")</f>
        <v/>
      </c>
      <c r="H1796" s="897" t="s">
        <v>2078</v>
      </c>
      <c r="I1796" s="241"/>
      <c r="M1796" s="1413"/>
      <c r="R1796" s="1418" t="s">
        <v>1105</v>
      </c>
      <c r="S1796" s="1418" t="str">
        <f>IF(Q$1105="Yes",1,"")</f>
        <v/>
      </c>
    </row>
    <row r="1797" spans="1:19" s="1411" customFormat="1" x14ac:dyDescent="0.25">
      <c r="A1797" s="929" t="s">
        <v>1510</v>
      </c>
      <c r="B1797" s="897" t="str">
        <f ca="1">IFERROR(_xlfn.CONCAT("C",MATCH(A1797,INDIRECT("'"&amp;E1797&amp;"'!C"&amp;$O$1134&amp;":C"&amp;$O$1136),0)+$O$1134-1),"")</f>
        <v>C453</v>
      </c>
      <c r="C1797" s="897" t="str">
        <f ca="1">IFERROR(_xlfn.CONCAT("D",MATCH(A1797,INDIRECT("'"&amp;E1797&amp;"'!C"&amp;$O$1134&amp;":C"&amp;$O$1136),0)+$O$1134-1),"")</f>
        <v>D453</v>
      </c>
      <c r="D1797" s="897" t="s">
        <v>1367</v>
      </c>
      <c r="E1797" s="897" t="s">
        <v>1535</v>
      </c>
      <c r="F1797" s="897" t="s">
        <v>1510</v>
      </c>
      <c r="G1797" s="897" t="str">
        <f>IF(S1797&lt;&gt;"","A","")</f>
        <v/>
      </c>
      <c r="H1797" s="897" t="s">
        <v>2078</v>
      </c>
      <c r="I1797" s="241"/>
      <c r="M1797" s="1413"/>
      <c r="R1797" s="1418" t="s">
        <v>1105</v>
      </c>
      <c r="S1797" s="1418" t="str">
        <f>IF(Q$1134="Yes",2,"")</f>
        <v/>
      </c>
    </row>
    <row r="1798" spans="1:19" s="1411" customFormat="1" x14ac:dyDescent="0.25">
      <c r="A1798" s="929" t="s">
        <v>1400</v>
      </c>
      <c r="B1798" s="897" t="str">
        <f ca="1">IFERROR(_xlfn.CONCAT("C",MATCH(A1798,INDIRECT("'"&amp;E1798&amp;"'!C"&amp;$O$1134&amp;":C"&amp;$O$1136),0)+$O$1134-1),"")</f>
        <v>C451</v>
      </c>
      <c r="C1798" s="897" t="str">
        <f ca="1">IFERROR(_xlfn.CONCAT("D",MATCH(A1798,INDIRECT("'"&amp;E1798&amp;"'!C"&amp;$O$1134&amp;":C"&amp;$O$1136),0)+$O$1134-1),"")</f>
        <v>D451</v>
      </c>
      <c r="D1798" s="897" t="s">
        <v>1367</v>
      </c>
      <c r="E1798" s="897" t="s">
        <v>1535</v>
      </c>
      <c r="F1798" s="1424" t="s">
        <v>1400</v>
      </c>
      <c r="G1798" s="897" t="str">
        <f>IF(S1798&lt;&gt;"","B","")</f>
        <v/>
      </c>
      <c r="H1798" s="897" t="s">
        <v>2078</v>
      </c>
      <c r="I1798" s="241"/>
      <c r="M1798" s="1413"/>
      <c r="R1798" s="1418" t="s">
        <v>1105</v>
      </c>
      <c r="S1798" s="1418" t="str">
        <f>IF(Q$1134="Yes",2,"")</f>
        <v/>
      </c>
    </row>
    <row r="1799" spans="1:19" s="1411" customFormat="1" x14ac:dyDescent="0.25">
      <c r="A1799" s="929" t="s">
        <v>1500</v>
      </c>
      <c r="B1799" s="897" t="str">
        <f ca="1">_xlfn.CONCAT(IFERROR(SUBSTITUTE(ADDRESS(1,MATCH(A1799,INDIRECT("'"&amp;E1799&amp;"'"&amp;"!A" &amp; $O$1134 + 5 &amp; ":Z" &amp; $O$1134 + 5),0),4),1,""),""),$O$1134+ 6)</f>
        <v>J455</v>
      </c>
      <c r="C1799" s="897" t="str">
        <f t="shared" ref="C1799:C1801" ca="1" si="289">IFERROR(SUBSTITUTE(ADDRESS(1,MATCH(A1799,INDIRECT("'"&amp;E1799&amp;"'"&amp;"!A" &amp; $O$1134 + 5 &amp; ":Z" &amp; $O$1134 + 5),0),4),1,""),"")</f>
        <v>J</v>
      </c>
      <c r="D1799" s="897" t="s">
        <v>1374</v>
      </c>
      <c r="E1799" s="897" t="s">
        <v>1535</v>
      </c>
      <c r="F1799" s="1424" t="s">
        <v>1500</v>
      </c>
      <c r="G1799" s="897" t="str">
        <f>IF(S1799&lt;&gt;"","C","")</f>
        <v/>
      </c>
      <c r="H1799" s="897" t="s">
        <v>2078</v>
      </c>
      <c r="I1799" s="241"/>
      <c r="M1799" s="1413"/>
      <c r="R1799" s="1418" t="s">
        <v>1105</v>
      </c>
      <c r="S1799" s="1418" t="str">
        <f>IF(Q$1134="Yes",2,"")</f>
        <v/>
      </c>
    </row>
    <row r="1800" spans="1:19" s="1411" customFormat="1" x14ac:dyDescent="0.25">
      <c r="A1800" s="929" t="s">
        <v>728</v>
      </c>
      <c r="B1800" s="897" t="str">
        <f ca="1">_xlfn.CONCAT(IFERROR(SUBSTITUTE(ADDRESS(1,MATCH(A1800,INDIRECT("'"&amp;E1800&amp;"'"&amp;"!A" &amp; $O$1134 + 5 &amp; ":Z" &amp; $O$1134 + 5),0),4),1,""),""),$O$1134+ 6)</f>
        <v>L455</v>
      </c>
      <c r="C1800" s="897" t="str">
        <f t="shared" ca="1" si="289"/>
        <v>L</v>
      </c>
      <c r="D1800" s="897" t="s">
        <v>1374</v>
      </c>
      <c r="E1800" s="897" t="s">
        <v>1535</v>
      </c>
      <c r="F1800" s="1424" t="s">
        <v>728</v>
      </c>
      <c r="G1800" s="897" t="str">
        <f>IF(S1800&lt;&gt;"","E","")</f>
        <v/>
      </c>
      <c r="H1800" s="897" t="s">
        <v>2078</v>
      </c>
      <c r="I1800" s="241"/>
      <c r="M1800" s="1413"/>
      <c r="R1800" s="1418" t="s">
        <v>1105</v>
      </c>
      <c r="S1800" s="1418" t="str">
        <f>IF(Q$1134="Yes",2,"")</f>
        <v/>
      </c>
    </row>
    <row r="1801" spans="1:19" s="1411" customFormat="1" x14ac:dyDescent="0.25">
      <c r="A1801" s="929" t="s">
        <v>1501</v>
      </c>
      <c r="B1801" s="897" t="str">
        <f ca="1">_xlfn.CONCAT(IFERROR(SUBSTITUTE(ADDRESS(1,MATCH(A1801,INDIRECT("'"&amp;E1801&amp;"'"&amp;"!A" &amp; $O$1134 + 5 &amp; ":Z" &amp; $O$1134 + 5),0),4),1,""),""),$O$1134+ 6)</f>
        <v>N455</v>
      </c>
      <c r="C1801" s="897" t="str">
        <f t="shared" ca="1" si="289"/>
        <v>N</v>
      </c>
      <c r="D1801" s="897" t="s">
        <v>1374</v>
      </c>
      <c r="E1801" s="897" t="s">
        <v>1535</v>
      </c>
      <c r="F1801" s="1424" t="s">
        <v>1501</v>
      </c>
      <c r="G1801" s="897" t="str">
        <f>IF(S1801&lt;&gt;"","F","")</f>
        <v/>
      </c>
      <c r="H1801" s="897" t="s">
        <v>2078</v>
      </c>
      <c r="I1801" s="241"/>
      <c r="M1801" s="1413"/>
      <c r="R1801" s="1418" t="s">
        <v>1105</v>
      </c>
      <c r="S1801" s="1418" t="str">
        <f>IF(Q$1134="Yes",2,"")</f>
        <v/>
      </c>
    </row>
    <row r="1802" spans="1:19" s="1411" customFormat="1" x14ac:dyDescent="0.25">
      <c r="A1802" s="926" t="s">
        <v>1510</v>
      </c>
      <c r="B1802" s="897" t="str">
        <f ca="1">IFERROR(_xlfn.CONCAT("C",MATCH(A1802,INDIRECT("'"&amp;E1802&amp;"'!C"&amp;$O$1163&amp;":C"&amp;$O$1165),0)+$O$1163-1),"")</f>
        <v>C467</v>
      </c>
      <c r="C1802" s="897" t="str">
        <f ca="1">IFERROR(_xlfn.CONCAT("D",MATCH(A1802,INDIRECT("'"&amp;E1802&amp;"'!C"&amp;$O$1163&amp;":C"&amp;$O$1165),0)+$O$1163-1),"")</f>
        <v>D467</v>
      </c>
      <c r="D1802" s="897" t="s">
        <v>1367</v>
      </c>
      <c r="E1802" s="897" t="s">
        <v>1535</v>
      </c>
      <c r="F1802" s="897" t="s">
        <v>1510</v>
      </c>
      <c r="G1802" s="897" t="str">
        <f>IF(S1802&lt;&gt;"","A","")</f>
        <v/>
      </c>
      <c r="H1802" s="897" t="s">
        <v>2078</v>
      </c>
      <c r="I1802" s="241"/>
      <c r="M1802" s="1413"/>
      <c r="R1802" s="1418" t="s">
        <v>1105</v>
      </c>
      <c r="S1802" s="1418" t="str">
        <f>IF(Q$1163="Yes",3,"")</f>
        <v/>
      </c>
    </row>
    <row r="1803" spans="1:19" s="1411" customFormat="1" x14ac:dyDescent="0.25">
      <c r="A1803" s="926" t="s">
        <v>1400</v>
      </c>
      <c r="B1803" s="897" t="str">
        <f ca="1">IFERROR(_xlfn.CONCAT("C",MATCH(A1803,INDIRECT("'"&amp;E1803&amp;"'!C"&amp;$O$1163&amp;":C"&amp;$O$1165),0)+$O$1163-1),"")</f>
        <v>C465</v>
      </c>
      <c r="C1803" s="897" t="str">
        <f ca="1">IFERROR(_xlfn.CONCAT("D",MATCH(A1803,INDIRECT("'"&amp;E1803&amp;"'!C"&amp;$O$1163&amp;":C"&amp;$O$1165),0)+$O$1163-1),"")</f>
        <v>D465</v>
      </c>
      <c r="D1803" s="897" t="s">
        <v>1367</v>
      </c>
      <c r="E1803" s="897" t="s">
        <v>1535</v>
      </c>
      <c r="F1803" s="1424" t="s">
        <v>1400</v>
      </c>
      <c r="G1803" s="897" t="str">
        <f>IF(S1803&lt;&gt;"","B","")</f>
        <v/>
      </c>
      <c r="H1803" s="897" t="s">
        <v>2078</v>
      </c>
      <c r="I1803" s="241"/>
      <c r="M1803" s="1413"/>
      <c r="R1803" s="1418" t="s">
        <v>1105</v>
      </c>
      <c r="S1803" s="1418" t="str">
        <f>IF(Q$1163="Yes",3,"")</f>
        <v/>
      </c>
    </row>
    <row r="1804" spans="1:19" s="1411" customFormat="1" x14ac:dyDescent="0.25">
      <c r="A1804" s="926" t="s">
        <v>1500</v>
      </c>
      <c r="B1804" s="897" t="str">
        <f ca="1">_xlfn.CONCAT(IFERROR(SUBSTITUTE(ADDRESS(1,MATCH(A1804,INDIRECT("'"&amp;E1804&amp;"'"&amp;"!A" &amp; $O$1163 + 5 &amp; ":Z" &amp; $O$1163 + 5),0),4),1,""),""),$O$1163+ 6)</f>
        <v>J469</v>
      </c>
      <c r="C1804" s="897" t="str">
        <f t="shared" ref="C1804:C1806" ca="1" si="290">IFERROR(SUBSTITUTE(ADDRESS(1,MATCH(A1804,INDIRECT("'"&amp;E1804&amp;"'"&amp;"!A" &amp; $O$1163 + 5 &amp; ":Z" &amp; $O$1163 + 5),0),4),1,""),"")</f>
        <v>J</v>
      </c>
      <c r="D1804" s="897" t="s">
        <v>1374</v>
      </c>
      <c r="E1804" s="897" t="s">
        <v>1535</v>
      </c>
      <c r="F1804" s="1424" t="s">
        <v>1500</v>
      </c>
      <c r="G1804" s="897" t="str">
        <f>IF(S1804&lt;&gt;"","C","")</f>
        <v/>
      </c>
      <c r="H1804" s="897" t="s">
        <v>2078</v>
      </c>
      <c r="I1804" s="241"/>
      <c r="M1804" s="1413"/>
      <c r="R1804" s="1418" t="s">
        <v>1105</v>
      </c>
      <c r="S1804" s="1418" t="str">
        <f>IF(Q$1163="Yes",3,"")</f>
        <v/>
      </c>
    </row>
    <row r="1805" spans="1:19" s="1411" customFormat="1" x14ac:dyDescent="0.25">
      <c r="A1805" s="926" t="s">
        <v>728</v>
      </c>
      <c r="B1805" s="897" t="str">
        <f ca="1">_xlfn.CONCAT(IFERROR(SUBSTITUTE(ADDRESS(1,MATCH(A1805,INDIRECT("'"&amp;E1805&amp;"'"&amp;"!A" &amp; $O$1163 + 5 &amp; ":Z" &amp; $O$1163 + 5),0),4),1,""),""),$O$1163+ 6)</f>
        <v>L469</v>
      </c>
      <c r="C1805" s="897" t="str">
        <f t="shared" ca="1" si="290"/>
        <v>L</v>
      </c>
      <c r="D1805" s="897" t="s">
        <v>1374</v>
      </c>
      <c r="E1805" s="897" t="s">
        <v>1535</v>
      </c>
      <c r="F1805" s="1424" t="s">
        <v>728</v>
      </c>
      <c r="G1805" s="897" t="str">
        <f>IF(S1805&lt;&gt;"","E","")</f>
        <v/>
      </c>
      <c r="H1805" s="897" t="s">
        <v>2078</v>
      </c>
      <c r="I1805" s="241"/>
      <c r="M1805" s="1413"/>
      <c r="R1805" s="1418" t="s">
        <v>1105</v>
      </c>
      <c r="S1805" s="1418" t="str">
        <f>IF(Q$1163="Yes",3,"")</f>
        <v/>
      </c>
    </row>
    <row r="1806" spans="1:19" s="1411" customFormat="1" x14ac:dyDescent="0.25">
      <c r="A1806" s="926" t="s">
        <v>1640</v>
      </c>
      <c r="B1806" s="897" t="str">
        <f ca="1">_xlfn.CONCAT(IFERROR(SUBSTITUTE(ADDRESS(1,MATCH(A1806,INDIRECT("'"&amp;E1806&amp;"'"&amp;"!A" &amp; $O$1163 + 5 &amp; ":Z" &amp; $O$1163 + 5),0),4),1,""),""),$O$1163+ 6)</f>
        <v>N469</v>
      </c>
      <c r="C1806" s="897" t="str">
        <f t="shared" ca="1" si="290"/>
        <v>N</v>
      </c>
      <c r="D1806" s="897" t="s">
        <v>1374</v>
      </c>
      <c r="E1806" s="897" t="s">
        <v>1535</v>
      </c>
      <c r="F1806" s="1424" t="s">
        <v>1640</v>
      </c>
      <c r="G1806" s="897" t="str">
        <f>IF(S1806&lt;&gt;"","D","")</f>
        <v/>
      </c>
      <c r="H1806" s="897" t="s">
        <v>2078</v>
      </c>
      <c r="I1806" s="241"/>
      <c r="M1806" s="1413"/>
      <c r="R1806" s="1418" t="s">
        <v>1105</v>
      </c>
      <c r="S1806" s="1418" t="str">
        <f>IF(Q$1163="Yes",3,"")</f>
        <v/>
      </c>
    </row>
    <row r="1807" spans="1:19" s="1411" customFormat="1" x14ac:dyDescent="0.25">
      <c r="A1807" s="929" t="s">
        <v>1510</v>
      </c>
      <c r="B1807" s="897" t="str">
        <f ca="1">IFERROR(_xlfn.CONCAT("C",MATCH(A1807,INDIRECT("'"&amp;E1807&amp;"'!C"&amp;$O$1188&amp;":C"&amp;$O$1190),0)+$O$1188-1),"")</f>
        <v>C481</v>
      </c>
      <c r="C1807" s="897" t="str">
        <f ca="1">IFERROR(_xlfn.CONCAT("D",MATCH(A1807,INDIRECT("'"&amp;E1807&amp;"'!C"&amp;$O$1188&amp;":C"&amp;$O$1190),0)+$O$1188-1),"")</f>
        <v>D481</v>
      </c>
      <c r="D1807" s="897" t="s">
        <v>1367</v>
      </c>
      <c r="E1807" s="897" t="s">
        <v>1535</v>
      </c>
      <c r="F1807" s="897" t="s">
        <v>1510</v>
      </c>
      <c r="G1807" s="897" t="str">
        <f>IF(S1807&lt;&gt;"","A","")</f>
        <v/>
      </c>
      <c r="H1807" s="897" t="s">
        <v>2078</v>
      </c>
      <c r="I1807" s="241"/>
      <c r="M1807" s="1413"/>
      <c r="R1807" s="1418" t="s">
        <v>1105</v>
      </c>
      <c r="S1807" s="1418" t="str">
        <f>IF(Q$1188="Yes",4,"")</f>
        <v/>
      </c>
    </row>
    <row r="1808" spans="1:19" s="1411" customFormat="1" x14ac:dyDescent="0.25">
      <c r="A1808" s="929" t="s">
        <v>1400</v>
      </c>
      <c r="B1808" s="897" t="str">
        <f ca="1">IFERROR(_xlfn.CONCAT("C",MATCH(A1808,INDIRECT("'"&amp;E1808&amp;"'!C"&amp;$O$1188&amp;":C"&amp;$O$1190),0)+$O$1188-1),"")</f>
        <v>C479</v>
      </c>
      <c r="C1808" s="897" t="str">
        <f ca="1">IFERROR(_xlfn.CONCAT("D",MATCH(A1808,INDIRECT("'"&amp;E1808&amp;"'!C"&amp;$O$1188&amp;":C"&amp;$O$1190),0)+$O$1188-1),"")</f>
        <v>D479</v>
      </c>
      <c r="D1808" s="897" t="s">
        <v>1367</v>
      </c>
      <c r="E1808" s="897" t="s">
        <v>1535</v>
      </c>
      <c r="F1808" s="1424" t="s">
        <v>1400</v>
      </c>
      <c r="G1808" s="897" t="str">
        <f>IF(S1808&lt;&gt;"","B","")</f>
        <v/>
      </c>
      <c r="H1808" s="897" t="s">
        <v>2078</v>
      </c>
      <c r="I1808" s="241"/>
      <c r="M1808" s="1413"/>
      <c r="R1808" s="1418" t="s">
        <v>1105</v>
      </c>
      <c r="S1808" s="1418" t="str">
        <f>IF(Q$1188="Yes",4,"")</f>
        <v/>
      </c>
    </row>
    <row r="1809" spans="1:20" s="1411" customFormat="1" x14ac:dyDescent="0.25">
      <c r="A1809" s="929" t="s">
        <v>1500</v>
      </c>
      <c r="B1809" s="897" t="str">
        <f ca="1">_xlfn.CONCAT(IFERROR(SUBSTITUTE(ADDRESS(1,MATCH(A1809,INDIRECT("'"&amp;E1809&amp;"'"&amp;"!A" &amp; $O$1188 + 5 &amp; ":Z" &amp; $O$1188 + 5),0),4),1,""),""),$O$1188+ 6)</f>
        <v>J483</v>
      </c>
      <c r="C1809" s="897" t="str">
        <f t="shared" ref="C1809:C1811" ca="1" si="291">IFERROR(SUBSTITUTE(ADDRESS(1,MATCH(A1809,INDIRECT("'"&amp;E1809&amp;"'"&amp;"!A" &amp; $O$1188 + 5 &amp; ":Z" &amp; $O$1188 + 5),0),4),1,""),"")</f>
        <v>J</v>
      </c>
      <c r="D1809" s="897" t="s">
        <v>1374</v>
      </c>
      <c r="E1809" s="897" t="s">
        <v>1535</v>
      </c>
      <c r="F1809" s="1424" t="s">
        <v>1500</v>
      </c>
      <c r="G1809" s="897" t="str">
        <f>IF(S1809&lt;&gt;"","C","")</f>
        <v/>
      </c>
      <c r="H1809" s="897" t="s">
        <v>2078</v>
      </c>
      <c r="I1809" s="241"/>
      <c r="M1809" s="1413"/>
      <c r="R1809" s="1418" t="s">
        <v>1105</v>
      </c>
      <c r="S1809" s="1418" t="str">
        <f>IF(Q$1188="Yes",4,"")</f>
        <v/>
      </c>
    </row>
    <row r="1810" spans="1:20" s="1411" customFormat="1" x14ac:dyDescent="0.25">
      <c r="A1810" s="929" t="s">
        <v>728</v>
      </c>
      <c r="B1810" s="897" t="str">
        <f ca="1">_xlfn.CONCAT(IFERROR(SUBSTITUTE(ADDRESS(1,MATCH(A1810,INDIRECT("'"&amp;E1810&amp;"'"&amp;"!A" &amp; $O$1188 + 5 &amp; ":Z" &amp; $O$1188 + 5),0),4),1,""),""),$O$1188+ 6)</f>
        <v>L483</v>
      </c>
      <c r="C1810" s="897" t="str">
        <f t="shared" ca="1" si="291"/>
        <v>L</v>
      </c>
      <c r="D1810" s="897" t="s">
        <v>1374</v>
      </c>
      <c r="E1810" s="897" t="s">
        <v>1535</v>
      </c>
      <c r="F1810" s="1424" t="s">
        <v>728</v>
      </c>
      <c r="G1810" s="897" t="str">
        <f>IF(S1810&lt;&gt;"","E","")</f>
        <v/>
      </c>
      <c r="H1810" s="897" t="s">
        <v>2078</v>
      </c>
      <c r="I1810" s="241"/>
      <c r="M1810" s="1413"/>
      <c r="R1810" s="1418" t="s">
        <v>1105</v>
      </c>
      <c r="S1810" s="1418" t="str">
        <f>IF(Q$1188="Yes",4,"")</f>
        <v/>
      </c>
    </row>
    <row r="1811" spans="1:20" s="1411" customFormat="1" x14ac:dyDescent="0.25">
      <c r="A1811" s="929" t="s">
        <v>1640</v>
      </c>
      <c r="B1811" s="897" t="str">
        <f ca="1">_xlfn.CONCAT(IFERROR(SUBSTITUTE(ADDRESS(1,MATCH(A1811,INDIRECT("'"&amp;E1811&amp;"'"&amp;"!A" &amp; $O$1188 + 5 &amp; ":Z" &amp; $O$1188 + 5),0),4),1,""),""),$O$1188+ 6)</f>
        <v>N483</v>
      </c>
      <c r="C1811" s="897" t="str">
        <f t="shared" ca="1" si="291"/>
        <v>N</v>
      </c>
      <c r="D1811" s="897" t="s">
        <v>1374</v>
      </c>
      <c r="E1811" s="897" t="s">
        <v>1535</v>
      </c>
      <c r="F1811" s="1424" t="s">
        <v>1640</v>
      </c>
      <c r="G1811" s="897" t="str">
        <f>IF(S1811&lt;&gt;"","D","")</f>
        <v/>
      </c>
      <c r="H1811" s="897" t="s">
        <v>2078</v>
      </c>
      <c r="I1811" s="241"/>
      <c r="M1811" s="1413"/>
      <c r="R1811" s="1418" t="s">
        <v>1105</v>
      </c>
      <c r="S1811" s="1418" t="str">
        <f>IF(Q$1188="Yes",4,"")</f>
        <v/>
      </c>
    </row>
    <row r="1812" spans="1:20" s="1411" customFormat="1" x14ac:dyDescent="0.25">
      <c r="A1812" s="926" t="s">
        <v>1397</v>
      </c>
      <c r="B1812" s="897" t="str">
        <f ca="1">_xlfn.CONCAT(IFERROR(SUBSTITUTE(ADDRESS(1,MATCH(A1812,INDIRECT("'"&amp;E1812&amp;"'"&amp;"!A" &amp; $O$1005 + 2 &amp; ":Z" &amp; $O$1005 + 2),0),4),1,""),""),$O$1005 + 2)</f>
        <v>H325</v>
      </c>
      <c r="C1812" s="897" t="str">
        <f ca="1">_xlfn.CONCAT(IFERROR(SUBSTITUTE(ADDRESS(1,MATCH(A1812,INDIRECT("'"&amp;E1812&amp;"'"&amp;"!A" &amp; $O$1005 + 2 &amp; ":Z" &amp; $O$1005 + 2),0),4),1,""),""),$O$1005 + 3)</f>
        <v>H326</v>
      </c>
      <c r="D1812" s="897" t="s">
        <v>1367</v>
      </c>
      <c r="E1812" s="897" t="s">
        <v>1535</v>
      </c>
      <c r="F1812" s="1418" t="s">
        <v>1927</v>
      </c>
      <c r="G1812" s="1418" t="str">
        <f>IF(T1812&lt;&gt;"","E","")</f>
        <v/>
      </c>
      <c r="H1812" s="1418" t="s">
        <v>1926</v>
      </c>
      <c r="I1812" s="857"/>
      <c r="J1812" s="1418"/>
      <c r="K1812" s="1418"/>
      <c r="L1812" s="897"/>
      <c r="M1812" s="1419"/>
      <c r="N1812" s="1418"/>
      <c r="R1812" s="1418" t="s">
        <v>481</v>
      </c>
      <c r="T1812" s="1418" t="str">
        <f t="shared" ref="T1812:T1813" si="292">IF(Q$1005="Yes",23,"")</f>
        <v/>
      </c>
    </row>
    <row r="1813" spans="1:20" s="1411" customFormat="1" x14ac:dyDescent="0.25">
      <c r="A1813" s="926" t="s">
        <v>1506</v>
      </c>
      <c r="B1813" s="897" t="str">
        <f ca="1">_xlfn.CONCAT(IFERROR(SUBSTITUTE(ADDRESS(1,MATCH(A1813,INDIRECT("'"&amp;E1813&amp;"'"&amp;"!A" &amp; $O$1005 + 2 &amp; ":Z" &amp; $O$1005 + 2),0),4),1,""),""),$O$1005 + 2)</f>
        <v>R325</v>
      </c>
      <c r="C1813" s="897" t="str">
        <f ca="1">_xlfn.CONCAT(IFERROR(SUBSTITUTE(ADDRESS(1,MATCH(A1813,INDIRECT("'"&amp;E1813&amp;"'"&amp;"!A" &amp; $O$1005 + 2 &amp; ":Z" &amp; $O$1005 + 2),0),4),1,""),""),$O$1005 + 3)</f>
        <v>R326</v>
      </c>
      <c r="D1813" s="897" t="s">
        <v>1367</v>
      </c>
      <c r="E1813" s="897" t="s">
        <v>1535</v>
      </c>
      <c r="F1813" s="1418" t="s">
        <v>1931</v>
      </c>
      <c r="G1813" s="1418" t="str">
        <f>IF(T1813&lt;&gt;"","G","")</f>
        <v/>
      </c>
      <c r="H1813" s="1418" t="s">
        <v>1926</v>
      </c>
      <c r="I1813" s="857"/>
      <c r="J1813" s="1418"/>
      <c r="K1813" s="1418"/>
      <c r="L1813" s="897"/>
      <c r="M1813" s="1419"/>
      <c r="N1813" s="1418"/>
      <c r="R1813" s="1418" t="s">
        <v>481</v>
      </c>
      <c r="T1813" s="1418" t="str">
        <f t="shared" si="292"/>
        <v/>
      </c>
    </row>
    <row r="1814" spans="1:20" s="1411" customFormat="1" x14ac:dyDescent="0.25">
      <c r="A1814" s="1102" t="s">
        <v>1397</v>
      </c>
      <c r="B1814" s="897" t="str">
        <f ca="1">_xlfn.CONCAT(IFERROR(SUBSTITUTE(ADDRESS(1,MATCH(A1814,INDIRECT("'"&amp;E1814&amp;"'"&amp;"!A" &amp; $O$1016 + 2 &amp; ":Z" &amp; $O$1016 + 2),0),4),1,""),""),$O$1016 + 2)</f>
        <v>H339</v>
      </c>
      <c r="C1814" s="897" t="str">
        <f ca="1">_xlfn.CONCAT(IFERROR(SUBSTITUTE(ADDRESS(1,MATCH(A1814,INDIRECT("'"&amp;E1814&amp;"'"&amp;"!A" &amp; $O$1016 + 2 &amp; ":Z" &amp; $O$1016 + 2),0),4),1,""),""),$O$1016 + 3)</f>
        <v>H340</v>
      </c>
      <c r="D1814" s="897" t="s">
        <v>1367</v>
      </c>
      <c r="E1814" s="897" t="s">
        <v>1535</v>
      </c>
      <c r="F1814" s="1418" t="s">
        <v>1927</v>
      </c>
      <c r="G1814" s="1418" t="str">
        <f>IF(T1814&lt;&gt;"","E","")</f>
        <v/>
      </c>
      <c r="H1814" s="1418" t="s">
        <v>1926</v>
      </c>
      <c r="I1814" s="857"/>
      <c r="J1814" s="1418"/>
      <c r="K1814" s="1418"/>
      <c r="L1814" s="897"/>
      <c r="M1814" s="1419"/>
      <c r="N1814" s="1418"/>
      <c r="R1814" s="1418" t="s">
        <v>481</v>
      </c>
      <c r="T1814" s="1418" t="str">
        <f t="shared" ref="T1814:T1815" si="293">IF(Q$1016="Yes",24,"")</f>
        <v/>
      </c>
    </row>
    <row r="1815" spans="1:20" s="1411" customFormat="1" x14ac:dyDescent="0.25">
      <c r="A1815" s="1102" t="s">
        <v>1506</v>
      </c>
      <c r="B1815" s="897" t="str">
        <f ca="1">_xlfn.CONCAT(IFERROR(SUBSTITUTE(ADDRESS(1,MATCH(A1815,INDIRECT("'"&amp;E1815&amp;"'"&amp;"!A" &amp; $O$1016 + 2 &amp; ":Z" &amp; $O$1016 + 2),0),4),1,""),""),$O$1016 + 2)</f>
        <v>R339</v>
      </c>
      <c r="C1815" s="897" t="str">
        <f ca="1">_xlfn.CONCAT(IFERROR(SUBSTITUTE(ADDRESS(1,MATCH(A1815,INDIRECT("'"&amp;E1815&amp;"'"&amp;"!A" &amp; $O$1016 + 2 &amp; ":Z" &amp; $O$1016 + 2),0),4),1,""),""),$O$1016 + 3)</f>
        <v>R340</v>
      </c>
      <c r="D1815" s="897" t="s">
        <v>1367</v>
      </c>
      <c r="E1815" s="897" t="s">
        <v>1535</v>
      </c>
      <c r="F1815" s="1418" t="s">
        <v>1931</v>
      </c>
      <c r="G1815" s="1418" t="str">
        <f>IF(T1815&lt;&gt;"","G","")</f>
        <v/>
      </c>
      <c r="H1815" s="1418" t="s">
        <v>1926</v>
      </c>
      <c r="I1815" s="857"/>
      <c r="J1815" s="1418"/>
      <c r="K1815" s="1418"/>
      <c r="L1815" s="897"/>
      <c r="M1815" s="1419"/>
      <c r="N1815" s="1418"/>
      <c r="R1815" s="1418" t="s">
        <v>481</v>
      </c>
      <c r="T1815" s="1418" t="str">
        <f t="shared" si="293"/>
        <v/>
      </c>
    </row>
    <row r="1816" spans="1:20" s="1411" customFormat="1" x14ac:dyDescent="0.25">
      <c r="A1816" s="926" t="s">
        <v>1397</v>
      </c>
      <c r="B1816" s="897" t="str">
        <f ca="1">_xlfn.CONCAT(IFERROR(SUBSTITUTE(ADDRESS(1,MATCH(A1816,INDIRECT("'"&amp;E1816&amp;"'"&amp;"!A" &amp; $O$1027 + 2 &amp; ":Z" &amp; $O$1027 + 2),0),4),1,""),""),$O$1027+ 2)</f>
        <v>H353</v>
      </c>
      <c r="C1816" s="897" t="str">
        <f ca="1">_xlfn.CONCAT(IFERROR(SUBSTITUTE(ADDRESS(1,MATCH(A1816,INDIRECT("'"&amp;E1816&amp;"'"&amp;"!A" &amp; $O$1027 + 2 &amp; ":Z" &amp; $O$1027 + 2),0),4),1,""),""),$O$1027+ 3)</f>
        <v>H354</v>
      </c>
      <c r="D1816" s="897" t="s">
        <v>1367</v>
      </c>
      <c r="E1816" s="897" t="s">
        <v>1535</v>
      </c>
      <c r="F1816" s="1418" t="s">
        <v>1927</v>
      </c>
      <c r="G1816" s="1418" t="str">
        <f>IF(T1816&lt;&gt;"","E","")</f>
        <v/>
      </c>
      <c r="H1816" s="1418" t="s">
        <v>1926</v>
      </c>
      <c r="I1816" s="857"/>
      <c r="J1816" s="1418"/>
      <c r="K1816" s="1418"/>
      <c r="L1816" s="897"/>
      <c r="M1816" s="1419"/>
      <c r="N1816" s="1418"/>
      <c r="R1816" s="1418" t="s">
        <v>481</v>
      </c>
      <c r="T1816" s="1418" t="str">
        <f>IF(Q$1027="Yes",25,"")</f>
        <v/>
      </c>
    </row>
    <row r="1817" spans="1:20" s="1411" customFormat="1" x14ac:dyDescent="0.25">
      <c r="A1817" s="926" t="s">
        <v>1506</v>
      </c>
      <c r="B1817" s="897" t="str">
        <f ca="1">_xlfn.CONCAT(IFERROR(SUBSTITUTE(ADDRESS(1,MATCH(A1817,INDIRECT("'"&amp;E1817&amp;"'"&amp;"!A" &amp; $O$1027 + 2 &amp; ":Z" &amp; $O$1027 + 2),0),4),1,""),""),$O$1027+ 2)</f>
        <v>R353</v>
      </c>
      <c r="C1817" s="897" t="str">
        <f ca="1">_xlfn.CONCAT(IFERROR(SUBSTITUTE(ADDRESS(1,MATCH(A1817,INDIRECT("'"&amp;E1817&amp;"'"&amp;"!A" &amp; $O$1027 + 2 &amp; ":Z" &amp; $O$1027 + 2),0),4),1,""),""),$O$1027+ 3)</f>
        <v>R354</v>
      </c>
      <c r="D1817" s="897" t="s">
        <v>1367</v>
      </c>
      <c r="E1817" s="897" t="s">
        <v>1535</v>
      </c>
      <c r="F1817" s="1418" t="s">
        <v>1931</v>
      </c>
      <c r="G1817" s="1418" t="str">
        <f>IF(T1817&lt;&gt;"","G","")</f>
        <v/>
      </c>
      <c r="H1817" s="1418" t="s">
        <v>1926</v>
      </c>
      <c r="I1817" s="857"/>
      <c r="J1817" s="1418"/>
      <c r="K1817" s="1418"/>
      <c r="L1817" s="897"/>
      <c r="M1817" s="1419"/>
      <c r="N1817" s="1418"/>
      <c r="R1817" s="1418" t="s">
        <v>481</v>
      </c>
      <c r="T1817" s="1418" t="str">
        <f>IF(Q$1027="Yes",25,"")</f>
        <v/>
      </c>
    </row>
    <row r="1818" spans="1:20" s="1411" customFormat="1" x14ac:dyDescent="0.25">
      <c r="A1818" s="1102" t="s">
        <v>1397</v>
      </c>
      <c r="B1818" s="897" t="str">
        <f t="shared" ref="B1818" ca="1" si="294">_xlfn.CONCAT(IFERROR(SUBSTITUTE(ADDRESS(1,MATCH(A1818,INDIRECT("'"&amp;E1818&amp;"'"&amp;"!A" &amp; $O$1038 + 2 &amp; ":Z" &amp; $O$1038 + 2),0),4),1,""),""),$O$1038+ 2)</f>
        <v>H367</v>
      </c>
      <c r="C1818" s="897" t="str">
        <f t="shared" ref="C1818" ca="1" si="295">_xlfn.CONCAT(IFERROR(SUBSTITUTE(ADDRESS(1,MATCH(A1818,INDIRECT("'"&amp;E1818&amp;"'"&amp;"!A" &amp; $O$1038 + 2 &amp; ":Z" &amp; $O$1038 + 2),0),4),1,""),""),$O$1038+ 3)</f>
        <v>H368</v>
      </c>
      <c r="D1818" s="897" t="s">
        <v>1367</v>
      </c>
      <c r="E1818" s="897" t="s">
        <v>1535</v>
      </c>
      <c r="F1818" s="1418" t="s">
        <v>1927</v>
      </c>
      <c r="G1818" s="1418" t="str">
        <f>IF(T1818&lt;&gt;"","E","")</f>
        <v/>
      </c>
      <c r="H1818" s="1418" t="s">
        <v>1926</v>
      </c>
      <c r="I1818" s="857"/>
      <c r="J1818" s="1418"/>
      <c r="K1818" s="1418"/>
      <c r="L1818" s="897" t="s">
        <v>1397</v>
      </c>
      <c r="M1818" s="1419">
        <v>1205</v>
      </c>
      <c r="N1818" s="1418"/>
      <c r="R1818" s="1418" t="s">
        <v>1142</v>
      </c>
      <c r="T1818" s="1418" t="str">
        <f t="shared" ref="T1818" si="296">IF(Q$1038="Yes",26,"")</f>
        <v/>
      </c>
    </row>
    <row r="1819" spans="1:20" s="1411" customFormat="1" x14ac:dyDescent="0.25">
      <c r="A1819" s="926" t="s">
        <v>1414</v>
      </c>
      <c r="B1819" s="897" t="str">
        <f ca="1">_xlfn.CONCAT(IFERROR(SUBSTITUTE(ADDRESS(1,MATCH(A1819,INDIRECT("'"&amp;E1819&amp;"'"&amp;"!A" &amp; $O$1052 + 2 &amp; ":Z" &amp; $O$1052 + 2),0),4),1,""),""),$O$1052+ 2)</f>
        <v>L381</v>
      </c>
      <c r="C1819" s="897" t="str">
        <f ca="1">_xlfn.CONCAT(IFERROR(SUBSTITUTE(ADDRESS(1,MATCH(A1819,INDIRECT("'"&amp;E1819&amp;"'"&amp;"!A" &amp; $O$1052 + 2 &amp; ":Z" &amp; $O$1052 + 2),0),4),1,""),""),$O$1052+ 3)</f>
        <v>L382</v>
      </c>
      <c r="D1819" s="897" t="s">
        <v>1367</v>
      </c>
      <c r="E1819" s="897" t="s">
        <v>1535</v>
      </c>
      <c r="F1819" s="1418" t="s">
        <v>1929</v>
      </c>
      <c r="G1819" s="1418" t="str">
        <f>IF(T1819&lt;&gt;"","H","")</f>
        <v/>
      </c>
      <c r="H1819" s="1418" t="s">
        <v>1926</v>
      </c>
      <c r="I1819" s="857"/>
      <c r="J1819" s="1418"/>
      <c r="K1819" s="1418"/>
      <c r="L1819" s="897"/>
      <c r="M1819" s="1419"/>
      <c r="N1819" s="1418"/>
      <c r="R1819" s="1418" t="s">
        <v>1719</v>
      </c>
      <c r="T1819" s="1418" t="str">
        <f t="shared" ref="T1819:T1821" si="297">IF(Q$1052="Yes",27,"")</f>
        <v/>
      </c>
    </row>
    <row r="1820" spans="1:20" s="1411" customFormat="1" x14ac:dyDescent="0.25">
      <c r="A1820" s="926" t="s">
        <v>1397</v>
      </c>
      <c r="B1820" s="897" t="str">
        <f ca="1">_xlfn.CONCAT(IFERROR(SUBSTITUTE(ADDRESS(1,MATCH(A1820,INDIRECT("'"&amp;E1820&amp;"'"&amp;"!A" &amp; $O$1052 + 2 &amp; ":Z" &amp; $O$1052 + 2),0),4),1,""),""),$O$1052+ 2)</f>
        <v>H381</v>
      </c>
      <c r="C1820" s="897" t="str">
        <f ca="1">_xlfn.CONCAT(IFERROR(SUBSTITUTE(ADDRESS(1,MATCH(A1820,INDIRECT("'"&amp;E1820&amp;"'"&amp;"!A" &amp; $O$1052 + 2 &amp; ":Z" &amp; $O$1052 + 2),0),4),1,""),""),$O$1052+ 3)</f>
        <v>H382</v>
      </c>
      <c r="D1820" s="897" t="s">
        <v>1367</v>
      </c>
      <c r="E1820" s="897" t="s">
        <v>1535</v>
      </c>
      <c r="F1820" s="1418" t="s">
        <v>1927</v>
      </c>
      <c r="G1820" s="1418" t="str">
        <f>IF(T1820&lt;&gt;"","E","")</f>
        <v/>
      </c>
      <c r="H1820" s="1418" t="s">
        <v>1926</v>
      </c>
      <c r="I1820" s="857"/>
      <c r="J1820" s="1418"/>
      <c r="K1820" s="1418"/>
      <c r="L1820" s="897"/>
      <c r="M1820" s="1419"/>
      <c r="N1820" s="1418"/>
      <c r="R1820" s="1418" t="s">
        <v>1719</v>
      </c>
      <c r="T1820" s="1418" t="str">
        <f t="shared" si="297"/>
        <v/>
      </c>
    </row>
    <row r="1821" spans="1:20" s="1411" customFormat="1" x14ac:dyDescent="0.25">
      <c r="A1821" s="926" t="s">
        <v>1506</v>
      </c>
      <c r="B1821" s="897" t="str">
        <f ca="1">_xlfn.CONCAT(IFERROR(SUBSTITUTE(ADDRESS(1,MATCH(A1821,INDIRECT("'"&amp;E1821&amp;"'"&amp;"!A" &amp; $O$1052 + 2 &amp; ":Z" &amp; $O$1052 + 2),0),4),1,""),""),$O$1052+ 2)</f>
        <v>R381</v>
      </c>
      <c r="C1821" s="897" t="str">
        <f ca="1">_xlfn.CONCAT(IFERROR(SUBSTITUTE(ADDRESS(1,MATCH(A1821,INDIRECT("'"&amp;E1821&amp;"'"&amp;"!A" &amp; $O$1052 + 2 &amp; ":Z" &amp; $O$1052 + 2),0),4),1,""),""),$O$1052+ 3)</f>
        <v>R382</v>
      </c>
      <c r="D1821" s="897" t="s">
        <v>1367</v>
      </c>
      <c r="E1821" s="897" t="s">
        <v>1535</v>
      </c>
      <c r="F1821" s="1418" t="s">
        <v>1931</v>
      </c>
      <c r="G1821" s="1418" t="str">
        <f>IF(T1821&lt;&gt;"","G","")</f>
        <v/>
      </c>
      <c r="H1821" s="1418" t="s">
        <v>1926</v>
      </c>
      <c r="I1821" s="857"/>
      <c r="J1821" s="1418"/>
      <c r="K1821" s="1418"/>
      <c r="L1821" s="897"/>
      <c r="M1821" s="1419"/>
      <c r="N1821" s="1418"/>
      <c r="R1821" s="1418" t="s">
        <v>1719</v>
      </c>
      <c r="T1821" s="1418" t="str">
        <f t="shared" si="297"/>
        <v/>
      </c>
    </row>
    <row r="1822" spans="1:20" s="1411" customFormat="1" x14ac:dyDescent="0.25">
      <c r="A1822" s="1102" t="s">
        <v>1414</v>
      </c>
      <c r="B1822" s="897" t="str">
        <f ca="1">_xlfn.CONCAT(IFERROR(SUBSTITUTE(ADDRESS(1,MATCH(A1822,INDIRECT("'"&amp;E1822&amp;"'"&amp;"!A" &amp; $O$1069 + 2 &amp; ":Z" &amp; $O$1069 + 2),0),4),1,""),""),$O$1069+ 2)</f>
        <v>L395</v>
      </c>
      <c r="C1822" s="897" t="str">
        <f ca="1">_xlfn.CONCAT(IFERROR(SUBSTITUTE(ADDRESS(1,MATCH(A1822,INDIRECT("'"&amp;E1822&amp;"'"&amp;"!A" &amp; $O$1069 + 2 &amp; ":Z" &amp; $O$1069 + 2),0),4),1,""),""),$O$1069+ 3)</f>
        <v>L396</v>
      </c>
      <c r="D1822" s="897" t="s">
        <v>1367</v>
      </c>
      <c r="E1822" s="897" t="s">
        <v>1535</v>
      </c>
      <c r="F1822" s="1418" t="s">
        <v>1929</v>
      </c>
      <c r="G1822" s="1418" t="str">
        <f>IF(T1822&lt;&gt;"","H","")</f>
        <v/>
      </c>
      <c r="H1822" s="1418" t="s">
        <v>1926</v>
      </c>
      <c r="I1822" s="857"/>
      <c r="J1822" s="1418"/>
      <c r="K1822" s="1418"/>
      <c r="L1822" s="897"/>
      <c r="M1822" s="1419"/>
      <c r="N1822" s="1418"/>
      <c r="R1822" s="1418" t="s">
        <v>1719</v>
      </c>
      <c r="T1822" s="1418" t="str">
        <f t="shared" ref="T1822:T1823" si="298">IF(Q$1069="Yes",28,"")</f>
        <v/>
      </c>
    </row>
    <row r="1823" spans="1:20" s="1411" customFormat="1" x14ac:dyDescent="0.25">
      <c r="A1823" s="1102" t="s">
        <v>1506</v>
      </c>
      <c r="B1823" s="897" t="str">
        <f ca="1">_xlfn.CONCAT(IFERROR(SUBSTITUTE(ADDRESS(1,MATCH(A1823,INDIRECT("'"&amp;E1823&amp;"'"&amp;"!A" &amp; $O$1069 + 2 &amp; ":Z" &amp; $O$1069 + 2),0),4),1,""),""),$O$1069+ 2)</f>
        <v>R395</v>
      </c>
      <c r="C1823" s="897" t="str">
        <f ca="1">_xlfn.CONCAT(IFERROR(SUBSTITUTE(ADDRESS(1,MATCH(A1823,INDIRECT("'"&amp;E1823&amp;"'"&amp;"!A" &amp; $O$1069 + 2 &amp; ":Z" &amp; $O$1069 + 2),0),4),1,""),""),$O$1069+ 3)</f>
        <v>R396</v>
      </c>
      <c r="D1823" s="897" t="s">
        <v>1367</v>
      </c>
      <c r="E1823" s="897" t="s">
        <v>1535</v>
      </c>
      <c r="F1823" s="1418" t="s">
        <v>1931</v>
      </c>
      <c r="G1823" s="1418" t="str">
        <f>IF(T1823&lt;&gt;"","G","")</f>
        <v/>
      </c>
      <c r="H1823" s="1418" t="s">
        <v>1926</v>
      </c>
      <c r="I1823" s="857"/>
      <c r="J1823" s="1418"/>
      <c r="K1823" s="1418"/>
      <c r="L1823" s="897"/>
      <c r="M1823" s="1419"/>
      <c r="N1823" s="1418"/>
      <c r="R1823" s="1418" t="s">
        <v>1719</v>
      </c>
      <c r="T1823" s="1418" t="str">
        <f t="shared" si="298"/>
        <v/>
      </c>
    </row>
    <row r="1824" spans="1:20" s="1411" customFormat="1" x14ac:dyDescent="0.25">
      <c r="A1824" s="926" t="s">
        <v>1414</v>
      </c>
      <c r="B1824" s="897" t="str">
        <f ca="1">_xlfn.CONCAT(IFERROR(SUBSTITUTE(ADDRESS(1,MATCH(A1824,INDIRECT("'"&amp;E1824&amp;"'"&amp;"!A" &amp; $O$1085 + 2 &amp; ":Z" &amp; $O$1085 + 2),0),4),1,""),""),$O$1085+ 2)</f>
        <v>L409</v>
      </c>
      <c r="C1824" s="897" t="str">
        <f ca="1">_xlfn.CONCAT(IFERROR(SUBSTITUTE(ADDRESS(1,MATCH(A1824,INDIRECT("'"&amp;E1824&amp;"'"&amp;"!A" &amp; $O$1085 + 2 &amp; ":Z" &amp; $O$1085 + 2),0),4),1,""),""),$O$1085+ 3)</f>
        <v>L410</v>
      </c>
      <c r="D1824" s="897" t="s">
        <v>1367</v>
      </c>
      <c r="E1824" s="897" t="s">
        <v>1535</v>
      </c>
      <c r="F1824" s="1418" t="s">
        <v>1929</v>
      </c>
      <c r="G1824" s="1418" t="str">
        <f>IF(T1824&lt;&gt;"","H","")</f>
        <v/>
      </c>
      <c r="H1824" s="1418" t="s">
        <v>1926</v>
      </c>
      <c r="I1824" s="857"/>
      <c r="J1824" s="1418"/>
      <c r="K1824" s="1418"/>
      <c r="L1824" s="897"/>
      <c r="M1824" s="1419"/>
      <c r="N1824" s="1418"/>
      <c r="R1824" s="1418" t="s">
        <v>1105</v>
      </c>
      <c r="T1824" s="1418" t="str">
        <f t="shared" ref="T1824:T1825" si="299">IF(Q$1085="Yes",29,"")</f>
        <v/>
      </c>
    </row>
    <row r="1825" spans="1:20" s="1411" customFormat="1" x14ac:dyDescent="0.25">
      <c r="A1825" s="926" t="s">
        <v>1506</v>
      </c>
      <c r="B1825" s="897" t="str">
        <f ca="1">_xlfn.CONCAT(IFERROR(SUBSTITUTE(ADDRESS(1,MATCH(A1825,INDIRECT("'"&amp;E1825&amp;"'"&amp;"!A" &amp; $O$1085 + 2 &amp; ":Z" &amp; $O$1085 + 2),0),4),1,""),""),$O$1085+ 2)</f>
        <v>R409</v>
      </c>
      <c r="C1825" s="897" t="str">
        <f ca="1">_xlfn.CONCAT(IFERROR(SUBSTITUTE(ADDRESS(1,MATCH(A1825,INDIRECT("'"&amp;E1825&amp;"'"&amp;"!A" &amp; $O$1085 + 2 &amp; ":Z" &amp; $O$1085 + 2),0),4),1,""),""),$O$1085+ 3)</f>
        <v>R410</v>
      </c>
      <c r="D1825" s="897" t="s">
        <v>1367</v>
      </c>
      <c r="E1825" s="897" t="s">
        <v>1535</v>
      </c>
      <c r="F1825" s="1418" t="s">
        <v>1931</v>
      </c>
      <c r="G1825" s="1418" t="str">
        <f>IF(T1825&lt;&gt;"","G","")</f>
        <v/>
      </c>
      <c r="H1825" s="1418" t="s">
        <v>1926</v>
      </c>
      <c r="I1825" s="857"/>
      <c r="J1825" s="1418"/>
      <c r="K1825" s="1418"/>
      <c r="L1825" s="897"/>
      <c r="M1825" s="1419"/>
      <c r="N1825" s="1418"/>
      <c r="R1825" s="1418" t="s">
        <v>1105</v>
      </c>
      <c r="T1825" s="1418" t="str">
        <f t="shared" si="299"/>
        <v/>
      </c>
    </row>
    <row r="1826" spans="1:20" s="1411" customFormat="1" x14ac:dyDescent="0.25">
      <c r="A1826" s="1102" t="s">
        <v>1414</v>
      </c>
      <c r="B1826" s="897" t="str">
        <f ca="1">_xlfn.CONCAT(IFERROR(SUBSTITUTE(ADDRESS(1,MATCH(A1826,INDIRECT("'"&amp;E1826&amp;"'"&amp;"!A" &amp; $O$1095 + 2 &amp; ":Z" &amp; $O$1095 + 2),0),4),1,""),""),$O$1095+ 2)</f>
        <v>L423</v>
      </c>
      <c r="C1826" s="897" t="str">
        <f ca="1">_xlfn.CONCAT(IFERROR(SUBSTITUTE(ADDRESS(1,MATCH(A1826,INDIRECT("'"&amp;E1826&amp;"'"&amp;"!A" &amp; $O$1095 + 2 &amp; ":Z" &amp; $O$1095 + 2),0),4),1,""),""),$O$1095+ 3)</f>
        <v>L424</v>
      </c>
      <c r="D1826" s="897" t="s">
        <v>1367</v>
      </c>
      <c r="E1826" s="897" t="s">
        <v>1535</v>
      </c>
      <c r="F1826" s="1418" t="s">
        <v>1929</v>
      </c>
      <c r="G1826" s="1418" t="str">
        <f>IF(T1826&lt;&gt;"","H","")</f>
        <v/>
      </c>
      <c r="H1826" s="1418" t="s">
        <v>1926</v>
      </c>
      <c r="I1826" s="857"/>
      <c r="J1826" s="1418"/>
      <c r="K1826" s="1418"/>
      <c r="L1826" s="897"/>
      <c r="M1826" s="1419"/>
      <c r="N1826" s="1418"/>
      <c r="R1826" s="1418" t="s">
        <v>1105</v>
      </c>
      <c r="T1826" s="1418" t="str">
        <f t="shared" ref="T1826:T1827" si="300">IF(Q$1095="Yes",30,"")</f>
        <v/>
      </c>
    </row>
    <row r="1827" spans="1:20" s="1411" customFormat="1" x14ac:dyDescent="0.25">
      <c r="A1827" s="1102" t="s">
        <v>1506</v>
      </c>
      <c r="B1827" s="897" t="str">
        <f ca="1">_xlfn.CONCAT(IFERROR(SUBSTITUTE(ADDRESS(1,MATCH(A1827,INDIRECT("'"&amp;E1827&amp;"'"&amp;"!A" &amp; $O$1095 + 2 &amp; ":Z" &amp; $O$1095 + 2),0),4),1,""),""),$O$1095+ 2)</f>
        <v>R423</v>
      </c>
      <c r="C1827" s="897" t="str">
        <f ca="1">_xlfn.CONCAT(IFERROR(SUBSTITUTE(ADDRESS(1,MATCH(A1827,INDIRECT("'"&amp;E1827&amp;"'"&amp;"!A" &amp; $O$1095 + 2 &amp; ":Z" &amp; $O$1095 + 2),0),4),1,""),""),$O$1095+ 3)</f>
        <v>R424</v>
      </c>
      <c r="D1827" s="897" t="s">
        <v>1367</v>
      </c>
      <c r="E1827" s="897" t="s">
        <v>1535</v>
      </c>
      <c r="F1827" s="1418" t="s">
        <v>1931</v>
      </c>
      <c r="G1827" s="1418" t="str">
        <f>IF(T1827&lt;&gt;"","G","")</f>
        <v/>
      </c>
      <c r="H1827" s="1418" t="s">
        <v>1926</v>
      </c>
      <c r="I1827" s="857"/>
      <c r="J1827" s="1418"/>
      <c r="K1827" s="1418"/>
      <c r="L1827" s="897"/>
      <c r="M1827" s="1419"/>
      <c r="N1827" s="1418"/>
      <c r="R1827" s="1418" t="s">
        <v>1105</v>
      </c>
      <c r="T1827" s="1418" t="str">
        <f t="shared" si="300"/>
        <v/>
      </c>
    </row>
    <row r="1828" spans="1:20" s="1411" customFormat="1" x14ac:dyDescent="0.25">
      <c r="A1828" s="926" t="s">
        <v>1414</v>
      </c>
      <c r="B1828" s="897" t="str">
        <f ca="1">_xlfn.CONCAT(IFERROR(SUBSTITUTE(ADDRESS(1,MATCH(A1828,INDIRECT("'"&amp;E1828&amp;"'"&amp;"!A" &amp; $O$1105 + 2 &amp; ":Z" &amp; $O$1105 + 2),0),4),1,""),""),$O$1105+ 2)</f>
        <v>L437</v>
      </c>
      <c r="C1828" s="897" t="str">
        <f ca="1">_xlfn.CONCAT(IFERROR(SUBSTITUTE(ADDRESS(1,MATCH(A1828,INDIRECT("'"&amp;E1828&amp;"'"&amp;"!A" &amp; $O$1105 + 2 &amp; ":Z" &amp; $O$1105 + 2),0),4),1,""),""),$O$1105+ 3)</f>
        <v>L438</v>
      </c>
      <c r="D1828" s="897" t="s">
        <v>1367</v>
      </c>
      <c r="E1828" s="897" t="s">
        <v>1535</v>
      </c>
      <c r="F1828" s="1418" t="s">
        <v>1929</v>
      </c>
      <c r="G1828" s="1418" t="str">
        <f>IF(T1828&lt;&gt;"","H","")</f>
        <v/>
      </c>
      <c r="H1828" s="1418" t="s">
        <v>1926</v>
      </c>
      <c r="I1828" s="857"/>
      <c r="J1828" s="1418"/>
      <c r="K1828" s="1418"/>
      <c r="L1828" s="897"/>
      <c r="M1828" s="1419"/>
      <c r="N1828" s="1418"/>
      <c r="R1828" s="1418" t="s">
        <v>1105</v>
      </c>
      <c r="T1828" s="1418" t="str">
        <f t="shared" ref="T1828:T1829" si="301">IF(Q$1105="Yes",31,"")</f>
        <v/>
      </c>
    </row>
    <row r="1829" spans="1:20" s="1411" customFormat="1" x14ac:dyDescent="0.25">
      <c r="A1829" s="926" t="s">
        <v>1505</v>
      </c>
      <c r="B1829" s="897" t="str">
        <f ca="1">_xlfn.CONCAT(IFERROR(SUBSTITUTE(ADDRESS(1,MATCH(A1829,INDIRECT("'"&amp;E1829&amp;"'"&amp;"!A" &amp; $O$1105 + 2 &amp; ":Z" &amp; $O$1105 + 2),0),4),1,""),""),$O$1105+ 2)</f>
        <v>P437</v>
      </c>
      <c r="C1829" s="897" t="str">
        <f ca="1">_xlfn.CONCAT(IFERROR(SUBSTITUTE(ADDRESS(1,MATCH(A1829,INDIRECT("'"&amp;E1829&amp;"'"&amp;"!A" &amp; $O$1105 + 2 &amp; ":Z" &amp; $O$1105 + 2),0),4),1,""),""),$O$1105+ 3)</f>
        <v>P438</v>
      </c>
      <c r="D1829" s="897" t="s">
        <v>1367</v>
      </c>
      <c r="E1829" s="897" t="s">
        <v>1535</v>
      </c>
      <c r="F1829" s="1418" t="s">
        <v>1930</v>
      </c>
      <c r="G1829" s="1418" t="str">
        <f>IF(T1829&lt;&gt;"","F","")</f>
        <v/>
      </c>
      <c r="H1829" s="1418" t="s">
        <v>1926</v>
      </c>
      <c r="I1829" s="857" t="str">
        <f t="shared" ref="I1829:I1831" si="302">IF(J1829&lt;&gt;"",A1829,"")</f>
        <v/>
      </c>
      <c r="J1829" s="1418"/>
      <c r="K1829" s="1418" t="str">
        <f t="shared" ref="K1829:K1831" si="303">IF(J1829&lt;&gt;"",E1829,"")</f>
        <v/>
      </c>
      <c r="L1829" s="897"/>
      <c r="M1829" s="1419"/>
      <c r="N1829" s="1418"/>
      <c r="R1829" s="1418" t="s">
        <v>1105</v>
      </c>
      <c r="T1829" s="1418" t="str">
        <f t="shared" si="301"/>
        <v/>
      </c>
    </row>
    <row r="1830" spans="1:20" s="1411" customFormat="1" x14ac:dyDescent="0.25">
      <c r="A1830" s="1102" t="s">
        <v>1414</v>
      </c>
      <c r="B1830" s="897" t="str">
        <f ca="1">_xlfn.CONCAT(IFERROR(SUBSTITUTE(ADDRESS(1,MATCH(A1830,INDIRECT("'"&amp;E1830&amp;"'"&amp;"!A" &amp; $O$1134 + 2 &amp; ":Z" &amp; $O$1134 + 2),0),4),1,""),""),$O$1134+ 2)</f>
        <v>L451</v>
      </c>
      <c r="C1830" s="897" t="str">
        <f ca="1">_xlfn.CONCAT(IFERROR(SUBSTITUTE(ADDRESS(1,MATCH(A1830,INDIRECT("'"&amp;E1830&amp;"'"&amp;"!A" &amp; $O$1134 + 2 &amp; ":Z" &amp; $O$1134 + 2),0),4),1,""),""),$O$1134+ 3)</f>
        <v>L452</v>
      </c>
      <c r="D1830" s="897" t="s">
        <v>1367</v>
      </c>
      <c r="E1830" s="897" t="s">
        <v>1535</v>
      </c>
      <c r="F1830" s="1418" t="s">
        <v>1929</v>
      </c>
      <c r="G1830" s="1418" t="str">
        <f>IF(T1830&lt;&gt;"","H","")</f>
        <v/>
      </c>
      <c r="H1830" s="1418" t="s">
        <v>1926</v>
      </c>
      <c r="I1830" s="857"/>
      <c r="J1830" s="1418"/>
      <c r="K1830" s="1418"/>
      <c r="L1830" s="897"/>
      <c r="M1830" s="1419"/>
      <c r="N1830" s="1418"/>
      <c r="R1830" s="1418" t="s">
        <v>1105</v>
      </c>
      <c r="T1830" s="1418" t="str">
        <f t="shared" ref="T1830:T1831" si="304">IF(Q$1134="Yes",32,"")</f>
        <v/>
      </c>
    </row>
    <row r="1831" spans="1:20" s="1411" customFormat="1" x14ac:dyDescent="0.25">
      <c r="A1831" s="929" t="s">
        <v>1505</v>
      </c>
      <c r="B1831" s="897" t="str">
        <f ca="1">_xlfn.CONCAT(IFERROR(SUBSTITUTE(ADDRESS(1,MATCH(A1831,INDIRECT("'"&amp;E1831&amp;"'"&amp;"!A" &amp; $O$1134 + 2 &amp; ":Z" &amp; $O$1134 + 2),0),4),1,""),""),$O$1134+ 2)</f>
        <v>P451</v>
      </c>
      <c r="C1831" s="897" t="str">
        <f ca="1">_xlfn.CONCAT(IFERROR(SUBSTITUTE(ADDRESS(1,MATCH(A1831,INDIRECT("'"&amp;E1831&amp;"'"&amp;"!A" &amp; $O$1134 + 2 &amp; ":Z" &amp; $O$1134 + 2),0),4),1,""),""),$O$1134+ 3)</f>
        <v>P452</v>
      </c>
      <c r="D1831" s="897" t="s">
        <v>1367</v>
      </c>
      <c r="E1831" s="897" t="s">
        <v>1535</v>
      </c>
      <c r="F1831" s="1418" t="s">
        <v>1930</v>
      </c>
      <c r="G1831" s="1418" t="str">
        <f>IF(T1831&lt;&gt;"","F","")</f>
        <v/>
      </c>
      <c r="H1831" s="1418" t="s">
        <v>1926</v>
      </c>
      <c r="I1831" s="857" t="str">
        <f t="shared" si="302"/>
        <v/>
      </c>
      <c r="J1831" s="1418"/>
      <c r="K1831" s="1418" t="str">
        <f t="shared" si="303"/>
        <v/>
      </c>
      <c r="L1831" s="897"/>
      <c r="M1831" s="1419"/>
      <c r="N1831" s="1418"/>
      <c r="R1831" s="1418" t="s">
        <v>1105</v>
      </c>
      <c r="T1831" s="1418" t="str">
        <f t="shared" si="304"/>
        <v/>
      </c>
    </row>
    <row r="1832" spans="1:20" s="1411" customFormat="1" x14ac:dyDescent="0.25">
      <c r="A1832" s="926" t="s">
        <v>1397</v>
      </c>
      <c r="B1832" s="897" t="str">
        <f ca="1">_xlfn.CONCAT(IFERROR(SUBSTITUTE(ADDRESS(1,MATCH(A1832,INDIRECT("'"&amp;E1832&amp;"'"&amp;"!A" &amp; $O$1163 + 2 &amp; ":Z" &amp; $O$1163 + 2),0),4),1,""),""),$O$1163+ 2)</f>
        <v>H465</v>
      </c>
      <c r="C1832" s="897" t="str">
        <f ca="1">_xlfn.CONCAT(IFERROR(SUBSTITUTE(ADDRESS(1,MATCH(A1832,INDIRECT("'"&amp;E1832&amp;"'"&amp;"!A" &amp; $O$1163 + 2 &amp; ":Z" &amp; $O$1163 + 2),0),4),1,""),""),$O$1163+ 3)</f>
        <v>H466</v>
      </c>
      <c r="D1832" s="897" t="s">
        <v>1367</v>
      </c>
      <c r="E1832" s="897" t="s">
        <v>1535</v>
      </c>
      <c r="F1832" s="1418" t="s">
        <v>1927</v>
      </c>
      <c r="G1832" s="1418" t="str">
        <f>IF(T1832&lt;&gt;"","E","")</f>
        <v/>
      </c>
      <c r="H1832" s="1418" t="s">
        <v>1926</v>
      </c>
      <c r="I1832" s="857"/>
      <c r="J1832" s="1418"/>
      <c r="K1832" s="1418"/>
      <c r="L1832" s="897"/>
      <c r="M1832" s="1419"/>
      <c r="N1832" s="1418"/>
      <c r="R1832" s="1418" t="s">
        <v>1105</v>
      </c>
      <c r="T1832" s="1418" t="str">
        <f t="shared" ref="T1832:T1834" si="305">IF(Q$1163="Yes",33,"")</f>
        <v/>
      </c>
    </row>
    <row r="1833" spans="1:20" s="1411" customFormat="1" x14ac:dyDescent="0.25">
      <c r="A1833" s="926" t="s">
        <v>1414</v>
      </c>
      <c r="B1833" s="897" t="str">
        <f ca="1">_xlfn.CONCAT(IFERROR(SUBSTITUTE(ADDRESS(1,MATCH(A1833,INDIRECT("'"&amp;E1833&amp;"'"&amp;"!A" &amp; $O$1163 + 2 &amp; ":Z" &amp; $O$1163 + 2),0),4),1,""),""),$O$1163+ 2)</f>
        <v>L465</v>
      </c>
      <c r="C1833" s="897" t="str">
        <f ca="1">_xlfn.CONCAT(IFERROR(SUBSTITUTE(ADDRESS(1,MATCH(A1833,INDIRECT("'"&amp;E1833&amp;"'"&amp;"!A" &amp; $O$1163 + 2 &amp; ":Z" &amp; $O$1163 + 2),0),4),1,""),""),$O$1163+ 3)</f>
        <v>L466</v>
      </c>
      <c r="D1833" s="897" t="s">
        <v>1367</v>
      </c>
      <c r="E1833" s="897" t="s">
        <v>1535</v>
      </c>
      <c r="F1833" s="1418" t="s">
        <v>1929</v>
      </c>
      <c r="G1833" s="1418" t="str">
        <f>IF(T1833&lt;&gt;"","H","")</f>
        <v/>
      </c>
      <c r="H1833" s="1418" t="s">
        <v>1926</v>
      </c>
      <c r="I1833" s="857"/>
      <c r="J1833" s="1418"/>
      <c r="K1833" s="1418"/>
      <c r="L1833" s="897"/>
      <c r="M1833" s="1419"/>
      <c r="N1833" s="1418"/>
      <c r="R1833" s="1418" t="s">
        <v>1105</v>
      </c>
      <c r="T1833" s="1418" t="str">
        <f t="shared" si="305"/>
        <v/>
      </c>
    </row>
    <row r="1834" spans="1:20" s="1411" customFormat="1" x14ac:dyDescent="0.25">
      <c r="A1834" s="926" t="s">
        <v>1506</v>
      </c>
      <c r="B1834" s="897" t="str">
        <f ca="1">_xlfn.CONCAT(IFERROR(SUBSTITUTE(ADDRESS(1,MATCH(A1834,INDIRECT("'"&amp;E1834&amp;"'"&amp;"!A" &amp; $O$1163 + 2 &amp; ":Z" &amp; $O$1163 + 2),0),4),1,""),""),$O$1163+ 2)</f>
        <v>R465</v>
      </c>
      <c r="C1834" s="897" t="str">
        <f ca="1">_xlfn.CONCAT(IFERROR(SUBSTITUTE(ADDRESS(1,MATCH(A1834,INDIRECT("'"&amp;E1834&amp;"'"&amp;"!A" &amp; $O$1163 + 2 &amp; ":Z" &amp; $O$1163 + 2),0),4),1,""),""),$O$1163+ 3)</f>
        <v>R466</v>
      </c>
      <c r="D1834" s="897" t="s">
        <v>1367</v>
      </c>
      <c r="E1834" s="897" t="s">
        <v>1535</v>
      </c>
      <c r="F1834" s="1418" t="s">
        <v>1931</v>
      </c>
      <c r="G1834" s="1418" t="str">
        <f>IF(T1834&lt;&gt;"","G","")</f>
        <v/>
      </c>
      <c r="H1834" s="1418" t="s">
        <v>1926</v>
      </c>
      <c r="I1834" s="857"/>
      <c r="J1834" s="1418"/>
      <c r="K1834" s="1418"/>
      <c r="L1834" s="897"/>
      <c r="M1834" s="1419"/>
      <c r="N1834" s="1418"/>
      <c r="R1834" s="1418" t="s">
        <v>1105</v>
      </c>
      <c r="T1834" s="1418" t="str">
        <f t="shared" si="305"/>
        <v/>
      </c>
    </row>
    <row r="1835" spans="1:20" s="1411" customFormat="1" x14ac:dyDescent="0.25">
      <c r="A1835" s="1102" t="s">
        <v>1397</v>
      </c>
      <c r="B1835" s="897" t="str">
        <f ca="1">_xlfn.CONCAT(IFERROR(SUBSTITUTE(ADDRESS(1,MATCH(A1835,INDIRECT("'"&amp;E1835&amp;"'"&amp;"!A" &amp; $O$1188 + 2 &amp; ":Z" &amp; $O$1188 + 2),0),4),1,""),""),$O$1188+ 2)</f>
        <v>H479</v>
      </c>
      <c r="C1835" s="897" t="str">
        <f ca="1">_xlfn.CONCAT(IFERROR(SUBSTITUTE(ADDRESS(1,MATCH(A1835,INDIRECT("'"&amp;E1835&amp;"'"&amp;"!A" &amp; $O$1188 + 2 &amp; ":Z" &amp; $O$1188 + 2),0),4),1,""),""),$O$1188+ 3)</f>
        <v>H480</v>
      </c>
      <c r="D1835" s="897" t="s">
        <v>1367</v>
      </c>
      <c r="E1835" s="897" t="s">
        <v>1535</v>
      </c>
      <c r="F1835" s="1418" t="s">
        <v>1927</v>
      </c>
      <c r="G1835" s="1418" t="str">
        <f>IF(T1835&lt;&gt;"","E","")</f>
        <v/>
      </c>
      <c r="H1835" s="1418" t="s">
        <v>1926</v>
      </c>
      <c r="I1835" s="857"/>
      <c r="J1835" s="1418"/>
      <c r="K1835" s="1418"/>
      <c r="L1835" s="897"/>
      <c r="M1835" s="1419"/>
      <c r="N1835" s="1418"/>
      <c r="R1835" s="1418" t="s">
        <v>1105</v>
      </c>
      <c r="T1835" s="1418" t="str">
        <f t="shared" ref="T1835:T1837" si="306">IF(Q$1188="Yes",34,"")</f>
        <v/>
      </c>
    </row>
    <row r="1836" spans="1:20" s="1411" customFormat="1" x14ac:dyDescent="0.25">
      <c r="A1836" s="1102" t="s">
        <v>1414</v>
      </c>
      <c r="B1836" s="897" t="str">
        <f ca="1">_xlfn.CONCAT(IFERROR(SUBSTITUTE(ADDRESS(1,MATCH(A1836,INDIRECT("'"&amp;E1836&amp;"'"&amp;"!A" &amp; $O$1188 + 2 &amp; ":Z" &amp; $O$1188 + 2),0),4),1,""),""),$O$1188+ 2)</f>
        <v>L479</v>
      </c>
      <c r="C1836" s="897" t="str">
        <f ca="1">_xlfn.CONCAT(IFERROR(SUBSTITUTE(ADDRESS(1,MATCH(A1836,INDIRECT("'"&amp;E1836&amp;"'"&amp;"!A" &amp; $O$1188 + 2 &amp; ":Z" &amp; $O$1188 + 2),0),4),1,""),""),$O$1188+ 3)</f>
        <v>L480</v>
      </c>
      <c r="D1836" s="897" t="s">
        <v>1367</v>
      </c>
      <c r="E1836" s="897" t="s">
        <v>1535</v>
      </c>
      <c r="F1836" s="1418" t="s">
        <v>1929</v>
      </c>
      <c r="G1836" s="1418" t="str">
        <f>IF(T1836&lt;&gt;"","H","")</f>
        <v/>
      </c>
      <c r="H1836" s="1418" t="s">
        <v>1926</v>
      </c>
      <c r="I1836" s="857"/>
      <c r="J1836" s="1418"/>
      <c r="K1836" s="1418"/>
      <c r="L1836" s="897"/>
      <c r="M1836" s="1419"/>
      <c r="N1836" s="1418"/>
      <c r="R1836" s="1418" t="s">
        <v>1105</v>
      </c>
      <c r="T1836" s="1418" t="str">
        <f t="shared" si="306"/>
        <v/>
      </c>
    </row>
    <row r="1837" spans="1:20" s="1411" customFormat="1" x14ac:dyDescent="0.25">
      <c r="A1837" s="1102" t="s">
        <v>1506</v>
      </c>
      <c r="B1837" s="897" t="str">
        <f ca="1">_xlfn.CONCAT(IFERROR(SUBSTITUTE(ADDRESS(1,MATCH(A1837,INDIRECT("'"&amp;E1837&amp;"'"&amp;"!A" &amp; $O$1188 + 2 &amp; ":Z" &amp; $O$1188 + 2),0),4),1,""),""),$O$1188+ 2)</f>
        <v>R479</v>
      </c>
      <c r="C1837" s="897" t="str">
        <f ca="1">_xlfn.CONCAT(IFERROR(SUBSTITUTE(ADDRESS(1,MATCH(A1837,INDIRECT("'"&amp;E1837&amp;"'"&amp;"!A" &amp; $O$1188 + 2 &amp; ":Z" &amp; $O$1188 + 2),0),4),1,""),""),$O$1188+ 3)</f>
        <v>R480</v>
      </c>
      <c r="D1837" s="897" t="s">
        <v>1367</v>
      </c>
      <c r="E1837" s="897" t="s">
        <v>1535</v>
      </c>
      <c r="F1837" s="1418" t="s">
        <v>1931</v>
      </c>
      <c r="G1837" s="1418" t="str">
        <f>IF(T1837&lt;&gt;"","G","")</f>
        <v/>
      </c>
      <c r="H1837" s="1418" t="s">
        <v>1926</v>
      </c>
      <c r="I1837" s="857"/>
      <c r="J1837" s="1418"/>
      <c r="K1837" s="1418"/>
      <c r="L1837" s="897"/>
      <c r="M1837" s="1419"/>
      <c r="N1837" s="1418"/>
      <c r="R1837" s="1418" t="s">
        <v>1105</v>
      </c>
      <c r="T1837" s="1418" t="str">
        <f t="shared" si="306"/>
        <v/>
      </c>
    </row>
    <row r="1838" spans="1:20" s="1411" customFormat="1" x14ac:dyDescent="0.25">
      <c r="A1838" s="926" t="s">
        <v>1414</v>
      </c>
      <c r="B1838" s="897" t="str">
        <f ca="1">_xlfn.CONCAT(IFERROR(SUBSTITUTE(ADDRESS(1,MATCH(A1838,INDIRECT("'"&amp;E1838&amp;"'"&amp;"!A" &amp; $O$1213 + 2 &amp; ":Z" &amp; $O$1213 + 2),0),4),1,""),""),$O$1213+ 2)</f>
        <v>L493</v>
      </c>
      <c r="C1838" s="897" t="str">
        <f ca="1">_xlfn.CONCAT(IFERROR(SUBSTITUTE(ADDRESS(1,MATCH(A1838,INDIRECT("'"&amp;E1838&amp;"'"&amp;"!A" &amp; $O$1213 + 2 &amp; ":Z" &amp; $O$1213 + 2),0),4),1,""),""),$O$1213+ 3)</f>
        <v>L494</v>
      </c>
      <c r="D1838" s="897" t="s">
        <v>1367</v>
      </c>
      <c r="E1838" s="897" t="s">
        <v>1535</v>
      </c>
      <c r="F1838" s="1418" t="s">
        <v>1929</v>
      </c>
      <c r="G1838" s="1418" t="str">
        <f>IF(T1838&lt;&gt;"","H","")</f>
        <v/>
      </c>
      <c r="H1838" s="1418" t="s">
        <v>1926</v>
      </c>
      <c r="I1838" s="857"/>
      <c r="J1838" s="1418"/>
      <c r="K1838" s="1418"/>
      <c r="L1838" s="897"/>
      <c r="M1838" s="1419"/>
      <c r="N1838" s="1418"/>
      <c r="R1838" s="1418" t="s">
        <v>1163</v>
      </c>
      <c r="T1838" s="1418" t="str">
        <f t="shared" ref="T1838" si="307">IF(Q$1213="Yes",35,"")</f>
        <v/>
      </c>
    </row>
    <row r="1839" spans="1:20" s="1411" customFormat="1" x14ac:dyDescent="0.25">
      <c r="A1839" s="1102" t="s">
        <v>1397</v>
      </c>
      <c r="B1839" s="897" t="str">
        <f ca="1">_xlfn.CONCAT(IFERROR(SUBSTITUTE(ADDRESS(1,MATCH(A1839,INDIRECT("'"&amp;E1839&amp;"'"&amp;"!A" &amp; $O$1069 + 2 &amp; ":Z" &amp; $O$1069 + 2),0),4),1,""),""),$O$1069+ 2)</f>
        <v>H395</v>
      </c>
      <c r="C1839" s="897" t="str">
        <f ca="1">_xlfn.CONCAT(IFERROR(SUBSTITUTE(ADDRESS(1,MATCH(A1839,INDIRECT("'"&amp;E1839&amp;"'"&amp;"!A" &amp; $O$1069 + 2 &amp; ":Z" &amp; $O$1069 + 2),0),4),1,""),""),$O$1069+ 3)</f>
        <v>H396</v>
      </c>
      <c r="D1839" s="897" t="s">
        <v>1367</v>
      </c>
      <c r="E1839" s="897" t="s">
        <v>1535</v>
      </c>
      <c r="F1839" s="1418" t="s">
        <v>1927</v>
      </c>
      <c r="G1839" s="1418" t="str">
        <f>IF(T1839&lt;&gt;"","E","")</f>
        <v/>
      </c>
      <c r="H1839" s="1418" t="s">
        <v>1926</v>
      </c>
      <c r="I1839" s="857"/>
      <c r="J1839" s="1418"/>
      <c r="K1839" s="1418"/>
      <c r="L1839" s="897"/>
      <c r="M1839" s="1419"/>
      <c r="N1839" s="1418"/>
      <c r="R1839" s="1418" t="s">
        <v>1719</v>
      </c>
      <c r="T1839" s="1418" t="str">
        <f t="shared" ref="T1839" si="308">IF(Q$1069="Yes",28,"")</f>
        <v/>
      </c>
    </row>
    <row r="1840" spans="1:20" s="1411" customFormat="1" x14ac:dyDescent="0.25">
      <c r="A1840" s="926" t="s">
        <v>1543</v>
      </c>
      <c r="B1840" s="897" t="str">
        <f ca="1">_xlfn.CONCAT(IFERROR(SUBSTITUTE(ADDRESS(1,MATCH(A1840,INDIRECT("'"&amp;E1840&amp;"'"&amp;"!A" &amp; $O$670 + 5 &amp; ":Z" &amp; $O$670 + 5),0),4),1,""),""),$O$670 + 5)</f>
        <v>T96</v>
      </c>
      <c r="C1840" s="897" t="str">
        <f ca="1">_xlfn.CONCAT(IFERROR(SUBSTITUTE(ADDRESS(1,MATCH(A1840,INDIRECT("'"&amp;E1840&amp;"'"&amp;"!A" &amp; $O$670 + 5 &amp; ":Z" &amp; $O$670 + 5),0),4),1,""),""),$O$670 + 6)</f>
        <v>T97</v>
      </c>
      <c r="D1840" s="897" t="s">
        <v>1367</v>
      </c>
      <c r="E1840" s="897" t="s">
        <v>1535</v>
      </c>
      <c r="F1840" s="1418" t="s">
        <v>1543</v>
      </c>
      <c r="G1840" s="1418" t="str">
        <f>IF(T1840&lt;&gt;"","M","")</f>
        <v/>
      </c>
      <c r="H1840" s="1418" t="s">
        <v>1926</v>
      </c>
      <c r="I1840" s="857"/>
      <c r="J1840" s="1418"/>
      <c r="K1840" s="1418" t="str">
        <f t="shared" ref="K1840:K1843" si="309">IF(J1840&lt;&gt;"",E1840,"")</f>
        <v/>
      </c>
      <c r="L1840" s="897"/>
      <c r="M1840" s="1419"/>
      <c r="N1840" s="1418"/>
      <c r="R1840" s="1418" t="s">
        <v>1544</v>
      </c>
      <c r="T1840" s="1418" t="str">
        <f>IF(Q$670="Yes",7,"")</f>
        <v/>
      </c>
    </row>
    <row r="1841" spans="1:20" s="1411" customFormat="1" x14ac:dyDescent="0.25">
      <c r="A1841" s="929" t="s">
        <v>1543</v>
      </c>
      <c r="B1841" s="897" t="str">
        <f ca="1">_xlfn.CONCAT(IFERROR(SUBSTITUTE(ADDRESS(1,MATCH(A1841,INDIRECT("'"&amp;E1841&amp;"'"&amp;"!A" &amp; $O$688 + 5 &amp; ":Z" &amp; $O$688 + 5),0),4),1,""),""),$O$688 + 5)</f>
        <v>T110</v>
      </c>
      <c r="C1841" s="897" t="str">
        <f ca="1">_xlfn.CONCAT(IFERROR(SUBSTITUTE(ADDRESS(1,MATCH(A1841,INDIRECT("'"&amp;E1841&amp;"'"&amp;"!A" &amp; $O$688 + 5 &amp; ":Z" &amp; $O$688 + 5),0),4),1,""),""),$O$688 + 6)</f>
        <v>T111</v>
      </c>
      <c r="D1841" s="897" t="s">
        <v>1367</v>
      </c>
      <c r="E1841" s="897" t="s">
        <v>1535</v>
      </c>
      <c r="F1841" s="1418" t="s">
        <v>1543</v>
      </c>
      <c r="G1841" s="1418" t="str">
        <f>IF(T1841&lt;&gt;"","M","")</f>
        <v/>
      </c>
      <c r="H1841" s="1418" t="s">
        <v>1926</v>
      </c>
      <c r="I1841" s="857" t="str">
        <f t="shared" ref="I1841" si="310">IF(J1841&lt;&gt;"",A1841,"")</f>
        <v/>
      </c>
      <c r="J1841" s="1418"/>
      <c r="K1841" s="1418" t="str">
        <f t="shared" si="309"/>
        <v/>
      </c>
      <c r="L1841" s="897"/>
      <c r="M1841" s="1419"/>
      <c r="N1841" s="1418"/>
      <c r="R1841" s="1418" t="s">
        <v>1544</v>
      </c>
      <c r="T1841" s="1418" t="str">
        <f>IF(Q$688="Yes",8,"")</f>
        <v/>
      </c>
    </row>
    <row r="1842" spans="1:20" s="1411" customFormat="1" x14ac:dyDescent="0.25">
      <c r="A1842" s="926" t="s">
        <v>1543</v>
      </c>
      <c r="B1842" s="897" t="str">
        <f ca="1">_xlfn.CONCAT(IFERROR(SUBSTITUTE(ADDRESS(1,MATCH(A1842,INDIRECT("'"&amp;E1842&amp;"'"&amp;"!A" &amp; $O$706 + 5 &amp; ":Z" &amp; $O$706+ 5),0),4),1,""),""),$O$706 + 5)</f>
        <v>T124</v>
      </c>
      <c r="C1842" s="897" t="str">
        <f ca="1">_xlfn.CONCAT(IFERROR(SUBSTITUTE(ADDRESS(1,MATCH(A1842,INDIRECT("'"&amp;E1842&amp;"'"&amp;"!A" &amp; $O$706 + 5 &amp; ":Z" &amp; $O$706+ 5),0),4),1,""),""),$O$706 + 6)</f>
        <v>T125</v>
      </c>
      <c r="D1842" s="897" t="s">
        <v>1367</v>
      </c>
      <c r="E1842" s="897" t="s">
        <v>1535</v>
      </c>
      <c r="F1842" s="1418" t="s">
        <v>1543</v>
      </c>
      <c r="G1842" s="1418" t="str">
        <f>IF(T1842&lt;&gt;"","M","")</f>
        <v/>
      </c>
      <c r="H1842" s="1418" t="s">
        <v>1926</v>
      </c>
      <c r="I1842" s="857"/>
      <c r="J1842" s="1418"/>
      <c r="K1842" s="1418" t="str">
        <f t="shared" si="309"/>
        <v/>
      </c>
      <c r="L1842" s="897"/>
      <c r="M1842" s="1419"/>
      <c r="N1842" s="1418"/>
      <c r="R1842" s="1418" t="s">
        <v>1544</v>
      </c>
      <c r="T1842" s="1418" t="str">
        <f>IF(Q$706="Yes",9,"")</f>
        <v/>
      </c>
    </row>
    <row r="1843" spans="1:20" s="1411" customFormat="1" x14ac:dyDescent="0.25">
      <c r="A1843" s="929" t="s">
        <v>1543</v>
      </c>
      <c r="B1843" s="897" t="str">
        <f ca="1">_xlfn.CONCAT(IFERROR(SUBSTITUTE(ADDRESS(1,MATCH(A1843,INDIRECT("'"&amp;E1843&amp;"'"&amp;"!A" &amp; $O$736 + 5 &amp; ":Z" &amp; $O$736+ 5),0),4),1,""),""),$O$736 + 5)</f>
        <v>T140</v>
      </c>
      <c r="C1843" s="897" t="str">
        <f ca="1">_xlfn.CONCAT(IFERROR(SUBSTITUTE(ADDRESS(1,MATCH(A1843,INDIRECT("'"&amp;E1843&amp;"'"&amp;"!A" &amp; $O$736 + 5 &amp; ":Z" &amp; $O$736+ 5),0),4),1,""),""),$O$736 + 6)</f>
        <v>T141</v>
      </c>
      <c r="D1843" s="897" t="s">
        <v>1367</v>
      </c>
      <c r="E1843" s="897" t="s">
        <v>1535</v>
      </c>
      <c r="F1843" s="1418" t="s">
        <v>1543</v>
      </c>
      <c r="G1843" s="1418" t="str">
        <f>IF(T1843&lt;&gt;"","M","")</f>
        <v/>
      </c>
      <c r="H1843" s="1418" t="s">
        <v>1926</v>
      </c>
      <c r="I1843" s="857" t="str">
        <f t="shared" ref="I1843" si="311">IF(J1843&lt;&gt;"",A1843,"")</f>
        <v/>
      </c>
      <c r="J1843" s="1418"/>
      <c r="K1843" s="1418" t="str">
        <f t="shared" si="309"/>
        <v/>
      </c>
      <c r="L1843" s="897"/>
      <c r="M1843" s="1419"/>
      <c r="N1843" s="1418"/>
      <c r="R1843" s="1418" t="s">
        <v>1544</v>
      </c>
      <c r="T1843" s="1418" t="str">
        <f>IF(Q$736="Yes",10,"")</f>
        <v/>
      </c>
    </row>
    <row r="1844" spans="1:20" s="1411" customFormat="1" x14ac:dyDescent="0.25">
      <c r="A1844" s="925" t="s">
        <v>1512</v>
      </c>
      <c r="B1844" s="897" t="str">
        <f ca="1">_xlfn.CONCAT(IFERROR(SUBSTITUTE(ADDRESS(1,MATCH(A1844,INDIRECT("'"&amp;E1844&amp;"'"&amp;"!A" &amp; $O$539+8 &amp; ":Z"&amp;$O$539+8),0),4),1,""),""),$O$539+8)</f>
        <v>L11</v>
      </c>
      <c r="C1844" s="897" t="str">
        <f ca="1">_xlfn.CONCAT(IFERROR(SUBSTITUTE(ADDRESS(1,MATCH(A1844,INDIRECT("'"&amp;E1844&amp;"'"&amp;"!A" &amp; $O$539+8 &amp; ":Z"&amp;$O$539+8),0),4),1,""),""),$O$539+9)</f>
        <v>L12</v>
      </c>
      <c r="D1844" s="897" t="s">
        <v>1367</v>
      </c>
      <c r="E1844" s="897" t="s">
        <v>1535</v>
      </c>
      <c r="F1844" s="1418" t="s">
        <v>2079</v>
      </c>
      <c r="G1844" s="1418" t="str">
        <f>IF(T1844&lt;&gt;"","N","")</f>
        <v/>
      </c>
      <c r="H1844" s="1418" t="s">
        <v>1926</v>
      </c>
      <c r="I1844" s="857"/>
      <c r="J1844" s="1418"/>
      <c r="K1844" s="1418"/>
      <c r="L1844" s="897"/>
      <c r="M1844" s="1419"/>
      <c r="N1844" s="1418"/>
      <c r="R1844" s="1418" t="s">
        <v>855</v>
      </c>
      <c r="T1844" s="1418" t="str">
        <f t="shared" ref="T1844" si="312">IF(Q$540="Yes",1,"")</f>
        <v/>
      </c>
    </row>
    <row r="1845" spans="1:20" s="1411" customFormat="1" x14ac:dyDescent="0.25">
      <c r="A1845" s="925" t="s">
        <v>1512</v>
      </c>
      <c r="B1845" s="897" t="str">
        <f ca="1">_xlfn.CONCAT(IFERROR(SUBSTITUTE(ADDRESS(1,MATCH(A1845,INDIRECT("'"&amp;E1845&amp;"'"&amp;"!A" &amp; $O$555+8 &amp; ":Z" &amp; $O$555+8),0),4),1,""),""),$O$555+8)</f>
        <v>L25</v>
      </c>
      <c r="C1845" s="897" t="str">
        <f ca="1">_xlfn.CONCAT(IFERROR(SUBSTITUTE(ADDRESS(1,MATCH(A1845,INDIRECT("'"&amp;E1845&amp;"'"&amp;"!A" &amp; $O$555+8 &amp; ":Z" &amp; $O$555+8),0),4),1,""),""),$O$555+9)</f>
        <v>L26</v>
      </c>
      <c r="D1845" s="897" t="s">
        <v>1367</v>
      </c>
      <c r="E1845" s="897" t="s">
        <v>1535</v>
      </c>
      <c r="F1845" s="1418" t="s">
        <v>2079</v>
      </c>
      <c r="G1845" s="1418" t="str">
        <f t="shared" ref="G1845:G1866" si="313">IF(T1845&lt;&gt;"","N","")</f>
        <v/>
      </c>
      <c r="H1845" s="1418" t="s">
        <v>1926</v>
      </c>
      <c r="I1845" s="857"/>
      <c r="J1845" s="1418"/>
      <c r="K1845" s="1418"/>
      <c r="L1845" s="897"/>
      <c r="M1845" s="1419"/>
      <c r="N1845" s="1418"/>
      <c r="R1845" s="1418" t="s">
        <v>855</v>
      </c>
      <c r="T1845" s="1418" t="str">
        <f t="shared" ref="T1845" si="314">IF(Q$555="Yes",2,"")</f>
        <v/>
      </c>
    </row>
    <row r="1846" spans="1:20" s="1411" customFormat="1" x14ac:dyDescent="0.25">
      <c r="A1846" s="925" t="s">
        <v>1512</v>
      </c>
      <c r="B1846" s="897" t="str">
        <f ca="1">_xlfn.CONCAT(IFERROR(SUBSTITUTE(ADDRESS(1,MATCH(A1846,INDIRECT("'"&amp;E1846&amp;"'"&amp;"!A" &amp; $O$570+8 &amp; ":Z" &amp; $O$570+8),0),4),1,""),""),$O$570+8)</f>
        <v>L39</v>
      </c>
      <c r="C1846" s="897" t="str">
        <f ca="1">_xlfn.CONCAT(IFERROR(SUBSTITUTE(ADDRESS(1,MATCH(A1846,INDIRECT("'"&amp;E1846&amp;"'"&amp;"!A" &amp; $O$570+8 &amp; ":Z" &amp; $O$570+8),0),4),1,""),""),$O$570+9)</f>
        <v>L40</v>
      </c>
      <c r="D1846" s="897" t="s">
        <v>1367</v>
      </c>
      <c r="E1846" s="897" t="s">
        <v>1535</v>
      </c>
      <c r="F1846" s="1418" t="s">
        <v>2079</v>
      </c>
      <c r="G1846" s="1418" t="str">
        <f t="shared" si="313"/>
        <v/>
      </c>
      <c r="H1846" s="1418" t="s">
        <v>1926</v>
      </c>
      <c r="I1846" s="857"/>
      <c r="J1846" s="1418"/>
      <c r="K1846" s="1418"/>
      <c r="L1846" s="897"/>
      <c r="M1846" s="1419"/>
      <c r="N1846" s="1418"/>
      <c r="R1846" s="1418" t="s">
        <v>855</v>
      </c>
      <c r="T1846" s="1418" t="str">
        <f>IF(Q$570="Yes",3,"")</f>
        <v/>
      </c>
    </row>
    <row r="1847" spans="1:20" s="1411" customFormat="1" x14ac:dyDescent="0.25">
      <c r="A1847" s="925" t="s">
        <v>1512</v>
      </c>
      <c r="B1847" s="897" t="str">
        <f ca="1">_xlfn.CONCAT(IFERROR(SUBSTITUTE(ADDRESS(1,MATCH(A1847,INDIRECT("'"&amp;E1847&amp;"'"&amp;"!A" &amp; $O$589+8 &amp; ":Z" &amp; $O$589+8),0),4),1,""),""),$O$589+8)</f>
        <v>L53</v>
      </c>
      <c r="C1847" s="897" t="str">
        <f ca="1">_xlfn.CONCAT(IFERROR(SUBSTITUTE(ADDRESS(1,MATCH(A1847,INDIRECT("'"&amp;E1847&amp;"'"&amp;"!A" &amp; $O$589+8 &amp; ":Z" &amp; $O$589+8),0),4),1,""),""),$O$589+9)</f>
        <v>L54</v>
      </c>
      <c r="D1847" s="897" t="s">
        <v>1367</v>
      </c>
      <c r="E1847" s="897" t="s">
        <v>1535</v>
      </c>
      <c r="F1847" s="1418" t="s">
        <v>2079</v>
      </c>
      <c r="G1847" s="1418" t="str">
        <f t="shared" si="313"/>
        <v/>
      </c>
      <c r="H1847" s="1418" t="s">
        <v>1926</v>
      </c>
      <c r="I1847" s="857"/>
      <c r="J1847" s="1418"/>
      <c r="K1847" s="1418"/>
      <c r="L1847" s="897"/>
      <c r="M1847" s="1419"/>
      <c r="N1847" s="1418"/>
      <c r="R1847" s="1418" t="s">
        <v>855</v>
      </c>
      <c r="T1847" s="1418" t="str">
        <f>IF(Q$589="Yes",4,"")</f>
        <v/>
      </c>
    </row>
    <row r="1848" spans="1:20" s="1411" customFormat="1" x14ac:dyDescent="0.25">
      <c r="A1848" s="925" t="s">
        <v>1512</v>
      </c>
      <c r="B1848" s="897" t="str">
        <f ca="1">_xlfn.CONCAT(IFERROR(SUBSTITUTE(ADDRESS(1,MATCH(A1848,INDIRECT("'"&amp;E1848&amp;"'"&amp;"!A" &amp; $O$608 + 12 &amp; ":Z" &amp; $O$608+12),0),4),1,""),""),$O$608+12)</f>
        <v>L71</v>
      </c>
      <c r="C1848" s="897" t="str">
        <f ca="1">_xlfn.CONCAT(IFERROR(SUBSTITUTE(ADDRESS(1,MATCH(A1848,INDIRECT("'"&amp;E1848&amp;"'"&amp;"!A" &amp; $O$608 + 12 &amp; ":Z" &amp; $O$608+12),0),4),1,""),""),$O$608+13)</f>
        <v>L72</v>
      </c>
      <c r="D1848" s="897" t="s">
        <v>1367</v>
      </c>
      <c r="E1848" s="897" t="s">
        <v>1535</v>
      </c>
      <c r="F1848" s="1418" t="s">
        <v>2079</v>
      </c>
      <c r="G1848" s="1418" t="str">
        <f t="shared" si="313"/>
        <v/>
      </c>
      <c r="H1848" s="1418" t="s">
        <v>1926</v>
      </c>
      <c r="I1848" s="857"/>
      <c r="J1848" s="1418"/>
      <c r="K1848" s="1418"/>
      <c r="L1848" s="897"/>
      <c r="M1848" s="1419"/>
      <c r="N1848" s="1418"/>
      <c r="R1848" s="1418" t="s">
        <v>855</v>
      </c>
      <c r="T1848" s="1418" t="str">
        <f>IF(Q$608="Yes",5,"")</f>
        <v/>
      </c>
    </row>
    <row r="1849" spans="1:20" s="1411" customFormat="1" x14ac:dyDescent="0.25">
      <c r="A1849" s="925" t="s">
        <v>1512</v>
      </c>
      <c r="B1849" s="897" t="str">
        <f ca="1">_xlfn.CONCAT(IFERROR(SUBSTITUTE(ADDRESS(1,MATCH(A1849,INDIRECT("'"&amp;E1849&amp;"'"&amp;"!A" &amp; $O$639 + 12 &amp; ":Z" &amp; $O$639 + 12),0),4),1,""),""),$O$639 + 12)</f>
        <v>L87</v>
      </c>
      <c r="C1849" s="897" t="str">
        <f ca="1">_xlfn.CONCAT(IFERROR(SUBSTITUTE(ADDRESS(1,MATCH(A1849,INDIRECT("'"&amp;E1849&amp;"'"&amp;"!A" &amp; $O$639 + 12 &amp; ":Z" &amp; $O$639 + 12),0),4),1,""),""),$O$639 + 13)</f>
        <v>L88</v>
      </c>
      <c r="D1849" s="897" t="s">
        <v>1367</v>
      </c>
      <c r="E1849" s="897" t="s">
        <v>1535</v>
      </c>
      <c r="F1849" s="1418" t="s">
        <v>2079</v>
      </c>
      <c r="G1849" s="1418" t="str">
        <f t="shared" si="313"/>
        <v/>
      </c>
      <c r="H1849" s="1418" t="s">
        <v>1926</v>
      </c>
      <c r="I1849" s="857"/>
      <c r="J1849" s="1418"/>
      <c r="K1849" s="1418"/>
      <c r="L1849" s="897"/>
      <c r="M1849" s="1419"/>
      <c r="N1849" s="1418"/>
      <c r="R1849" s="1425" t="s">
        <v>855</v>
      </c>
      <c r="T1849" s="1418" t="str">
        <f>IF(Q$639="Yes",6,"")</f>
        <v/>
      </c>
    </row>
    <row r="1850" spans="1:20" s="1411" customFormat="1" x14ac:dyDescent="0.25">
      <c r="A1850" s="925" t="s">
        <v>1512</v>
      </c>
      <c r="B1850" s="897" t="str">
        <f ca="1">_xlfn.CONCAT(IFERROR(SUBSTITUTE(ADDRESS(1,MATCH(A1850,INDIRECT("'"&amp;E1850&amp;"'"&amp;"!A" &amp; $O$670 + 8 &amp; ":Z" &amp; $O$670 + 8),0),4),1,""),""),$O$670 + 8)</f>
        <v>L99</v>
      </c>
      <c r="C1850" s="897" t="str">
        <f ca="1">_xlfn.CONCAT(IFERROR(SUBSTITUTE(ADDRESS(1,MATCH(A1850,INDIRECT("'"&amp;E1850&amp;"'"&amp;"!A" &amp; $O$670 + 8 &amp; ":Z" &amp; $O$670 + 8),0),4),1,""),""),$O$670 + 9)</f>
        <v>L100</v>
      </c>
      <c r="D1850" s="897" t="s">
        <v>1367</v>
      </c>
      <c r="E1850" s="897" t="s">
        <v>1535</v>
      </c>
      <c r="F1850" s="1418" t="s">
        <v>2079</v>
      </c>
      <c r="G1850" s="1418" t="str">
        <f t="shared" si="313"/>
        <v/>
      </c>
      <c r="H1850" s="1418" t="s">
        <v>1926</v>
      </c>
      <c r="I1850" s="857"/>
      <c r="J1850" s="1418"/>
      <c r="K1850" s="1418"/>
      <c r="L1850" s="897"/>
      <c r="M1850" s="1419"/>
      <c r="N1850" s="1418"/>
      <c r="R1850" s="1418" t="s">
        <v>1544</v>
      </c>
      <c r="T1850" s="1418" t="str">
        <f>IF(Q$670="Yes",7,"")</f>
        <v/>
      </c>
    </row>
    <row r="1851" spans="1:20" s="1411" customFormat="1" x14ac:dyDescent="0.25">
      <c r="A1851" s="925" t="s">
        <v>1512</v>
      </c>
      <c r="B1851" s="897" t="str">
        <f ca="1">_xlfn.CONCAT(IFERROR(SUBSTITUTE(ADDRESS(1,MATCH(A1851,INDIRECT("'"&amp;E1851&amp;"'"&amp;"!A" &amp; $O$688 + 8 &amp; ":Z" &amp; $O$688 + 8),0),4),1,""),""),$O$688 + 8)</f>
        <v>L113</v>
      </c>
      <c r="C1851" s="897" t="str">
        <f ca="1">_xlfn.CONCAT(IFERROR(SUBSTITUTE(ADDRESS(1,MATCH(A1851,INDIRECT("'"&amp;E1851&amp;"'"&amp;"!A" &amp; $O$688 + 8 &amp; ":Z" &amp; $O$688 + 8),0),4),1,""),""),$O$688 + 9)</f>
        <v>L114</v>
      </c>
      <c r="D1851" s="897" t="s">
        <v>1367</v>
      </c>
      <c r="E1851" s="897" t="s">
        <v>1535</v>
      </c>
      <c r="F1851" s="1418" t="s">
        <v>2079</v>
      </c>
      <c r="G1851" s="1418" t="str">
        <f t="shared" si="313"/>
        <v/>
      </c>
      <c r="H1851" s="1418" t="s">
        <v>1926</v>
      </c>
      <c r="I1851" s="857"/>
      <c r="J1851" s="1418"/>
      <c r="K1851" s="1418"/>
      <c r="L1851" s="897"/>
      <c r="M1851" s="1419"/>
      <c r="N1851" s="1418"/>
      <c r="R1851" s="1418" t="s">
        <v>1544</v>
      </c>
      <c r="T1851" s="1418" t="str">
        <f>IF(Q$688="Yes",8,"")</f>
        <v/>
      </c>
    </row>
    <row r="1852" spans="1:20" s="1411" customFormat="1" x14ac:dyDescent="0.25">
      <c r="A1852" s="925" t="s">
        <v>1512</v>
      </c>
      <c r="B1852" s="897" t="str">
        <f ca="1">_xlfn.CONCAT(IFERROR(SUBSTITUTE(ADDRESS(1,MATCH(A1852,INDIRECT("'"&amp;E1852&amp;"'"&amp;"!A" &amp; $O$706 + 12 &amp; ":Z" &amp; $O$706+ 12),0),4),1,""),""),$O$706 + 12)</f>
        <v>L131</v>
      </c>
      <c r="C1852" s="897" t="str">
        <f ca="1">_xlfn.CONCAT(IFERROR(SUBSTITUTE(ADDRESS(1,MATCH(A1852,INDIRECT("'"&amp;E1852&amp;"'"&amp;"!A" &amp; $O$706 + 12 &amp; ":Z" &amp; $O$706+ 12),0),4),1,""),""),$O$706 + 13)</f>
        <v>L132</v>
      </c>
      <c r="D1852" s="897" t="s">
        <v>1367</v>
      </c>
      <c r="E1852" s="897" t="s">
        <v>1535</v>
      </c>
      <c r="F1852" s="1418" t="s">
        <v>2079</v>
      </c>
      <c r="G1852" s="1418" t="str">
        <f t="shared" si="313"/>
        <v/>
      </c>
      <c r="H1852" s="1418" t="s">
        <v>1926</v>
      </c>
      <c r="I1852" s="857"/>
      <c r="J1852" s="1418"/>
      <c r="K1852" s="1418"/>
      <c r="L1852" s="897"/>
      <c r="M1852" s="1419"/>
      <c r="N1852" s="1418"/>
      <c r="R1852" s="1418" t="s">
        <v>1544</v>
      </c>
      <c r="T1852" s="1418" t="str">
        <f>IF(Q$706="Yes",9,"")</f>
        <v/>
      </c>
    </row>
    <row r="1853" spans="1:20" s="1411" customFormat="1" x14ac:dyDescent="0.25">
      <c r="A1853" s="925" t="s">
        <v>1512</v>
      </c>
      <c r="B1853" s="897" t="str">
        <f ca="1">_xlfn.CONCAT(IFERROR(SUBSTITUTE(ADDRESS(1,MATCH(A1853,INDIRECT("'"&amp;E1853&amp;"'"&amp;"!A" &amp; $O$736 + 12 &amp; ":Z" &amp; $O$736+ 12),0),4),1,""),""),$O$736 + 12)</f>
        <v>L147</v>
      </c>
      <c r="C1853" s="897" t="str">
        <f ca="1">_xlfn.CONCAT(IFERROR(SUBSTITUTE(ADDRESS(1,MATCH(A1853,INDIRECT("'"&amp;E1853&amp;"'"&amp;"!A" &amp; $O$736 + 12 &amp; ":Z" &amp; $O$736+ 12),0),4),1,""),""),$O$736 + 13)</f>
        <v>L148</v>
      </c>
      <c r="D1853" s="897" t="s">
        <v>1367</v>
      </c>
      <c r="E1853" s="897" t="s">
        <v>1535</v>
      </c>
      <c r="F1853" s="1418" t="s">
        <v>2079</v>
      </c>
      <c r="G1853" s="1418" t="str">
        <f t="shared" si="313"/>
        <v/>
      </c>
      <c r="H1853" s="1418" t="s">
        <v>1926</v>
      </c>
      <c r="I1853" s="857"/>
      <c r="J1853" s="1418"/>
      <c r="K1853" s="1418"/>
      <c r="L1853" s="897"/>
      <c r="M1853" s="1419"/>
      <c r="N1853" s="1418"/>
      <c r="R1853" s="1418" t="s">
        <v>1544</v>
      </c>
      <c r="T1853" s="1418" t="str">
        <f>IF(Q$736="Yes",10,"")</f>
        <v/>
      </c>
    </row>
    <row r="1854" spans="1:20" s="1411" customFormat="1" x14ac:dyDescent="0.25">
      <c r="A1854" s="925" t="s">
        <v>1512</v>
      </c>
      <c r="B1854" s="897" t="str">
        <f ca="1">_xlfn.CONCAT(IFERROR(SUBSTITUTE(ADDRESS(1,MATCH(A1854,INDIRECT("'"&amp;E1854&amp;"'"&amp;"!A" &amp; $O$766 + 8 &amp; ":Z" &amp; $O$766+ 8),0),4),1,""),""),$O$766 + 8)</f>
        <v>L159</v>
      </c>
      <c r="C1854" s="897" t="str">
        <f ca="1">_xlfn.CONCAT(IFERROR(SUBSTITUTE(ADDRESS(1,MATCH(A1854,INDIRECT("'"&amp;E1854&amp;"'"&amp;"!A" &amp; $O$766 + 8 &amp; ":Z" &amp; $O$766+ 8),0),4),1,""),""),$O$766 + 9)</f>
        <v>L160</v>
      </c>
      <c r="D1854" s="897" t="s">
        <v>1367</v>
      </c>
      <c r="E1854" s="897" t="s">
        <v>1535</v>
      </c>
      <c r="F1854" s="1418" t="s">
        <v>2079</v>
      </c>
      <c r="G1854" s="1418" t="str">
        <f t="shared" si="313"/>
        <v/>
      </c>
      <c r="H1854" s="1418" t="s">
        <v>1926</v>
      </c>
      <c r="I1854" s="857"/>
      <c r="J1854" s="1418"/>
      <c r="K1854" s="1418"/>
      <c r="L1854" s="897"/>
      <c r="M1854" s="1419"/>
      <c r="N1854" s="1418"/>
      <c r="R1854" s="1418" t="s">
        <v>1550</v>
      </c>
      <c r="T1854" s="1418" t="str">
        <f>IF(Q$766="Yes",11,"")</f>
        <v/>
      </c>
    </row>
    <row r="1855" spans="1:20" s="1411" customFormat="1" x14ac:dyDescent="0.25">
      <c r="A1855" s="925" t="s">
        <v>1512</v>
      </c>
      <c r="B1855" s="897" t="str">
        <f ca="1">_xlfn.CONCAT(IFERROR(SUBSTITUTE(ADDRESS(1,MATCH(A1855,INDIRECT("'"&amp;E1855&amp;"'"&amp;"!A" &amp; $O$781 + 8 &amp; ":Z" &amp; $O$781+ 8),0),4),1,""),""),$O$781 + 8)</f>
        <v>L173</v>
      </c>
      <c r="C1855" s="897" t="str">
        <f ca="1">_xlfn.CONCAT(IFERROR(SUBSTITUTE(ADDRESS(1,MATCH(A1855,INDIRECT("'"&amp;E1855&amp;"'"&amp;"!A" &amp; $O$781 + 8 &amp; ":Z" &amp; $O$781+ 8),0),4),1,""),""),$O$781 + 9)</f>
        <v>L174</v>
      </c>
      <c r="D1855" s="897" t="s">
        <v>1367</v>
      </c>
      <c r="E1855" s="897" t="s">
        <v>1535</v>
      </c>
      <c r="F1855" s="1418" t="s">
        <v>2079</v>
      </c>
      <c r="G1855" s="1418" t="str">
        <f t="shared" si="313"/>
        <v/>
      </c>
      <c r="H1855" s="1418" t="s">
        <v>1926</v>
      </c>
      <c r="I1855" s="857"/>
      <c r="J1855" s="1418"/>
      <c r="K1855" s="1418"/>
      <c r="L1855" s="897"/>
      <c r="M1855" s="1419"/>
      <c r="N1855" s="1418"/>
      <c r="R1855" s="1418" t="s">
        <v>1550</v>
      </c>
      <c r="T1855" s="1418" t="str">
        <f>IF(Q$781="Yes",12,"")</f>
        <v/>
      </c>
    </row>
    <row r="1856" spans="1:20" s="1411" customFormat="1" x14ac:dyDescent="0.25">
      <c r="A1856" s="925" t="s">
        <v>1512</v>
      </c>
      <c r="B1856" s="897" t="str">
        <f ca="1">_xlfn.CONCAT(IFERROR(SUBSTITUTE(ADDRESS(1,MATCH(A1856,INDIRECT("'"&amp;E1856&amp;"'"&amp;"!A" &amp; $O$796 + 8 &amp; ":Z" &amp; $O$796+ 8),0),4),1,""),""),$O$796 + 8)</f>
        <v>L187</v>
      </c>
      <c r="C1856" s="897" t="str">
        <f ca="1">_xlfn.CONCAT(IFERROR(SUBSTITUTE(ADDRESS(1,MATCH(A1856,INDIRECT("'"&amp;E1856&amp;"'"&amp;"!A" &amp; $O$796 + 8 &amp; ":Z" &amp; $O$796+ 8),0),4),1,""),""),$O$796 + 9)</f>
        <v>L188</v>
      </c>
      <c r="D1856" s="897" t="s">
        <v>1367</v>
      </c>
      <c r="E1856" s="897" t="s">
        <v>1535</v>
      </c>
      <c r="F1856" s="1418" t="s">
        <v>2079</v>
      </c>
      <c r="G1856" s="1418" t="str">
        <f t="shared" si="313"/>
        <v/>
      </c>
      <c r="H1856" s="1418" t="s">
        <v>1926</v>
      </c>
      <c r="I1856" s="857"/>
      <c r="J1856" s="1418"/>
      <c r="K1856" s="1418"/>
      <c r="L1856" s="897"/>
      <c r="M1856" s="1419"/>
      <c r="N1856" s="1418"/>
      <c r="R1856" s="1418" t="s">
        <v>1550</v>
      </c>
      <c r="T1856" s="1418" t="str">
        <f>IF(Q$796="Yes",13,"")</f>
        <v/>
      </c>
    </row>
    <row r="1857" spans="1:20" s="1411" customFormat="1" x14ac:dyDescent="0.25">
      <c r="A1857" s="925" t="s">
        <v>1512</v>
      </c>
      <c r="B1857" s="897" t="str">
        <f ca="1">_xlfn.CONCAT(IFERROR(SUBSTITUTE(ADDRESS(1,MATCH(A1857,INDIRECT("'"&amp;E1857&amp;"'"&amp;"!A" &amp; $O$814 + 8 &amp; ":Z" &amp; $O$814+ 8),0),4),1,""),""),$O$814 + 8)</f>
        <v>L201</v>
      </c>
      <c r="C1857" s="897" t="str">
        <f ca="1">_xlfn.CONCAT(IFERROR(SUBSTITUTE(ADDRESS(1,MATCH(A1857,INDIRECT("'"&amp;E1857&amp;"'"&amp;"!A" &amp; $O$814 + 8 &amp; ":Z" &amp; $O$814+ 8),0),4),1,""),""),$O$814 + 9)</f>
        <v>L202</v>
      </c>
      <c r="D1857" s="897" t="s">
        <v>1367</v>
      </c>
      <c r="E1857" s="897" t="s">
        <v>1535</v>
      </c>
      <c r="F1857" s="1418" t="s">
        <v>2079</v>
      </c>
      <c r="G1857" s="1418" t="str">
        <f t="shared" si="313"/>
        <v/>
      </c>
      <c r="H1857" s="1418" t="s">
        <v>1926</v>
      </c>
      <c r="I1857" s="857"/>
      <c r="J1857" s="1418"/>
      <c r="K1857" s="1418"/>
      <c r="L1857" s="897"/>
      <c r="M1857" s="1419"/>
      <c r="N1857" s="1418"/>
      <c r="R1857" s="1418" t="s">
        <v>1550</v>
      </c>
      <c r="T1857" s="1418" t="str">
        <f>IF(Q$814="Yes",14,"")</f>
        <v/>
      </c>
    </row>
    <row r="1858" spans="1:20" s="1411" customFormat="1" x14ac:dyDescent="0.25">
      <c r="A1858" s="925" t="s">
        <v>1512</v>
      </c>
      <c r="B1858" s="897" t="str">
        <f ca="1">_xlfn.CONCAT(IFERROR(SUBSTITUTE(ADDRESS(1,MATCH(A1858,INDIRECT("'"&amp;E1858&amp;"'"&amp;"!A" &amp; $O$832 + 12 &amp; ":Z" &amp; $O$832+ 12),0),4),1,""),""),$O$832 + 12)</f>
        <v>L219</v>
      </c>
      <c r="C1858" s="897" t="str">
        <f ca="1">_xlfn.CONCAT(IFERROR(SUBSTITUTE(ADDRESS(1,MATCH(A1858,INDIRECT("'"&amp;E1858&amp;"'"&amp;"!A" &amp; $O$832 + 12 &amp; ":Z" &amp; $O$832+ 12),0),4),1,""),""),$O$832 + 13)</f>
        <v>L220</v>
      </c>
      <c r="D1858" s="897" t="s">
        <v>1367</v>
      </c>
      <c r="E1858" s="897" t="s">
        <v>1535</v>
      </c>
      <c r="F1858" s="1418" t="s">
        <v>2079</v>
      </c>
      <c r="G1858" s="1418" t="str">
        <f t="shared" si="313"/>
        <v/>
      </c>
      <c r="H1858" s="1418" t="s">
        <v>1926</v>
      </c>
      <c r="I1858" s="857"/>
      <c r="J1858" s="1418"/>
      <c r="K1858" s="1418"/>
      <c r="L1858" s="897"/>
      <c r="M1858" s="1419"/>
      <c r="N1858" s="1418"/>
      <c r="R1858" s="1418" t="s">
        <v>1550</v>
      </c>
      <c r="T1858" s="1418" t="str">
        <f>IF(Q$832="Yes",15,"")</f>
        <v/>
      </c>
    </row>
    <row r="1859" spans="1:20" s="1411" customFormat="1" x14ac:dyDescent="0.25">
      <c r="A1859" s="925" t="s">
        <v>1512</v>
      </c>
      <c r="B1859" s="897" t="str">
        <f ca="1">_xlfn.CONCAT(IFERROR(SUBSTITUTE(ADDRESS(1,MATCH(A1859,INDIRECT("'"&amp;E1859&amp;"'"&amp;"!A" &amp; $O$862 + 12 &amp; ":Z" &amp; $O$862+ 12),0),4),1,""),""),$O$862 + 12)</f>
        <v>L235</v>
      </c>
      <c r="C1859" s="897" t="str">
        <f ca="1">_xlfn.CONCAT(IFERROR(SUBSTITUTE(ADDRESS(1,MATCH(A1859,INDIRECT("'"&amp;E1859&amp;"'"&amp;"!A" &amp; $O$862 + 12 &amp; ":Z" &amp; $O$862+ 12),0),4),1,""),""),$O$862 + 13)</f>
        <v>L236</v>
      </c>
      <c r="D1859" s="897" t="s">
        <v>1367</v>
      </c>
      <c r="E1859" s="897" t="s">
        <v>1535</v>
      </c>
      <c r="F1859" s="1418" t="s">
        <v>2079</v>
      </c>
      <c r="G1859" s="1418" t="str">
        <f t="shared" si="313"/>
        <v/>
      </c>
      <c r="H1859" s="1418" t="s">
        <v>1926</v>
      </c>
      <c r="I1859" s="857"/>
      <c r="J1859" s="1418"/>
      <c r="K1859" s="1418"/>
      <c r="L1859" s="897"/>
      <c r="M1859" s="1419"/>
      <c r="N1859" s="1418"/>
      <c r="R1859" s="1418" t="s">
        <v>1550</v>
      </c>
      <c r="T1859" s="1418" t="str">
        <f>IF(Q$862="Yes",16,"")</f>
        <v/>
      </c>
    </row>
    <row r="1860" spans="1:20" s="1411" customFormat="1" x14ac:dyDescent="0.25">
      <c r="A1860" s="925" t="s">
        <v>1512</v>
      </c>
      <c r="B1860" s="897" t="str">
        <f ca="1">_xlfn.CONCAT(IFERROR(SUBSTITUTE(ADDRESS(1,MATCH(A1860,INDIRECT("'"&amp;E1860&amp;"'"&amp;"!A" &amp; $O$892 + 8 &amp; ":Z" &amp; $O$892+ 8),0),4),1,""),""),$O$892 + 8)</f>
        <v>L247</v>
      </c>
      <c r="C1860" s="897" t="str">
        <f ca="1">_xlfn.CONCAT(IFERROR(SUBSTITUTE(ADDRESS(1,MATCH(A1860,INDIRECT("'"&amp;E1860&amp;"'"&amp;"!A" &amp; $O$892 + 8 &amp; ":Z" &amp; $O$892+ 8),0),4),1,""),""),$O$892 + 9)</f>
        <v>L248</v>
      </c>
      <c r="D1860" s="897" t="s">
        <v>1367</v>
      </c>
      <c r="E1860" s="897" t="s">
        <v>1535</v>
      </c>
      <c r="F1860" s="1418" t="s">
        <v>2079</v>
      </c>
      <c r="G1860" s="1418" t="str">
        <f t="shared" si="313"/>
        <v/>
      </c>
      <c r="H1860" s="1418" t="s">
        <v>1926</v>
      </c>
      <c r="I1860" s="857"/>
      <c r="J1860" s="1418"/>
      <c r="K1860" s="1418"/>
      <c r="L1860" s="897"/>
      <c r="M1860" s="1419"/>
      <c r="N1860" s="1418"/>
      <c r="R1860" s="1418" t="s">
        <v>395</v>
      </c>
      <c r="T1860" s="1418" t="str">
        <f t="shared" ref="T1860" si="315">IF(Q$892="Yes",17,"")</f>
        <v/>
      </c>
    </row>
    <row r="1861" spans="1:20" s="1411" customFormat="1" x14ac:dyDescent="0.25">
      <c r="A1861" s="925" t="s">
        <v>1512</v>
      </c>
      <c r="B1861" s="897" t="str">
        <f ca="1">_xlfn.CONCAT(IFERROR(SUBSTITUTE(ADDRESS(1,MATCH(A1861,INDIRECT("'"&amp;E1861&amp;"'"&amp;"!A" &amp; $O$911 + 8 &amp; ":Z" &amp; $O$911 + 8),0),4),1,""),""),$O$911 + 8)</f>
        <v>L261</v>
      </c>
      <c r="C1861" s="897" t="str">
        <f ca="1">_xlfn.CONCAT(IFERROR(SUBSTITUTE(ADDRESS(1,MATCH(A1861,INDIRECT("'"&amp;E1861&amp;"'"&amp;"!A" &amp; $O$911 + 8 &amp; ":Z" &amp; $O$911 + 8),0),4),1,""),""),$O$911 + 9)</f>
        <v>L262</v>
      </c>
      <c r="D1861" s="897" t="s">
        <v>1367</v>
      </c>
      <c r="E1861" s="897" t="s">
        <v>1535</v>
      </c>
      <c r="F1861" s="1418" t="s">
        <v>2079</v>
      </c>
      <c r="G1861" s="1418" t="str">
        <f t="shared" si="313"/>
        <v/>
      </c>
      <c r="H1861" s="1418" t="s">
        <v>1926</v>
      </c>
      <c r="I1861" s="857"/>
      <c r="J1861" s="1418"/>
      <c r="K1861" s="1418"/>
      <c r="L1861" s="897"/>
      <c r="M1861" s="1419"/>
      <c r="N1861" s="1418"/>
      <c r="R1861" s="1418" t="s">
        <v>395</v>
      </c>
      <c r="T1861" s="1418" t="str">
        <f>IF(Q$911="Yes",18,"")</f>
        <v/>
      </c>
    </row>
    <row r="1862" spans="1:20" s="1411" customFormat="1" x14ac:dyDescent="0.25">
      <c r="A1862" s="925" t="s">
        <v>1512</v>
      </c>
      <c r="B1862" s="897" t="str">
        <f ca="1">_xlfn.CONCAT(IFERROR(SUBSTITUTE(ADDRESS(1,MATCH(A1862,INDIRECT("'"&amp;E1862&amp;"'"&amp;"!A" &amp; $O$930 + 8 &amp; ":Z" &amp; $O$930 + 8),0),4),1,""),""),$O$930 + 8)</f>
        <v>L275</v>
      </c>
      <c r="C1862" s="897" t="str">
        <f ca="1">_xlfn.CONCAT(IFERROR(SUBSTITUTE(ADDRESS(1,MATCH(A1862,INDIRECT("'"&amp;E1862&amp;"'"&amp;"!A" &amp; $O$930 + 8 &amp; ":Z" &amp; $O$930 + 8),0),4),1,""),""),$O$930 + 9)</f>
        <v>L276</v>
      </c>
      <c r="D1862" s="897" t="s">
        <v>1367</v>
      </c>
      <c r="E1862" s="897" t="s">
        <v>1535</v>
      </c>
      <c r="F1862" s="1418" t="s">
        <v>2079</v>
      </c>
      <c r="G1862" s="1418" t="str">
        <f t="shared" si="313"/>
        <v/>
      </c>
      <c r="H1862" s="1418" t="s">
        <v>1926</v>
      </c>
      <c r="I1862" s="857"/>
      <c r="J1862" s="1418"/>
      <c r="K1862" s="1418"/>
      <c r="L1862" s="897"/>
      <c r="M1862" s="1419"/>
      <c r="N1862" s="1418"/>
      <c r="R1862" s="1418" t="s">
        <v>395</v>
      </c>
      <c r="T1862" s="1418" t="str">
        <f>IF(Q$930="Yes",19,"")</f>
        <v/>
      </c>
    </row>
    <row r="1863" spans="1:20" s="1411" customFormat="1" x14ac:dyDescent="0.25">
      <c r="A1863" s="925" t="s">
        <v>1512</v>
      </c>
      <c r="B1863" s="897" t="str">
        <f ca="1">_xlfn.CONCAT(IFERROR(SUBSTITUTE(ADDRESS(1,MATCH(A1863,INDIRECT("'"&amp;E1863&amp;"'"&amp;"!A" &amp; $O$949 + 8 &amp; ":Z" &amp; $O$949 + 8),0),4),1,""),""),$O$949 + 8)</f>
        <v>L289</v>
      </c>
      <c r="C1863" s="897" t="str">
        <f ca="1">_xlfn.CONCAT(IFERROR(SUBSTITUTE(ADDRESS(1,MATCH(A1863,INDIRECT("'"&amp;E1863&amp;"'"&amp;"!A" &amp; $O$949 + 8 &amp; ":Z" &amp; $O$949 + 8),0),4),1,""),""),$O$949 + 9)</f>
        <v>L290</v>
      </c>
      <c r="D1863" s="897" t="s">
        <v>1367</v>
      </c>
      <c r="E1863" s="897" t="s">
        <v>1535</v>
      </c>
      <c r="F1863" s="1418" t="s">
        <v>2079</v>
      </c>
      <c r="G1863" s="1418" t="str">
        <f t="shared" si="313"/>
        <v/>
      </c>
      <c r="H1863" s="1418" t="s">
        <v>1926</v>
      </c>
      <c r="I1863" s="857"/>
      <c r="J1863" s="1418"/>
      <c r="K1863" s="1418"/>
      <c r="L1863" s="897"/>
      <c r="M1863" s="1419"/>
      <c r="N1863" s="1418"/>
      <c r="R1863" s="1418" t="s">
        <v>395</v>
      </c>
      <c r="T1863" s="1418" t="str">
        <f>IF(Q$949="Yes",20,"")</f>
        <v/>
      </c>
    </row>
    <row r="1864" spans="1:20" s="1411" customFormat="1" x14ac:dyDescent="0.25">
      <c r="A1864" s="925" t="s">
        <v>1512</v>
      </c>
      <c r="B1864" s="897" t="str">
        <f ca="1">_xlfn.CONCAT(IFERROR(SUBSTITUTE(ADDRESS(1,MATCH(A1864,INDIRECT("'"&amp;E1864&amp;"'"&amp;"!A" &amp; $O$968 + 8 &amp; ":Z" &amp; $O$968 + 8),0),4),1,""),""),$O$968 + 8)</f>
        <v>L303</v>
      </c>
      <c r="C1864" s="897" t="str">
        <f ca="1">_xlfn.CONCAT(IFERROR(SUBSTITUTE(ADDRESS(1,MATCH(A1864,INDIRECT("'"&amp;E1864&amp;"'"&amp;"!A" &amp; $O$968 + 8 &amp; ":Z" &amp; $O$968 + 8),0),4),1,""),""),$O$968 + 9)</f>
        <v>L304</v>
      </c>
      <c r="D1864" s="897" t="s">
        <v>1367</v>
      </c>
      <c r="E1864" s="897" t="s">
        <v>1535</v>
      </c>
      <c r="F1864" s="1418" t="s">
        <v>2079</v>
      </c>
      <c r="G1864" s="1418" t="str">
        <f t="shared" si="313"/>
        <v/>
      </c>
      <c r="H1864" s="1418" t="s">
        <v>1926</v>
      </c>
      <c r="I1864" s="857"/>
      <c r="J1864" s="1418"/>
      <c r="K1864" s="1418"/>
      <c r="L1864" s="897"/>
      <c r="M1864" s="1419"/>
      <c r="N1864" s="1418"/>
      <c r="R1864" s="1418" t="s">
        <v>395</v>
      </c>
      <c r="T1864" s="1418" t="str">
        <f>IF(Q$968="Yes",21,"")</f>
        <v/>
      </c>
    </row>
    <row r="1865" spans="1:20" s="1411" customFormat="1" x14ac:dyDescent="0.25">
      <c r="A1865" s="925" t="s">
        <v>1512</v>
      </c>
      <c r="B1865" s="897" t="str">
        <f ca="1">_xlfn.CONCAT(IFERROR(SUBSTITUTE(ADDRESS(1,MATCH(A1865,INDIRECT("'"&amp;E1865&amp;"'"&amp;"!A" &amp; $O$987 + 8 &amp; ":Z" &amp; $O$987 + 8),0),4),1,""),""),$O$987 + 8)</f>
        <v>L317</v>
      </c>
      <c r="C1865" s="897" t="str">
        <f ca="1">_xlfn.CONCAT(IFERROR(SUBSTITUTE(ADDRESS(1,MATCH(A1865,INDIRECT("'"&amp;E1865&amp;"'"&amp;"!A" &amp; $O$987 + 8 &amp; ":Z" &amp; $O$987 + 8),0),4),1,""),""),$O$987 + 9)</f>
        <v>L318</v>
      </c>
      <c r="D1865" s="897" t="s">
        <v>1367</v>
      </c>
      <c r="E1865" s="897" t="s">
        <v>1535</v>
      </c>
      <c r="F1865" s="1418" t="s">
        <v>2079</v>
      </c>
      <c r="G1865" s="1418" t="str">
        <f t="shared" si="313"/>
        <v/>
      </c>
      <c r="H1865" s="1418" t="s">
        <v>1926</v>
      </c>
      <c r="I1865" s="857"/>
      <c r="J1865" s="1418"/>
      <c r="K1865" s="1418"/>
      <c r="L1865" s="897"/>
      <c r="M1865" s="1419"/>
      <c r="N1865" s="1418"/>
      <c r="R1865" s="1418" t="s">
        <v>1715</v>
      </c>
      <c r="T1865" s="1418" t="str">
        <f>IF(Q$987="Yes",22,"")</f>
        <v/>
      </c>
    </row>
    <row r="1866" spans="1:20" s="1411" customFormat="1" x14ac:dyDescent="0.25">
      <c r="A1866" s="925" t="s">
        <v>1512</v>
      </c>
      <c r="B1866" s="897" t="str">
        <f ca="1">_xlfn.CONCAT(IFERROR(SUBSTITUTE(ADDRESS(1,MATCH(A1866,INDIRECT("'"&amp;E1866&amp;"'"&amp;"!A" &amp; $O$1038 + 8 &amp; ":Z" &amp; $O$1038 + 8),0),4),1,""),""),$O$1038+ 8)</f>
        <v>L373</v>
      </c>
      <c r="C1866" s="897" t="str">
        <f ca="1">_xlfn.CONCAT(IFERROR(SUBSTITUTE(ADDRESS(1,MATCH(A1866,INDIRECT("'"&amp;E1866&amp;"'"&amp;"!A" &amp; $O$1038 + 8 &amp; ":Z" &amp; $O$1038 + 8),0),4),1,""),""),$O$1038+ 9)</f>
        <v>L374</v>
      </c>
      <c r="D1866" s="897" t="s">
        <v>1367</v>
      </c>
      <c r="E1866" s="897" t="s">
        <v>1535</v>
      </c>
      <c r="F1866" s="1418" t="s">
        <v>2079</v>
      </c>
      <c r="G1866" s="1418" t="str">
        <f t="shared" si="313"/>
        <v/>
      </c>
      <c r="H1866" s="1418" t="s">
        <v>1926</v>
      </c>
      <c r="I1866" s="857"/>
      <c r="J1866" s="1418"/>
      <c r="K1866" s="1418"/>
      <c r="L1866" s="897"/>
      <c r="M1866" s="1419"/>
      <c r="N1866" s="1418"/>
      <c r="R1866" s="1418" t="s">
        <v>1142</v>
      </c>
      <c r="T1866" s="1418" t="str">
        <f t="shared" ref="T1866" si="316">IF(Q$1038="Yes",26,"")</f>
        <v/>
      </c>
    </row>
    <row r="1867" spans="1:20" s="1411" customFormat="1" x14ac:dyDescent="0.25">
      <c r="A1867" s="925" t="s">
        <v>1527</v>
      </c>
      <c r="B1867" s="897" t="str">
        <f ca="1">_xlfn.CONCAT(IFERROR(SUBSTITUTE(ADDRESS(1,MATCH(A1867,INDIRECT("'"&amp;E1867&amp;"'"&amp;"!A" &amp; $O$796 + 8 &amp; ":Z" &amp; $O$796+ 8),0),4),1,""),""),$O$796 + 8)</f>
        <v>P187</v>
      </c>
      <c r="C1867" s="897" t="str">
        <f ca="1">_xlfn.CONCAT(IFERROR(SUBSTITUTE(ADDRESS(1,MATCH(A1867,INDIRECT("'"&amp;E1867&amp;"'"&amp;"!A" &amp; $O$796 + 8 &amp; ":Z" &amp; $O$796+ 8),0),4),1,""),""),$O$796 + 9)</f>
        <v>P188</v>
      </c>
      <c r="D1867" s="897" t="s">
        <v>1367</v>
      </c>
      <c r="E1867" s="897" t="s">
        <v>1535</v>
      </c>
      <c r="F1867" s="1418" t="s">
        <v>1527</v>
      </c>
      <c r="G1867" s="1418" t="str">
        <f>IF(T1867&lt;&gt;"","P","")</f>
        <v/>
      </c>
      <c r="H1867" s="1418" t="s">
        <v>1926</v>
      </c>
      <c r="I1867" s="857"/>
      <c r="J1867" s="1418"/>
      <c r="K1867" s="1418"/>
      <c r="L1867" s="897"/>
      <c r="M1867" s="1419"/>
      <c r="N1867" s="1418"/>
      <c r="R1867" s="1418" t="s">
        <v>1550</v>
      </c>
      <c r="T1867" s="1418" t="str">
        <f>IF(Q$796="Yes",13,"")</f>
        <v/>
      </c>
    </row>
    <row r="1868" spans="1:20" s="1411" customFormat="1" x14ac:dyDescent="0.25">
      <c r="A1868" s="925" t="s">
        <v>1527</v>
      </c>
      <c r="B1868" s="897" t="str">
        <f ca="1">_xlfn.CONCAT(IFERROR(SUBSTITUTE(ADDRESS(1,MATCH(A1868,INDIRECT("'"&amp;E1868&amp;"'"&amp;"!A" &amp; $O$814 + 8 &amp; ":Z" &amp; $O$814+ 8),0),4),1,""),""),$O$814 + 8)</f>
        <v>P201</v>
      </c>
      <c r="C1868" s="897" t="str">
        <f ca="1">_xlfn.CONCAT(IFERROR(SUBSTITUTE(ADDRESS(1,MATCH(A1868,INDIRECT("'"&amp;E1868&amp;"'"&amp;"!A" &amp; $O$814 + 8 &amp; ":Z" &amp; $O$814+ 8),0),4),1,""),""),$O$814 + 9)</f>
        <v>P202</v>
      </c>
      <c r="D1868" s="897" t="s">
        <v>1367</v>
      </c>
      <c r="E1868" s="897" t="s">
        <v>1535</v>
      </c>
      <c r="F1868" s="1418" t="s">
        <v>1527</v>
      </c>
      <c r="G1868" s="1418" t="str">
        <f t="shared" ref="G1868:G1871" si="317">IF(T1868&lt;&gt;"","P","")</f>
        <v/>
      </c>
      <c r="H1868" s="1418" t="s">
        <v>1926</v>
      </c>
      <c r="I1868" s="857"/>
      <c r="J1868" s="1418"/>
      <c r="K1868" s="1418"/>
      <c r="L1868" s="897"/>
      <c r="M1868" s="1419"/>
      <c r="N1868" s="1418"/>
      <c r="R1868" s="1418" t="s">
        <v>1550</v>
      </c>
      <c r="T1868" s="1418" t="str">
        <f>IF(Q$814="Yes",14,"")</f>
        <v/>
      </c>
    </row>
    <row r="1869" spans="1:20" s="1411" customFormat="1" x14ac:dyDescent="0.25">
      <c r="A1869" s="925" t="s">
        <v>1527</v>
      </c>
      <c r="B1869" s="897" t="str">
        <f ca="1">_xlfn.CONCAT(IFERROR(SUBSTITUTE(ADDRESS(1,MATCH(A1869,INDIRECT("'"&amp;E1869&amp;"'"&amp;"!A" &amp; $O$832 + 12 &amp; ":Z" &amp; $O$832+ 12),0),4),1,""),""),$O$832 + 12)</f>
        <v>P219</v>
      </c>
      <c r="C1869" s="897" t="str">
        <f ca="1">_xlfn.CONCAT(IFERROR(SUBSTITUTE(ADDRESS(1,MATCH(A1869,INDIRECT("'"&amp;E1869&amp;"'"&amp;"!A" &amp; $O$832 + 12 &amp; ":Z" &amp; $O$832+ 12),0),4),1,""),""),$O$832 + 13)</f>
        <v>P220</v>
      </c>
      <c r="D1869" s="897" t="s">
        <v>1367</v>
      </c>
      <c r="E1869" s="897" t="s">
        <v>1535</v>
      </c>
      <c r="F1869" s="1418" t="s">
        <v>1527</v>
      </c>
      <c r="G1869" s="1418" t="str">
        <f t="shared" si="317"/>
        <v/>
      </c>
      <c r="H1869" s="1418" t="s">
        <v>1926</v>
      </c>
      <c r="I1869" s="857"/>
      <c r="J1869" s="1418"/>
      <c r="K1869" s="1418"/>
      <c r="L1869" s="897"/>
      <c r="M1869" s="1419"/>
      <c r="N1869" s="1418"/>
      <c r="R1869" s="1418" t="s">
        <v>1550</v>
      </c>
      <c r="T1869" s="1418" t="str">
        <f>IF(Q$832="Yes",15,"")</f>
        <v/>
      </c>
    </row>
    <row r="1870" spans="1:20" s="1411" customFormat="1" x14ac:dyDescent="0.25">
      <c r="A1870" s="925" t="s">
        <v>1527</v>
      </c>
      <c r="B1870" s="897" t="str">
        <f ca="1">_xlfn.CONCAT(IFERROR(SUBSTITUTE(ADDRESS(1,MATCH(A1870,INDIRECT("'"&amp;E1870&amp;"'"&amp;"!A" &amp; $O$862 + 12 &amp; ":Z" &amp; $O$862+ 12),0),4),1,""),""),$O$862 + 12)</f>
        <v>P235</v>
      </c>
      <c r="C1870" s="897" t="str">
        <f ca="1">_xlfn.CONCAT(IFERROR(SUBSTITUTE(ADDRESS(1,MATCH(A1870,INDIRECT("'"&amp;E1870&amp;"'"&amp;"!A" &amp; $O$862 + 12 &amp; ":Z" &amp; $O$862+ 12),0),4),1,""),""),$O$862 + 13)</f>
        <v>P236</v>
      </c>
      <c r="D1870" s="897" t="s">
        <v>1367</v>
      </c>
      <c r="E1870" s="897" t="s">
        <v>1535</v>
      </c>
      <c r="F1870" s="1418" t="s">
        <v>1527</v>
      </c>
      <c r="G1870" s="1418" t="str">
        <f t="shared" si="317"/>
        <v/>
      </c>
      <c r="H1870" s="1418" t="s">
        <v>1926</v>
      </c>
      <c r="I1870" s="857"/>
      <c r="J1870" s="1418"/>
      <c r="K1870" s="1418"/>
      <c r="L1870" s="897"/>
      <c r="M1870" s="1419"/>
      <c r="N1870" s="1418"/>
      <c r="R1870" s="1418" t="s">
        <v>1550</v>
      </c>
      <c r="T1870" s="1418" t="str">
        <f>IF(Q$862="Yes",16,"")</f>
        <v/>
      </c>
    </row>
    <row r="1871" spans="1:20" s="1411" customFormat="1" x14ac:dyDescent="0.25">
      <c r="A1871" s="925" t="s">
        <v>1527</v>
      </c>
      <c r="B1871" s="897" t="str">
        <f ca="1">_xlfn.CONCAT(IFERROR(SUBSTITUTE(ADDRESS(1,MATCH(A1871,INDIRECT("'"&amp;E1871&amp;"'"&amp;"!A" &amp; $O$987 + 8 &amp; ":Z" &amp; $O$987 + 8),0),4),1,""),""),$O$987 + 8)</f>
        <v>P317</v>
      </c>
      <c r="C1871" s="897" t="str">
        <f ca="1">_xlfn.CONCAT(IFERROR(SUBSTITUTE(ADDRESS(1,MATCH(A1871,INDIRECT("'"&amp;E1871&amp;"'"&amp;"!A" &amp; $O$987 + 8 &amp; ":Z" &amp; $O$987 + 8),0),4),1,""),""),$O$987 + 9)</f>
        <v>P318</v>
      </c>
      <c r="D1871" s="897" t="s">
        <v>1367</v>
      </c>
      <c r="E1871" s="897" t="s">
        <v>1535</v>
      </c>
      <c r="F1871" s="1418" t="s">
        <v>1527</v>
      </c>
      <c r="G1871" s="1418" t="str">
        <f t="shared" si="317"/>
        <v/>
      </c>
      <c r="H1871" s="1418" t="s">
        <v>1926</v>
      </c>
      <c r="I1871" s="857"/>
      <c r="J1871" s="1418"/>
      <c r="K1871" s="1418"/>
      <c r="L1871" s="897"/>
      <c r="M1871" s="1419"/>
      <c r="N1871" s="1418"/>
      <c r="R1871" s="1418" t="s">
        <v>1715</v>
      </c>
      <c r="T1871" s="1418" t="str">
        <f>IF(Q$987="Yes",22,"")</f>
        <v/>
      </c>
    </row>
    <row r="1872" spans="1:20" s="1411" customFormat="1" x14ac:dyDescent="0.25">
      <c r="A1872" s="925" t="s">
        <v>1526</v>
      </c>
      <c r="B1872" s="897" t="str">
        <f ca="1">_xlfn.CONCAT(IFERROR(SUBSTITUTE(ADDRESS(1,MATCH(A1872,INDIRECT("'"&amp;E1872&amp;"'"&amp;"!A" &amp; $O$570+8 &amp; ":Z" &amp; $O$570+8),0),4),1,""),""),$O$570+8)</f>
        <v>N39</v>
      </c>
      <c r="C1872" s="897" t="str">
        <f ca="1">_xlfn.CONCAT(IFERROR(SUBSTITUTE(ADDRESS(1,MATCH(A1872,INDIRECT("'"&amp;E1872&amp;"'"&amp;"!A" &amp; $O$570+8 &amp; ":Z" &amp; $O$570+8),0),4),1,""),""),$O$570+9)</f>
        <v>N40</v>
      </c>
      <c r="D1872" s="897" t="s">
        <v>1367</v>
      </c>
      <c r="E1872" s="897" t="s">
        <v>1535</v>
      </c>
      <c r="F1872" s="1418" t="s">
        <v>1526</v>
      </c>
      <c r="G1872" s="1418" t="str">
        <f>IF(T1872&lt;&gt;"","Q","")</f>
        <v/>
      </c>
      <c r="H1872" s="1418" t="s">
        <v>1926</v>
      </c>
      <c r="I1872" s="857" t="str">
        <f t="shared" ref="I1872:I1880" si="318">IF(J1872&lt;&gt;"",A1872,"")</f>
        <v/>
      </c>
      <c r="J1872" s="1418"/>
      <c r="K1872" s="1418" t="str">
        <f t="shared" ref="K1872:K1880" si="319">IF(J1872&lt;&gt;"",E1872,"")</f>
        <v/>
      </c>
      <c r="L1872" s="897"/>
      <c r="M1872" s="1419"/>
      <c r="N1872" s="1418"/>
      <c r="R1872" s="1418" t="s">
        <v>855</v>
      </c>
      <c r="T1872" s="1418" t="str">
        <f>IF(Q$570="Yes",3,"")</f>
        <v/>
      </c>
    </row>
    <row r="1873" spans="1:20" s="1411" customFormat="1" x14ac:dyDescent="0.25">
      <c r="A1873" s="925" t="s">
        <v>1526</v>
      </c>
      <c r="B1873" s="897" t="str">
        <f ca="1">_xlfn.CONCAT(IFERROR(SUBSTITUTE(ADDRESS(1,MATCH(A1873,INDIRECT("'"&amp;E1873&amp;"'"&amp;"!A" &amp; $O$589+8 &amp; ":Z" &amp; $O$589+8),0),4),1,""),""),$O$589+8)</f>
        <v>N53</v>
      </c>
      <c r="C1873" s="897" t="str">
        <f ca="1">_xlfn.CONCAT(IFERROR(SUBSTITUTE(ADDRESS(1,MATCH(A1873,INDIRECT("'"&amp;E1873&amp;"'"&amp;"!A" &amp; $O$589+8 &amp; ":Z" &amp; $O$589+8),0),4),1,""),""),$O$589+9)</f>
        <v>N54</v>
      </c>
      <c r="D1873" s="897" t="s">
        <v>1367</v>
      </c>
      <c r="E1873" s="897" t="s">
        <v>1535</v>
      </c>
      <c r="F1873" s="1418" t="s">
        <v>1526</v>
      </c>
      <c r="G1873" s="1418" t="str">
        <f t="shared" ref="G1873:G1885" si="320">IF(T1873&lt;&gt;"","Q","")</f>
        <v/>
      </c>
      <c r="H1873" s="1418" t="s">
        <v>1926</v>
      </c>
      <c r="I1873" s="857" t="str">
        <f t="shared" si="318"/>
        <v/>
      </c>
      <c r="J1873" s="1418"/>
      <c r="K1873" s="1418" t="str">
        <f t="shared" si="319"/>
        <v/>
      </c>
      <c r="L1873" s="897"/>
      <c r="M1873" s="1419"/>
      <c r="N1873" s="1418"/>
      <c r="R1873" s="1418" t="s">
        <v>855</v>
      </c>
      <c r="T1873" s="1418" t="str">
        <f>IF(Q$589="Yes",4,"")</f>
        <v/>
      </c>
    </row>
    <row r="1874" spans="1:20" s="1411" customFormat="1" x14ac:dyDescent="0.25">
      <c r="A1874" s="925" t="s">
        <v>1526</v>
      </c>
      <c r="B1874" s="897" t="str">
        <f ca="1">_xlfn.CONCAT(IFERROR(SUBSTITUTE(ADDRESS(1,MATCH(A1874,INDIRECT("'"&amp;E1874&amp;"'"&amp;"!A" &amp; $O$608 + 12 &amp; ":Z" &amp; $O$608+12),0),4),1,""),""),$O$608+12)</f>
        <v>N71</v>
      </c>
      <c r="C1874" s="897" t="str">
        <f ca="1">_xlfn.CONCAT(IFERROR(SUBSTITUTE(ADDRESS(1,MATCH(A1874,INDIRECT("'"&amp;E1874&amp;"'"&amp;"!A" &amp; $O$608 + 12 &amp; ":Z" &amp; $O$608+12),0),4),1,""),""),$O$608+13)</f>
        <v>N72</v>
      </c>
      <c r="D1874" s="897" t="s">
        <v>1367</v>
      </c>
      <c r="E1874" s="897" t="s">
        <v>1535</v>
      </c>
      <c r="F1874" s="1418" t="s">
        <v>1526</v>
      </c>
      <c r="G1874" s="1418" t="str">
        <f t="shared" si="320"/>
        <v/>
      </c>
      <c r="H1874" s="1418" t="s">
        <v>1926</v>
      </c>
      <c r="I1874" s="857" t="str">
        <f t="shared" si="318"/>
        <v/>
      </c>
      <c r="J1874" s="1418" t="str">
        <f t="shared" ref="J1874:J1880" si="321">IF(M1874&lt;&gt;"",Q$1&amp;M1874,"")</f>
        <v/>
      </c>
      <c r="K1874" s="1418" t="str">
        <f t="shared" si="319"/>
        <v/>
      </c>
      <c r="L1874" s="897"/>
      <c r="M1874" s="1419"/>
      <c r="N1874" s="1418"/>
      <c r="R1874" s="1425" t="s">
        <v>855</v>
      </c>
      <c r="T1874" s="1418" t="str">
        <f>IF(Q$608="Yes",5,"")</f>
        <v/>
      </c>
    </row>
    <row r="1875" spans="1:20" s="1411" customFormat="1" x14ac:dyDescent="0.25">
      <c r="A1875" s="925" t="s">
        <v>1526</v>
      </c>
      <c r="B1875" s="897" t="str">
        <f ca="1">_xlfn.CONCAT(IFERROR(SUBSTITUTE(ADDRESS(1,MATCH(A1875,INDIRECT("'"&amp;E1875&amp;"'"&amp;"!A" &amp; $O$639 + 12 &amp; ":Z" &amp; $O$639 + 12),0),4),1,""),""),$O$639 + 12)</f>
        <v>N87</v>
      </c>
      <c r="C1875" s="897" t="str">
        <f ca="1">_xlfn.CONCAT(IFERROR(SUBSTITUTE(ADDRESS(1,MATCH(A1875,INDIRECT("'"&amp;E1875&amp;"'"&amp;"!A" &amp; $O$639 + 12 &amp; ":Z" &amp; $O$639 + 12),0),4),1,""),""),$O$639 + 13)</f>
        <v>N88</v>
      </c>
      <c r="D1875" s="897" t="s">
        <v>1367</v>
      </c>
      <c r="E1875" s="897" t="s">
        <v>1535</v>
      </c>
      <c r="F1875" s="1418" t="s">
        <v>1526</v>
      </c>
      <c r="G1875" s="1418" t="str">
        <f t="shared" si="320"/>
        <v/>
      </c>
      <c r="H1875" s="1418" t="s">
        <v>1926</v>
      </c>
      <c r="I1875" s="857" t="str">
        <f t="shared" si="318"/>
        <v/>
      </c>
      <c r="J1875" s="1418" t="str">
        <f t="shared" si="321"/>
        <v/>
      </c>
      <c r="K1875" s="1418" t="str">
        <f t="shared" si="319"/>
        <v/>
      </c>
      <c r="L1875" s="897"/>
      <c r="M1875" s="1419"/>
      <c r="N1875" s="1418"/>
      <c r="R1875" s="1425" t="s">
        <v>855</v>
      </c>
      <c r="T1875" s="1418" t="str">
        <f>IF(Q$639="Yes",6,"")</f>
        <v/>
      </c>
    </row>
    <row r="1876" spans="1:20" s="1411" customFormat="1" x14ac:dyDescent="0.25">
      <c r="A1876" s="925" t="s">
        <v>1526</v>
      </c>
      <c r="B1876" s="897" t="str">
        <f ca="1">_xlfn.CONCAT(IFERROR(SUBSTITUTE(ADDRESS(1,MATCH(A1876,INDIRECT("'"&amp;E1876&amp;"'"&amp;"!A" &amp; $O$892 + 8 &amp; ":Z" &amp; $O$892+ 8),0),4),1,""),""),$O$892 + 8)</f>
        <v>N247</v>
      </c>
      <c r="C1876" s="897" t="str">
        <f ca="1">_xlfn.CONCAT(IFERROR(SUBSTITUTE(ADDRESS(1,MATCH(A1876,INDIRECT("'"&amp;E1876&amp;"'"&amp;"!A" &amp; $O$892 + 8 &amp; ":Z" &amp; $O$892+ 8),0),4),1,""),""),$O$892 + 9)</f>
        <v>N248</v>
      </c>
      <c r="D1876" s="897" t="s">
        <v>1367</v>
      </c>
      <c r="E1876" s="897" t="s">
        <v>1535</v>
      </c>
      <c r="F1876" s="1418" t="s">
        <v>1526</v>
      </c>
      <c r="G1876" s="1418" t="str">
        <f t="shared" si="320"/>
        <v/>
      </c>
      <c r="H1876" s="1418" t="s">
        <v>1926</v>
      </c>
      <c r="I1876" s="857" t="str">
        <f t="shared" si="318"/>
        <v/>
      </c>
      <c r="J1876" s="1418" t="str">
        <f t="shared" si="321"/>
        <v/>
      </c>
      <c r="K1876" s="1418" t="str">
        <f t="shared" si="319"/>
        <v/>
      </c>
      <c r="L1876" s="897"/>
      <c r="M1876" s="1419"/>
      <c r="N1876" s="1418"/>
      <c r="R1876" s="1418" t="s">
        <v>395</v>
      </c>
      <c r="T1876" s="1418" t="str">
        <f t="shared" ref="T1876" si="322">IF(Q$892="Yes",17,"")</f>
        <v/>
      </c>
    </row>
    <row r="1877" spans="1:20" s="1411" customFormat="1" x14ac:dyDescent="0.25">
      <c r="A1877" s="925" t="s">
        <v>1526</v>
      </c>
      <c r="B1877" s="897" t="str">
        <f ca="1">_xlfn.CONCAT(IFERROR(SUBSTITUTE(ADDRESS(1,MATCH(A1877,INDIRECT("'"&amp;E1877&amp;"'"&amp;"!A" &amp; $O$911 + 8 &amp; ":Z" &amp; $O$911 + 8),0),4),1,""),""),$O$911 + 8)</f>
        <v>N261</v>
      </c>
      <c r="C1877" s="897" t="str">
        <f ca="1">_xlfn.CONCAT(IFERROR(SUBSTITUTE(ADDRESS(1,MATCH(A1877,INDIRECT("'"&amp;E1877&amp;"'"&amp;"!A" &amp; $O$911 + 8 &amp; ":Z" &amp; $O$911 + 8),0),4),1,""),""),$O$911 + 9)</f>
        <v>N262</v>
      </c>
      <c r="D1877" s="897" t="s">
        <v>1367</v>
      </c>
      <c r="E1877" s="897" t="s">
        <v>1535</v>
      </c>
      <c r="F1877" s="1418" t="s">
        <v>1526</v>
      </c>
      <c r="G1877" s="1418" t="str">
        <f t="shared" si="320"/>
        <v/>
      </c>
      <c r="H1877" s="1418" t="s">
        <v>1926</v>
      </c>
      <c r="I1877" s="857" t="str">
        <f t="shared" si="318"/>
        <v/>
      </c>
      <c r="J1877" s="1418" t="str">
        <f t="shared" si="321"/>
        <v/>
      </c>
      <c r="K1877" s="1418" t="str">
        <f t="shared" si="319"/>
        <v/>
      </c>
      <c r="L1877" s="897"/>
      <c r="M1877" s="1419"/>
      <c r="N1877" s="1418"/>
      <c r="R1877" s="1418" t="s">
        <v>395</v>
      </c>
      <c r="T1877" s="1418" t="str">
        <f>IF(Q$911="Yes",18,"")</f>
        <v/>
      </c>
    </row>
    <row r="1878" spans="1:20" s="1411" customFormat="1" x14ac:dyDescent="0.25">
      <c r="A1878" s="925" t="s">
        <v>1526</v>
      </c>
      <c r="B1878" s="897" t="str">
        <f ca="1">_xlfn.CONCAT(IFERROR(SUBSTITUTE(ADDRESS(1,MATCH(A1878,INDIRECT("'"&amp;E1878&amp;"'"&amp;"!A" &amp; $O$930 + 8 &amp; ":Z" &amp; $O$930 + 8),0),4),1,""),""),$O$930 + 8)</f>
        <v>N275</v>
      </c>
      <c r="C1878" s="897" t="str">
        <f ca="1">_xlfn.CONCAT(IFERROR(SUBSTITUTE(ADDRESS(1,MATCH(A1878,INDIRECT("'"&amp;E1878&amp;"'"&amp;"!A" &amp; $O$930 + 8 &amp; ":Z" &amp; $O$930 + 8),0),4),1,""),""),$O$930 + 9)</f>
        <v>N276</v>
      </c>
      <c r="D1878" s="897" t="s">
        <v>1367</v>
      </c>
      <c r="E1878" s="897" t="s">
        <v>1535</v>
      </c>
      <c r="F1878" s="1418" t="s">
        <v>1526</v>
      </c>
      <c r="G1878" s="1418" t="str">
        <f t="shared" si="320"/>
        <v/>
      </c>
      <c r="H1878" s="1418" t="s">
        <v>1926</v>
      </c>
      <c r="I1878" s="857" t="str">
        <f t="shared" si="318"/>
        <v/>
      </c>
      <c r="J1878" s="1418" t="str">
        <f t="shared" si="321"/>
        <v/>
      </c>
      <c r="K1878" s="1418" t="str">
        <f t="shared" si="319"/>
        <v/>
      </c>
      <c r="L1878" s="897"/>
      <c r="M1878" s="1419"/>
      <c r="N1878" s="1418"/>
      <c r="R1878" s="1418" t="s">
        <v>395</v>
      </c>
      <c r="T1878" s="1418" t="str">
        <f>IF(Q$930="Yes",19,"")</f>
        <v/>
      </c>
    </row>
    <row r="1879" spans="1:20" s="1411" customFormat="1" x14ac:dyDescent="0.25">
      <c r="A1879" s="925" t="s">
        <v>1526</v>
      </c>
      <c r="B1879" s="897" t="str">
        <f ca="1">_xlfn.CONCAT(IFERROR(SUBSTITUTE(ADDRESS(1,MATCH(A1879,INDIRECT("'"&amp;E1879&amp;"'"&amp;"!A" &amp; $O$949 + 8 &amp; ":Z" &amp; $O$949 + 8),0),4),1,""),""),$O$949 + 8)</f>
        <v>N289</v>
      </c>
      <c r="C1879" s="897" t="str">
        <f ca="1">_xlfn.CONCAT(IFERROR(SUBSTITUTE(ADDRESS(1,MATCH(A1879,INDIRECT("'"&amp;E1879&amp;"'"&amp;"!A" &amp; $O$949 + 8 &amp; ":Z" &amp; $O$949 + 8),0),4),1,""),""),$O$949 + 9)</f>
        <v>N290</v>
      </c>
      <c r="D1879" s="897" t="s">
        <v>1367</v>
      </c>
      <c r="E1879" s="897" t="s">
        <v>1535</v>
      </c>
      <c r="F1879" s="1418" t="s">
        <v>1526</v>
      </c>
      <c r="G1879" s="1418" t="str">
        <f t="shared" si="320"/>
        <v/>
      </c>
      <c r="H1879" s="1418" t="s">
        <v>1926</v>
      </c>
      <c r="I1879" s="857" t="str">
        <f t="shared" si="318"/>
        <v/>
      </c>
      <c r="J1879" s="1418" t="str">
        <f t="shared" si="321"/>
        <v/>
      </c>
      <c r="K1879" s="1418" t="str">
        <f t="shared" si="319"/>
        <v/>
      </c>
      <c r="L1879" s="897"/>
      <c r="M1879" s="1419"/>
      <c r="N1879" s="1418"/>
      <c r="R1879" s="1418" t="s">
        <v>395</v>
      </c>
      <c r="T1879" s="1418" t="str">
        <f>IF(Q$949="Yes",20,"")</f>
        <v/>
      </c>
    </row>
    <row r="1880" spans="1:20" s="1411" customFormat="1" x14ac:dyDescent="0.25">
      <c r="A1880" s="925" t="s">
        <v>1526</v>
      </c>
      <c r="B1880" s="897" t="str">
        <f ca="1">_xlfn.CONCAT(IFERROR(SUBSTITUTE(ADDRESS(1,MATCH(A1880,INDIRECT("'"&amp;E1880&amp;"'"&amp;"!A" &amp; $O$968 + 8 &amp; ":Z" &amp; $O$968 + 8),0),4),1,""),""),$O$968 + 8)</f>
        <v>N303</v>
      </c>
      <c r="C1880" s="897" t="str">
        <f ca="1">_xlfn.CONCAT(IFERROR(SUBSTITUTE(ADDRESS(1,MATCH(A1880,INDIRECT("'"&amp;E1880&amp;"'"&amp;"!A" &amp; $O$968 + 8 &amp; ":Z" &amp; $O$968 + 8),0),4),1,""),""),$O$968 + 9)</f>
        <v>N304</v>
      </c>
      <c r="D1880" s="897" t="s">
        <v>1367</v>
      </c>
      <c r="E1880" s="897" t="s">
        <v>1535</v>
      </c>
      <c r="F1880" s="1418" t="s">
        <v>1526</v>
      </c>
      <c r="G1880" s="1418" t="str">
        <f t="shared" si="320"/>
        <v/>
      </c>
      <c r="H1880" s="1418" t="s">
        <v>1926</v>
      </c>
      <c r="I1880" s="857" t="str">
        <f t="shared" si="318"/>
        <v/>
      </c>
      <c r="J1880" s="1418" t="str">
        <f t="shared" si="321"/>
        <v/>
      </c>
      <c r="K1880" s="1418" t="str">
        <f t="shared" si="319"/>
        <v/>
      </c>
      <c r="L1880" s="897"/>
      <c r="M1880" s="1419"/>
      <c r="N1880" s="1418"/>
      <c r="R1880" s="1418" t="s">
        <v>395</v>
      </c>
      <c r="T1880" s="1418" t="str">
        <f>IF(Q$968="Yes",21,"")</f>
        <v/>
      </c>
    </row>
    <row r="1881" spans="1:20" s="1411" customFormat="1" x14ac:dyDescent="0.25">
      <c r="A1881" s="925" t="s">
        <v>1526</v>
      </c>
      <c r="B1881" s="897" t="str">
        <f ca="1">_xlfn.CONCAT(IFERROR(SUBSTITUTE(ADDRESS(1,MATCH(A1881,INDIRECT("'"&amp;E1881&amp;"'"&amp;"!A" &amp; $O$796 + 8 &amp; ":Z" &amp; $O$796+ 8),0),4),1,""),""),$O$796 + 8)</f>
        <v>N187</v>
      </c>
      <c r="C1881" s="897" t="str">
        <f ca="1">_xlfn.CONCAT(IFERROR(SUBSTITUTE(ADDRESS(1,MATCH(A1881,INDIRECT("'"&amp;E1881&amp;"'"&amp;"!A" &amp; $O$796 + 8 &amp; ":Z" &amp; $O$796+ 8),0),4),1,""),""),$O$796 + 9)</f>
        <v>N188</v>
      </c>
      <c r="D1881" s="897" t="s">
        <v>1367</v>
      </c>
      <c r="E1881" s="897" t="s">
        <v>1535</v>
      </c>
      <c r="F1881" s="1418" t="s">
        <v>1526</v>
      </c>
      <c r="G1881" s="1418" t="str">
        <f t="shared" si="320"/>
        <v/>
      </c>
      <c r="H1881" s="1418" t="s">
        <v>1926</v>
      </c>
      <c r="I1881" s="857"/>
      <c r="J1881" s="1418"/>
      <c r="K1881" s="1418"/>
      <c r="L1881" s="897"/>
      <c r="M1881" s="1419"/>
      <c r="N1881" s="1418"/>
      <c r="R1881" s="1418" t="s">
        <v>1550</v>
      </c>
      <c r="T1881" s="1418" t="str">
        <f>IF(Q$796="Yes",13,"")</f>
        <v/>
      </c>
    </row>
    <row r="1882" spans="1:20" s="1411" customFormat="1" x14ac:dyDescent="0.25">
      <c r="A1882" s="925" t="s">
        <v>1526</v>
      </c>
      <c r="B1882" s="897" t="str">
        <f ca="1">_xlfn.CONCAT(IFERROR(SUBSTITUTE(ADDRESS(1,MATCH(A1882,INDIRECT("'"&amp;E1882&amp;"'"&amp;"!A" &amp; $O$814 + 8 &amp; ":Z" &amp; $O$814+ 8),0),4),1,""),""),$O$814 + 8)</f>
        <v>N201</v>
      </c>
      <c r="C1882" s="897" t="str">
        <f ca="1">_xlfn.CONCAT(IFERROR(SUBSTITUTE(ADDRESS(1,MATCH(A1882,INDIRECT("'"&amp;E1882&amp;"'"&amp;"!A" &amp; $O$814 + 8 &amp; ":Z" &amp; $O$814+ 8),0),4),1,""),""),$O$814 + 9)</f>
        <v>N202</v>
      </c>
      <c r="D1882" s="897" t="s">
        <v>1367</v>
      </c>
      <c r="E1882" s="897" t="s">
        <v>1535</v>
      </c>
      <c r="F1882" s="1418" t="s">
        <v>1526</v>
      </c>
      <c r="G1882" s="1418" t="str">
        <f t="shared" si="320"/>
        <v/>
      </c>
      <c r="H1882" s="1418" t="s">
        <v>1926</v>
      </c>
      <c r="I1882" s="857"/>
      <c r="J1882" s="1418"/>
      <c r="K1882" s="1418"/>
      <c r="L1882" s="897"/>
      <c r="M1882" s="1419"/>
      <c r="N1882" s="1418"/>
      <c r="R1882" s="1418" t="s">
        <v>1550</v>
      </c>
      <c r="T1882" s="1418" t="str">
        <f>IF(Q$814="Yes",14,"")</f>
        <v/>
      </c>
    </row>
    <row r="1883" spans="1:20" s="1411" customFormat="1" x14ac:dyDescent="0.25">
      <c r="A1883" s="925" t="s">
        <v>1526</v>
      </c>
      <c r="B1883" s="897" t="str">
        <f ca="1">_xlfn.CONCAT(IFERROR(SUBSTITUTE(ADDRESS(1,MATCH(A1883,INDIRECT("'"&amp;E1883&amp;"'"&amp;"!A" &amp; $O$832 + 12 &amp; ":Z" &amp; $O$832+ 12),0),4),1,""),""),$O$832 + 12)</f>
        <v>N219</v>
      </c>
      <c r="C1883" s="897" t="str">
        <f ca="1">_xlfn.CONCAT(IFERROR(SUBSTITUTE(ADDRESS(1,MATCH(A1883,INDIRECT("'"&amp;E1883&amp;"'"&amp;"!A" &amp; $O$832 + 12 &amp; ":Z" &amp; $O$832+ 12),0),4),1,""),""),$O$832 + 13)</f>
        <v>N220</v>
      </c>
      <c r="D1883" s="897" t="s">
        <v>1367</v>
      </c>
      <c r="E1883" s="897" t="s">
        <v>1535</v>
      </c>
      <c r="F1883" s="1418" t="s">
        <v>1526</v>
      </c>
      <c r="G1883" s="1418" t="str">
        <f t="shared" si="320"/>
        <v/>
      </c>
      <c r="H1883" s="1418" t="s">
        <v>1926</v>
      </c>
      <c r="I1883" s="857"/>
      <c r="J1883" s="1418"/>
      <c r="K1883" s="1418"/>
      <c r="L1883" s="897"/>
      <c r="M1883" s="1419"/>
      <c r="N1883" s="1418"/>
      <c r="R1883" s="1418" t="s">
        <v>1550</v>
      </c>
      <c r="T1883" s="1418" t="str">
        <f>IF(Q$832="Yes",15,"")</f>
        <v/>
      </c>
    </row>
    <row r="1884" spans="1:20" s="1411" customFormat="1" x14ac:dyDescent="0.25">
      <c r="A1884" s="925" t="s">
        <v>1526</v>
      </c>
      <c r="B1884" s="897" t="str">
        <f ca="1">_xlfn.CONCAT(IFERROR(SUBSTITUTE(ADDRESS(1,MATCH(A1884,INDIRECT("'"&amp;E1884&amp;"'"&amp;"!A" &amp; $O$862 + 12 &amp; ":Z" &amp; $O$862+ 12),0),4),1,""),""),$O$862 + 12)</f>
        <v>N235</v>
      </c>
      <c r="C1884" s="897" t="str">
        <f ca="1">_xlfn.CONCAT(IFERROR(SUBSTITUTE(ADDRESS(1,MATCH(A1884,INDIRECT("'"&amp;E1884&amp;"'"&amp;"!A" &amp; $O$862 + 12 &amp; ":Z" &amp; $O$862+ 12),0),4),1,""),""),$O$862 + 13)</f>
        <v>N236</v>
      </c>
      <c r="D1884" s="897" t="s">
        <v>1367</v>
      </c>
      <c r="E1884" s="897" t="s">
        <v>1535</v>
      </c>
      <c r="F1884" s="1418" t="s">
        <v>1526</v>
      </c>
      <c r="G1884" s="1418" t="str">
        <f t="shared" si="320"/>
        <v/>
      </c>
      <c r="H1884" s="1418" t="s">
        <v>1926</v>
      </c>
      <c r="I1884" s="857"/>
      <c r="J1884" s="1418"/>
      <c r="K1884" s="1418"/>
      <c r="L1884" s="897"/>
      <c r="M1884" s="1419"/>
      <c r="N1884" s="1418"/>
      <c r="R1884" s="1418" t="s">
        <v>1550</v>
      </c>
      <c r="T1884" s="1418" t="str">
        <f>IF(Q$862="Yes",16,"")</f>
        <v/>
      </c>
    </row>
    <row r="1885" spans="1:20" s="1411" customFormat="1" x14ac:dyDescent="0.25">
      <c r="A1885" s="925" t="s">
        <v>1526</v>
      </c>
      <c r="B1885" s="897" t="str">
        <f ca="1">_xlfn.CONCAT(IFERROR(SUBSTITUTE(ADDRESS(1,MATCH(A1885,INDIRECT("'"&amp;E1885&amp;"'"&amp;"!A" &amp; $O$987 + 8 &amp; ":Z" &amp; $O$987 + 8),0),4),1,""),""),$O$987 + 8)</f>
        <v>N317</v>
      </c>
      <c r="C1885" s="897" t="str">
        <f ca="1">_xlfn.CONCAT(IFERROR(SUBSTITUTE(ADDRESS(1,MATCH(A1885,INDIRECT("'"&amp;E1885&amp;"'"&amp;"!A" &amp; $O$987 + 8 &amp; ":Z" &amp; $O$987 + 8),0),4),1,""),""),$O$987 + 9)</f>
        <v>N318</v>
      </c>
      <c r="D1885" s="897" t="s">
        <v>1367</v>
      </c>
      <c r="E1885" s="897" t="s">
        <v>1535</v>
      </c>
      <c r="F1885" s="1418" t="s">
        <v>1526</v>
      </c>
      <c r="G1885" s="1418" t="str">
        <f t="shared" si="320"/>
        <v/>
      </c>
      <c r="H1885" s="1418" t="s">
        <v>1926</v>
      </c>
      <c r="I1885" s="857"/>
      <c r="J1885" s="1418"/>
      <c r="K1885" s="1418"/>
      <c r="L1885" s="897"/>
      <c r="M1885" s="1419"/>
      <c r="N1885" s="1418"/>
      <c r="R1885" s="1418" t="s">
        <v>1715</v>
      </c>
      <c r="T1885" s="1418" t="str">
        <f>IF(Q$987="Yes",22,"")</f>
        <v/>
      </c>
    </row>
    <row r="1886" spans="1:20" s="1411" customFormat="1" x14ac:dyDescent="0.25">
      <c r="A1886" s="925" t="s">
        <v>1522</v>
      </c>
      <c r="B1886" s="897" t="str">
        <f ca="1">_xlfn.CONCAT(IFERROR(SUBSTITUTE(ADDRESS(1,MATCH(A1886,INDIRECT("'"&amp;E1886&amp;"'"&amp;"!A" &amp; $O$570+5 &amp; ":Z" &amp; $O$570+5),0),4),1,""),""),$O$570+5)</f>
        <v>R36</v>
      </c>
      <c r="C1886" s="897" t="str">
        <f ca="1">_xlfn.CONCAT(IFERROR(SUBSTITUTE(ADDRESS(1,MATCH(A1886,INDIRECT("'"&amp;E1886&amp;"'"&amp;"!A" &amp; $O$570+5 &amp; ":Z" &amp; $O$570+5),0),4),1,""),""),$O$570+6)</f>
        <v>R37</v>
      </c>
      <c r="D1886" s="897" t="s">
        <v>1367</v>
      </c>
      <c r="E1886" s="897" t="s">
        <v>1535</v>
      </c>
      <c r="F1886" s="919" t="s">
        <v>1522</v>
      </c>
      <c r="G1886" s="1418" t="str">
        <f>IF(T1886&lt;&gt;"","R","")</f>
        <v/>
      </c>
      <c r="H1886" s="1418" t="s">
        <v>1926</v>
      </c>
      <c r="I1886" s="241"/>
      <c r="M1886" s="1413"/>
      <c r="R1886" s="1418" t="s">
        <v>855</v>
      </c>
      <c r="T1886" s="1418" t="str">
        <f>IF(Q$570="Yes",3,"")</f>
        <v/>
      </c>
    </row>
    <row r="1887" spans="1:20" s="1411" customFormat="1" x14ac:dyDescent="0.25">
      <c r="A1887" s="925" t="s">
        <v>1522</v>
      </c>
      <c r="B1887" s="897" t="str">
        <f ca="1">_xlfn.CONCAT(IFERROR(SUBSTITUTE(ADDRESS(1,MATCH(A1887,INDIRECT("'"&amp;E1887&amp;"'"&amp;"!A" &amp; $O$589+5 &amp; ":Z" &amp; $O$589+5),0),4),1,""),""),$O$589+5)</f>
        <v>R50</v>
      </c>
      <c r="C1887" s="897" t="str">
        <f ca="1">_xlfn.CONCAT(IFERROR(SUBSTITUTE(ADDRESS(1,MATCH(A1887,INDIRECT("'"&amp;E1887&amp;"'"&amp;"!A" &amp; $O$589+5 &amp; ":Z" &amp; $O$589+5),0),4),1,""),""),$O$589+6)</f>
        <v>R51</v>
      </c>
      <c r="D1887" s="897" t="s">
        <v>1367</v>
      </c>
      <c r="E1887" s="897" t="s">
        <v>1535</v>
      </c>
      <c r="F1887" s="919" t="s">
        <v>1522</v>
      </c>
      <c r="G1887" s="1418" t="str">
        <f t="shared" ref="G1887:G1899" si="323">IF(T1887&lt;&gt;"","R","")</f>
        <v/>
      </c>
      <c r="H1887" s="1418" t="s">
        <v>1926</v>
      </c>
      <c r="I1887" s="241"/>
      <c r="M1887" s="1413"/>
      <c r="R1887" s="1418" t="s">
        <v>855</v>
      </c>
      <c r="T1887" s="1418" t="str">
        <f>IF(Q$589="Yes",4,"")</f>
        <v/>
      </c>
    </row>
    <row r="1888" spans="1:20" s="1411" customFormat="1" x14ac:dyDescent="0.25">
      <c r="A1888" s="925" t="s">
        <v>1522</v>
      </c>
      <c r="B1888" s="897" t="str">
        <f ca="1">_xlfn.CONCAT(IFERROR(SUBSTITUTE(ADDRESS(1,MATCH(A1888,INDIRECT("'"&amp;E1888&amp;"'"&amp;"!A" &amp; $O$608 + 5 &amp; ":Z" &amp; $O$608+5),0),4),1,""),""),$O$608+5)</f>
        <v>R64</v>
      </c>
      <c r="C1888" s="897" t="str">
        <f ca="1">_xlfn.CONCAT(IFERROR(SUBSTITUTE(ADDRESS(1,MATCH(A1888,INDIRECT("'"&amp;E1888&amp;"'"&amp;"!A" &amp; $O$608 + 5 &amp; ":Z" &amp; $O$608+5),0),4),1,""),""),$O$608+6)</f>
        <v>R65</v>
      </c>
      <c r="D1888" s="897" t="s">
        <v>1367</v>
      </c>
      <c r="E1888" s="897" t="s">
        <v>1535</v>
      </c>
      <c r="F1888" s="919" t="s">
        <v>1522</v>
      </c>
      <c r="G1888" s="1418" t="str">
        <f t="shared" si="323"/>
        <v/>
      </c>
      <c r="H1888" s="1418" t="s">
        <v>1926</v>
      </c>
      <c r="I1888" s="241"/>
      <c r="M1888" s="1413"/>
      <c r="R1888" s="1418" t="s">
        <v>855</v>
      </c>
      <c r="T1888" s="1418" t="str">
        <f>IF(Q$608="Yes",5,"")</f>
        <v/>
      </c>
    </row>
    <row r="1889" spans="1:20" s="1411" customFormat="1" x14ac:dyDescent="0.25">
      <c r="A1889" s="925" t="s">
        <v>1522</v>
      </c>
      <c r="B1889" s="897" t="str">
        <f ca="1">_xlfn.CONCAT(IFERROR(SUBSTITUTE(ADDRESS(1,MATCH(A1889,INDIRECT("'"&amp;E1889&amp;"'"&amp;"!A" &amp; $O$639 + 5 &amp; ":Z" &amp; $O$639 + 5),0),4),1,""),""),$O$639 + 5)</f>
        <v>R80</v>
      </c>
      <c r="C1889" s="897" t="str">
        <f ca="1">_xlfn.CONCAT(IFERROR(SUBSTITUTE(ADDRESS(1,MATCH(A1889,INDIRECT("'"&amp;E1889&amp;"'"&amp;"!A" &amp; $O$639 + 5 &amp; ":Z" &amp; $O$639 + 5),0),4),1,""),""),$O$639 + 6)</f>
        <v>R81</v>
      </c>
      <c r="D1889" s="897" t="s">
        <v>1367</v>
      </c>
      <c r="E1889" s="897" t="s">
        <v>1535</v>
      </c>
      <c r="F1889" s="919" t="s">
        <v>1522</v>
      </c>
      <c r="G1889" s="1418" t="str">
        <f t="shared" si="323"/>
        <v/>
      </c>
      <c r="H1889" s="1418" t="s">
        <v>1926</v>
      </c>
      <c r="I1889" s="241"/>
      <c r="M1889" s="1413"/>
      <c r="R1889" s="1418" t="s">
        <v>855</v>
      </c>
      <c r="T1889" s="1418" t="str">
        <f>IF(Q$639="Yes",6,"")</f>
        <v/>
      </c>
    </row>
    <row r="1890" spans="1:20" s="1411" customFormat="1" x14ac:dyDescent="0.25">
      <c r="A1890" s="925" t="s">
        <v>1522</v>
      </c>
      <c r="B1890" s="897" t="str">
        <f ca="1">_xlfn.CONCAT(IFERROR(SUBSTITUTE(ADDRESS(1,MATCH(A1890,INDIRECT("'"&amp;E1890&amp;"'"&amp;"!A" &amp; $O$796 + 5 &amp; ":Z" &amp; $O$796+ 5),0),4),1,""),""),$O$796 + 5)</f>
        <v>R184</v>
      </c>
      <c r="C1890" s="897" t="str">
        <f ca="1">_xlfn.CONCAT(IFERROR(SUBSTITUTE(ADDRESS(1,MATCH(A1890,INDIRECT("'"&amp;E1890&amp;"'"&amp;"!A" &amp; $O$796 + 5 &amp; ":Z" &amp; $O$796+ 5),0),4),1,""),""),$O$796 + 6)</f>
        <v>R185</v>
      </c>
      <c r="D1890" s="897" t="s">
        <v>1367</v>
      </c>
      <c r="E1890" s="897" t="s">
        <v>1535</v>
      </c>
      <c r="F1890" s="919" t="s">
        <v>1522</v>
      </c>
      <c r="G1890" s="1418" t="str">
        <f t="shared" si="323"/>
        <v/>
      </c>
      <c r="H1890" s="1418" t="s">
        <v>1926</v>
      </c>
      <c r="I1890" s="241"/>
      <c r="M1890" s="1413"/>
      <c r="R1890" s="1418" t="s">
        <v>1550</v>
      </c>
      <c r="T1890" s="1418" t="str">
        <f t="shared" ref="T1890" si="324">IF(Q$892="Yes",17,"")</f>
        <v/>
      </c>
    </row>
    <row r="1891" spans="1:20" s="1411" customFormat="1" x14ac:dyDescent="0.25">
      <c r="A1891" s="925" t="s">
        <v>1522</v>
      </c>
      <c r="B1891" s="897" t="str">
        <f ca="1">_xlfn.CONCAT(IFERROR(SUBSTITUTE(ADDRESS(1,MATCH(A1891,INDIRECT("'"&amp;E1891&amp;"'"&amp;"!A" &amp; $O$814 + 5 &amp; ":Z" &amp; $O$814+ 5),0),4),1,""),""),$O$814 + 5)</f>
        <v>R198</v>
      </c>
      <c r="C1891" s="897" t="str">
        <f ca="1">_xlfn.CONCAT(IFERROR(SUBSTITUTE(ADDRESS(1,MATCH(A1891,INDIRECT("'"&amp;E1891&amp;"'"&amp;"!A" &amp; $O$814 + 5 &amp; ":Z" &amp; $O$814+ 5),0),4),1,""),""),$O$814 + 6)</f>
        <v>R199</v>
      </c>
      <c r="D1891" s="897" t="s">
        <v>1367</v>
      </c>
      <c r="E1891" s="897" t="s">
        <v>1535</v>
      </c>
      <c r="F1891" s="919" t="s">
        <v>1522</v>
      </c>
      <c r="G1891" s="1418" t="str">
        <f t="shared" si="323"/>
        <v/>
      </c>
      <c r="H1891" s="1418" t="s">
        <v>1926</v>
      </c>
      <c r="I1891" s="241"/>
      <c r="M1891" s="1413"/>
      <c r="R1891" s="1418" t="s">
        <v>1550</v>
      </c>
      <c r="T1891" s="1418" t="str">
        <f>IF(Q$911="Yes",18,"")</f>
        <v/>
      </c>
    </row>
    <row r="1892" spans="1:20" s="1411" customFormat="1" x14ac:dyDescent="0.25">
      <c r="A1892" s="925" t="s">
        <v>1522</v>
      </c>
      <c r="B1892" s="897" t="str">
        <f ca="1">_xlfn.CONCAT(IFERROR(SUBSTITUTE(ADDRESS(1,MATCH(A1892,INDIRECT("'"&amp;E1892&amp;"'"&amp;"!A" &amp; $O$832 + 5 &amp; ":Z" &amp; $O$832+ 5),0),4),1,""),""),$O$832 + 5)</f>
        <v>R212</v>
      </c>
      <c r="C1892" s="897" t="str">
        <f ca="1">_xlfn.CONCAT(IFERROR(SUBSTITUTE(ADDRESS(1,MATCH(A1892,INDIRECT("'"&amp;E1892&amp;"'"&amp;"!A" &amp; $O$832 + 5 &amp; ":Z" &amp; $O$832+ 5),0),4),1,""),""),$O$832 + 6)</f>
        <v>R213</v>
      </c>
      <c r="D1892" s="897" t="s">
        <v>1367</v>
      </c>
      <c r="E1892" s="897" t="s">
        <v>1535</v>
      </c>
      <c r="F1892" s="919" t="s">
        <v>1522</v>
      </c>
      <c r="G1892" s="1418" t="str">
        <f t="shared" si="323"/>
        <v/>
      </c>
      <c r="H1892" s="1418" t="s">
        <v>1926</v>
      </c>
      <c r="I1892" s="241"/>
      <c r="M1892" s="1413"/>
      <c r="R1892" s="1418" t="s">
        <v>1550</v>
      </c>
      <c r="T1892" s="1418" t="str">
        <f>IF(Q$930="Yes",19,"")</f>
        <v/>
      </c>
    </row>
    <row r="1893" spans="1:20" s="1411" customFormat="1" x14ac:dyDescent="0.25">
      <c r="A1893" s="925" t="s">
        <v>1522</v>
      </c>
      <c r="B1893" s="897" t="str">
        <f ca="1">_xlfn.CONCAT(IFERROR(SUBSTITUTE(ADDRESS(1,MATCH(A1893,INDIRECT("'"&amp;E1893&amp;"'"&amp;"!A" &amp; $O$862 + 5 &amp; ":Z" &amp; $O$862+ 5),0),4),1,""),""),$O$862 + 5)</f>
        <v>R228</v>
      </c>
      <c r="C1893" s="897" t="str">
        <f ca="1">_xlfn.CONCAT(IFERROR(SUBSTITUTE(ADDRESS(1,MATCH(A1893,INDIRECT("'"&amp;E1893&amp;"'"&amp;"!A" &amp; $O$862 + 5 &amp; ":Z" &amp; $O$862+ 5),0),4),1,""),""),$O$862 + 6)</f>
        <v>R229</v>
      </c>
      <c r="D1893" s="897" t="s">
        <v>1367</v>
      </c>
      <c r="E1893" s="897" t="s">
        <v>1535</v>
      </c>
      <c r="F1893" s="919" t="s">
        <v>1522</v>
      </c>
      <c r="G1893" s="1418" t="str">
        <f t="shared" si="323"/>
        <v/>
      </c>
      <c r="H1893" s="1418" t="s">
        <v>1926</v>
      </c>
      <c r="I1893" s="241"/>
      <c r="M1893" s="1413"/>
      <c r="R1893" s="1418" t="s">
        <v>1550</v>
      </c>
      <c r="T1893" s="1418" t="str">
        <f>IF(Q$949="Yes",20,"")</f>
        <v/>
      </c>
    </row>
    <row r="1894" spans="1:20" s="1411" customFormat="1" x14ac:dyDescent="0.25">
      <c r="A1894" s="925" t="s">
        <v>1522</v>
      </c>
      <c r="B1894" s="897" t="str">
        <f ca="1">_xlfn.CONCAT(IFERROR(SUBSTITUTE(ADDRESS(1,MATCH(A1894,INDIRECT("'"&amp;E1894&amp;"'"&amp;"!A" &amp; $O$892 + 5 &amp; ":Z" &amp; $O$892+ 5),0),4),1,""),""),$O$892 + 5)</f>
        <v>R244</v>
      </c>
      <c r="C1894" s="897" t="str">
        <f ca="1">_xlfn.CONCAT(IFERROR(SUBSTITUTE(ADDRESS(1,MATCH(A1894,INDIRECT("'"&amp;E1894&amp;"'"&amp;"!A" &amp; $O$892 + 5 &amp; ":Z" &amp; $O$892+ 5),0),4),1,""),""),$O$892 + 6)</f>
        <v>R245</v>
      </c>
      <c r="D1894" s="897" t="s">
        <v>1367</v>
      </c>
      <c r="E1894" s="897" t="s">
        <v>1535</v>
      </c>
      <c r="F1894" s="919" t="s">
        <v>1522</v>
      </c>
      <c r="G1894" s="1418" t="str">
        <f t="shared" si="323"/>
        <v/>
      </c>
      <c r="H1894" s="1418" t="s">
        <v>1926</v>
      </c>
      <c r="I1894" s="241"/>
      <c r="M1894" s="1413"/>
      <c r="R1894" s="1418" t="s">
        <v>395</v>
      </c>
      <c r="T1894" s="1418" t="str">
        <f>IF(Q$968="Yes",21,"")</f>
        <v/>
      </c>
    </row>
    <row r="1895" spans="1:20" s="1411" customFormat="1" x14ac:dyDescent="0.25">
      <c r="A1895" s="925" t="s">
        <v>1522</v>
      </c>
      <c r="B1895" s="897" t="str">
        <f ca="1">_xlfn.CONCAT(IFERROR(SUBSTITUTE(ADDRESS(1,MATCH(A1895,INDIRECT("'"&amp;E1895&amp;"'"&amp;"!A" &amp; $O$911 + 5 &amp; ":Z" &amp; $O$911 + 5),0),4),1,""),""),$O$911 + 5)</f>
        <v>R258</v>
      </c>
      <c r="C1895" s="897" t="str">
        <f ca="1">_xlfn.CONCAT(IFERROR(SUBSTITUTE(ADDRESS(1,MATCH(A1895,INDIRECT("'"&amp;E1895&amp;"'"&amp;"!A" &amp; $O$911 + 5 &amp; ":Z" &amp; $O$911 + 5),0),4),1,""),""),$O$911 + 6)</f>
        <v>R259</v>
      </c>
      <c r="D1895" s="897" t="s">
        <v>1367</v>
      </c>
      <c r="E1895" s="897" t="s">
        <v>1535</v>
      </c>
      <c r="F1895" s="919" t="s">
        <v>1522</v>
      </c>
      <c r="G1895" s="1418" t="str">
        <f t="shared" si="323"/>
        <v/>
      </c>
      <c r="H1895" s="1418" t="s">
        <v>1926</v>
      </c>
      <c r="I1895" s="241"/>
      <c r="M1895" s="1413"/>
      <c r="R1895" s="1418" t="s">
        <v>395</v>
      </c>
      <c r="T1895" s="1418" t="str">
        <f>IF(Q$796="Yes",13,"")</f>
        <v/>
      </c>
    </row>
    <row r="1896" spans="1:20" s="1411" customFormat="1" x14ac:dyDescent="0.25">
      <c r="A1896" s="925" t="s">
        <v>1522</v>
      </c>
      <c r="B1896" s="897" t="str">
        <f ca="1">_xlfn.CONCAT(IFERROR(SUBSTITUTE(ADDRESS(1,MATCH(A1896,INDIRECT("'"&amp;E1896&amp;"'"&amp;"!A" &amp; $O$930 + 5 &amp; ":Z" &amp; $O$930 + 5),0),4),1,""),""),$O$930 + 5)</f>
        <v>R272</v>
      </c>
      <c r="C1896" s="897" t="str">
        <f ca="1">_xlfn.CONCAT(IFERROR(SUBSTITUTE(ADDRESS(1,MATCH(A1896,INDIRECT("'"&amp;E1896&amp;"'"&amp;"!A" &amp; $O$930 + 5 &amp; ":Z" &amp; $O$930 + 5),0),4),1,""),""),$O$930 + 6)</f>
        <v>R273</v>
      </c>
      <c r="D1896" s="897" t="s">
        <v>1367</v>
      </c>
      <c r="E1896" s="897" t="s">
        <v>1535</v>
      </c>
      <c r="F1896" s="919" t="s">
        <v>1522</v>
      </c>
      <c r="G1896" s="1418" t="str">
        <f t="shared" si="323"/>
        <v/>
      </c>
      <c r="H1896" s="1418" t="s">
        <v>1926</v>
      </c>
      <c r="I1896" s="241"/>
      <c r="M1896" s="1413"/>
      <c r="R1896" s="1418" t="s">
        <v>395</v>
      </c>
      <c r="T1896" s="1418" t="str">
        <f>IF(Q$814="Yes",14,"")</f>
        <v/>
      </c>
    </row>
    <row r="1897" spans="1:20" s="1411" customFormat="1" x14ac:dyDescent="0.25">
      <c r="A1897" s="925" t="s">
        <v>1522</v>
      </c>
      <c r="B1897" s="897" t="str">
        <f ca="1">_xlfn.CONCAT(IFERROR(SUBSTITUTE(ADDRESS(1,MATCH(A1897,INDIRECT("'"&amp;E1897&amp;"'"&amp;"!A" &amp; $O$949 + 5 &amp; ":Z" &amp; $O$949 + 5),0),4),1,""),""),$O$949 + 5)</f>
        <v>R286</v>
      </c>
      <c r="C1897" s="897" t="str">
        <f ca="1">_xlfn.CONCAT(IFERROR(SUBSTITUTE(ADDRESS(1,MATCH(A1897,INDIRECT("'"&amp;E1897&amp;"'"&amp;"!A" &amp; $O$949 + 5 &amp; ":Z" &amp; $O$949 + 5),0),4),1,""),""),$O$949 + 6)</f>
        <v>R287</v>
      </c>
      <c r="D1897" s="897" t="s">
        <v>1367</v>
      </c>
      <c r="E1897" s="897" t="s">
        <v>1535</v>
      </c>
      <c r="F1897" s="919" t="s">
        <v>1522</v>
      </c>
      <c r="G1897" s="1418" t="str">
        <f t="shared" si="323"/>
        <v/>
      </c>
      <c r="H1897" s="1418" t="s">
        <v>1926</v>
      </c>
      <c r="I1897" s="241"/>
      <c r="M1897" s="1413"/>
      <c r="R1897" s="1418" t="s">
        <v>395</v>
      </c>
      <c r="T1897" s="1418" t="str">
        <f>IF(Q$832="Yes",15,"")</f>
        <v/>
      </c>
    </row>
    <row r="1898" spans="1:20" s="1411" customFormat="1" x14ac:dyDescent="0.25">
      <c r="A1898" s="925" t="s">
        <v>1522</v>
      </c>
      <c r="B1898" s="897" t="str">
        <f ca="1">_xlfn.CONCAT(IFERROR(SUBSTITUTE(ADDRESS(1,MATCH(A1898,INDIRECT("'"&amp;E1898&amp;"'"&amp;"!A" &amp; $O$968 + 5 &amp; ":Z" &amp; $O$968 + 5),0),4),1,""),""),$O$968 + 5)</f>
        <v>R300</v>
      </c>
      <c r="C1898" s="897" t="str">
        <f ca="1">_xlfn.CONCAT(IFERROR(SUBSTITUTE(ADDRESS(1,MATCH(A1898,INDIRECT("'"&amp;E1898&amp;"'"&amp;"!A" &amp; $O$968 + 5 &amp; ":Z" &amp; $O$968 + 5),0),4),1,""),""),$O$968 + 6)</f>
        <v>R301</v>
      </c>
      <c r="D1898" s="897" t="s">
        <v>1367</v>
      </c>
      <c r="E1898" s="897" t="s">
        <v>1535</v>
      </c>
      <c r="F1898" s="919" t="s">
        <v>1522</v>
      </c>
      <c r="G1898" s="1418" t="str">
        <f t="shared" si="323"/>
        <v/>
      </c>
      <c r="H1898" s="1418" t="s">
        <v>1926</v>
      </c>
      <c r="I1898" s="241"/>
      <c r="M1898" s="1413"/>
      <c r="R1898" s="1418" t="s">
        <v>395</v>
      </c>
      <c r="T1898" s="1418" t="str">
        <f>IF(Q$862="Yes",16,"")</f>
        <v/>
      </c>
    </row>
    <row r="1899" spans="1:20" s="1411" customFormat="1" x14ac:dyDescent="0.25">
      <c r="A1899" s="925" t="s">
        <v>1522</v>
      </c>
      <c r="B1899" s="897" t="str">
        <f ca="1">_xlfn.CONCAT(IFERROR(SUBSTITUTE(ADDRESS(1,MATCH(A1899,INDIRECT("'"&amp;E1899&amp;"'"&amp;"!A" &amp; $O$987 + 5 &amp; ":Z" &amp; $O$987 + 5),0),4),1,""),""),$O$987 + 5)</f>
        <v>R314</v>
      </c>
      <c r="C1899" s="897" t="str">
        <f ca="1">_xlfn.CONCAT(IFERROR(SUBSTITUTE(ADDRESS(1,MATCH(A1899,INDIRECT("'"&amp;E1899&amp;"'"&amp;"!A" &amp; $O$987 + 5 &amp; ":Z" &amp; $O$987 + 5),0),4),1,""),""),$O$987 + 6)</f>
        <v>R315</v>
      </c>
      <c r="D1899" s="897" t="s">
        <v>1367</v>
      </c>
      <c r="E1899" s="897" t="s">
        <v>1535</v>
      </c>
      <c r="F1899" s="919" t="s">
        <v>1522</v>
      </c>
      <c r="G1899" s="1418" t="str">
        <f t="shared" si="323"/>
        <v/>
      </c>
      <c r="H1899" s="1418" t="s">
        <v>1926</v>
      </c>
      <c r="I1899" s="241"/>
      <c r="M1899" s="1413"/>
      <c r="R1899" s="1418" t="s">
        <v>1715</v>
      </c>
      <c r="T1899" s="1418" t="str">
        <f>IF(Q$987="Yes",22,"")</f>
        <v/>
      </c>
    </row>
    <row r="1900" spans="1:20" s="1411" customFormat="1" x14ac:dyDescent="0.25">
      <c r="A1900" s="1424" t="s">
        <v>1494</v>
      </c>
      <c r="B1900" s="919" t="str">
        <f ca="1">_xlfn.CONCAT(IFERROR(SUBSTITUTE(ADDRESS(1,MATCH(A1900,INDIRECT("'"&amp;E1900&amp;"'"&amp;"!A" &amp; $O$1052 + 5 &amp; ":Z" &amp; $O$1052 + 5),0),4),1,""),""),$O$1052+ 5)</f>
        <v>L384</v>
      </c>
      <c r="C1900" s="919" t="str">
        <f ca="1">_xlfn.CONCAT(IFERROR(SUBSTITUTE(ADDRESS(1,MATCH(A1900,INDIRECT("'"&amp;E1900&amp;"'"&amp;"!A" &amp; $O$1052 + 5 &amp; ":Z" &amp; $O$1052 + 5),0),4),1,""),""),$O$1052+ 6)</f>
        <v>L385</v>
      </c>
      <c r="D1900" s="897" t="s">
        <v>1367</v>
      </c>
      <c r="E1900" s="897" t="s">
        <v>1535</v>
      </c>
      <c r="F1900" s="1424" t="s">
        <v>1494</v>
      </c>
      <c r="G1900" s="1418" t="str">
        <f>IF(T1900&lt;&gt;"","U","")</f>
        <v/>
      </c>
      <c r="H1900" s="1418" t="s">
        <v>1926</v>
      </c>
      <c r="I1900" s="857" t="str">
        <f t="shared" ref="I1900" si="325">IF(J1900&lt;&gt;"",A1900,"")</f>
        <v/>
      </c>
      <c r="J1900" s="1418"/>
      <c r="K1900" s="1418" t="str">
        <f t="shared" ref="K1900" si="326">IF(J1900&lt;&gt;"",E1900,"")</f>
        <v/>
      </c>
      <c r="L1900" s="897"/>
      <c r="M1900" s="1419"/>
      <c r="N1900" s="1418"/>
      <c r="R1900" s="1418" t="s">
        <v>1719</v>
      </c>
      <c r="T1900" s="1418" t="str">
        <f t="shared" ref="T1900:T1905" si="327">IF(Q$1052="Yes",27,"")</f>
        <v/>
      </c>
    </row>
    <row r="1901" spans="1:20" s="1411" customFormat="1" x14ac:dyDescent="0.25">
      <c r="A1901" s="926" t="s">
        <v>1493</v>
      </c>
      <c r="B1901" s="897" t="str">
        <f ca="1">_xlfn.CONCAT(IFERROR(SUBSTITUTE(ADDRESS(1,MATCH(A1901,INDIRECT("'"&amp;E1901&amp;"'"&amp;"!A" &amp; $O$1052 + 5 &amp; ":Z" &amp; $O$1052 + 5),0),4),1,""),""),$O$1052+ 5)</f>
        <v>J384</v>
      </c>
      <c r="C1901" s="897" t="str">
        <f ca="1">_xlfn.CONCAT(IFERROR(SUBSTITUTE(ADDRESS(1,MATCH(A1901,INDIRECT("'"&amp;E1901&amp;"'"&amp;"!A" &amp; $O$1052 + 5 &amp; ":Z" &amp; $O$1052 + 5),0),4),1,""),""),$O$1052+ 6)</f>
        <v>J385</v>
      </c>
      <c r="D1901" s="897" t="s">
        <v>1367</v>
      </c>
      <c r="E1901" s="897" t="s">
        <v>1535</v>
      </c>
      <c r="F1901" s="1418" t="s">
        <v>1493</v>
      </c>
      <c r="G1901" s="1418" t="str">
        <f>IF(T1901&lt;&gt;"","Z","")</f>
        <v/>
      </c>
      <c r="H1901" s="1418" t="s">
        <v>1926</v>
      </c>
      <c r="I1901" s="857"/>
      <c r="J1901" s="1418"/>
      <c r="K1901" s="1418"/>
      <c r="L1901" s="897"/>
      <c r="M1901" s="1419"/>
      <c r="N1901" s="1418"/>
      <c r="R1901" s="1418" t="s">
        <v>1719</v>
      </c>
      <c r="T1901" s="1418" t="str">
        <f t="shared" si="327"/>
        <v/>
      </c>
    </row>
    <row r="1902" spans="1:20" s="1411" customFormat="1" x14ac:dyDescent="0.25">
      <c r="A1902" s="926" t="s">
        <v>1497</v>
      </c>
      <c r="B1902" s="897" t="str">
        <f ca="1">_xlfn.CONCAT(IFERROR(SUBSTITUTE(ADDRESS(1,MATCH(A1902,INDIRECT("'"&amp;E1902&amp;"'"&amp;"!A" &amp; $O$1052 + 8 &amp; ":Z" &amp; $O$1052 + 8),0),4),1,""),""),$O$1052+ 8)</f>
        <v>H387</v>
      </c>
      <c r="C1902" s="897" t="str">
        <f ca="1">_xlfn.CONCAT(IFERROR(SUBSTITUTE(ADDRESS(1,MATCH(A1902,INDIRECT("'"&amp;E1902&amp;"'"&amp;"!A" &amp; $O$1052 + 8 &amp; ":Z" &amp; $O$1052 + 8),0),4),1,""),""),$O$1052+ 9)</f>
        <v>H388</v>
      </c>
      <c r="D1902" s="897" t="s">
        <v>1367</v>
      </c>
      <c r="E1902" s="897" t="s">
        <v>1535</v>
      </c>
      <c r="F1902" s="1418" t="s">
        <v>1497</v>
      </c>
      <c r="G1902" s="1418" t="str">
        <f>IF(T1902&lt;&gt;"","V","")</f>
        <v/>
      </c>
      <c r="H1902" s="1418" t="s">
        <v>1926</v>
      </c>
      <c r="I1902" s="857"/>
      <c r="J1902" s="1418"/>
      <c r="K1902" s="1418"/>
      <c r="L1902" s="897" t="s">
        <v>1497</v>
      </c>
      <c r="M1902" s="1419">
        <v>1206</v>
      </c>
      <c r="N1902" s="1418"/>
      <c r="R1902" s="1418" t="s">
        <v>1719</v>
      </c>
      <c r="T1902" s="1418" t="str">
        <f t="shared" si="327"/>
        <v/>
      </c>
    </row>
    <row r="1903" spans="1:20" s="1411" customFormat="1" x14ac:dyDescent="0.25">
      <c r="A1903" s="926" t="s">
        <v>1141</v>
      </c>
      <c r="B1903" s="897" t="str">
        <f ca="1">_xlfn.CONCAT(IFERROR(SUBSTITUTE(ADDRESS(1,MATCH(A1903,INDIRECT("'"&amp;E1903&amp;"'"&amp;"!A" &amp; $O$1052 + 8 &amp; ":Z" &amp; $O$1052 + 8),0),4),1,""),""),$O$1052+ 8)</f>
        <v>L387</v>
      </c>
      <c r="C1903" s="897" t="str">
        <f ca="1">_xlfn.CONCAT(IFERROR(SUBSTITUTE(ADDRESS(1,MATCH(A1903,INDIRECT("'"&amp;E1903&amp;"'"&amp;"!A" &amp; $O$1052 + 8 &amp; ":Z" &amp; $O$1052 + 8),0),4),1,""),""),$O$1052+ 9)</f>
        <v>L388</v>
      </c>
      <c r="D1903" s="897" t="s">
        <v>1367</v>
      </c>
      <c r="E1903" s="897" t="s">
        <v>1535</v>
      </c>
      <c r="F1903" s="1418" t="s">
        <v>1141</v>
      </c>
      <c r="G1903" s="1418" t="str">
        <f>IF(T1903&lt;&gt;"","W","")</f>
        <v/>
      </c>
      <c r="H1903" s="1418" t="s">
        <v>1926</v>
      </c>
      <c r="I1903" s="857"/>
      <c r="J1903" s="1418"/>
      <c r="K1903" s="1418"/>
      <c r="L1903" s="897"/>
      <c r="M1903" s="1419"/>
      <c r="N1903" s="1418"/>
      <c r="R1903" s="1418" t="s">
        <v>1719</v>
      </c>
      <c r="T1903" s="1418" t="str">
        <f t="shared" si="327"/>
        <v/>
      </c>
    </row>
    <row r="1904" spans="1:20" s="1411" customFormat="1" x14ac:dyDescent="0.25">
      <c r="A1904" s="926" t="s">
        <v>1499</v>
      </c>
      <c r="B1904" s="897" t="str">
        <f ca="1">_xlfn.CONCAT(IFERROR(SUBSTITUTE(ADDRESS(1,MATCH(A1904,INDIRECT("'"&amp;E1904&amp;"'"&amp;"!A" &amp; $O$1052 + 8 &amp; ":Z" &amp; $O$1052 + 8),0),4),1,""),""),$O$1052+ 8)</f>
        <v>N387</v>
      </c>
      <c r="C1904" s="897" t="str">
        <f ca="1">_xlfn.CONCAT(IFERROR(SUBSTITUTE(ADDRESS(1,MATCH(A1904,INDIRECT("'"&amp;E1904&amp;"'"&amp;"!A" &amp; $O$1052 + 8 &amp; ":Z" &amp; $O$1052 + 8),0),4),1,""),""),$O$1052+ 9)</f>
        <v>N388</v>
      </c>
      <c r="D1904" s="897" t="s">
        <v>1367</v>
      </c>
      <c r="E1904" s="897" t="s">
        <v>1535</v>
      </c>
      <c r="F1904" s="1418" t="s">
        <v>1499</v>
      </c>
      <c r="G1904" s="1418" t="str">
        <f>IF(T1904&lt;&gt;"","X","")</f>
        <v/>
      </c>
      <c r="H1904" s="1418" t="s">
        <v>1926</v>
      </c>
      <c r="I1904" s="857"/>
      <c r="J1904" s="1418"/>
      <c r="K1904" s="1418"/>
      <c r="L1904" s="897"/>
      <c r="M1904" s="1419"/>
      <c r="N1904" s="1418"/>
      <c r="R1904" s="1418" t="s">
        <v>1719</v>
      </c>
      <c r="T1904" s="1418" t="str">
        <f t="shared" si="327"/>
        <v/>
      </c>
    </row>
    <row r="1905" spans="1:20" s="1411" customFormat="1" x14ac:dyDescent="0.25">
      <c r="A1905" s="926" t="s">
        <v>1140</v>
      </c>
      <c r="B1905" s="897" t="str">
        <f ca="1">_xlfn.CONCAT(IFERROR(SUBSTITUTE(ADDRESS(1,MATCH(A1905,INDIRECT("'"&amp;E1905&amp;"'"&amp;"!A" &amp; $O$1052 + 8 &amp; ":Z" &amp; $O$1052 + 8),0),4),1,""),""),$O$1052+ 8)</f>
        <v>P387</v>
      </c>
      <c r="C1905" s="897" t="str">
        <f ca="1">_xlfn.CONCAT(IFERROR(SUBSTITUTE(ADDRESS(1,MATCH(A1905,INDIRECT("'"&amp;E1905&amp;"'"&amp;"!A" &amp; $O$1052 + 8 &amp; ":Z" &amp; $O$1052 + 8),0),4),1,""),""),$O$1052+ 9)</f>
        <v>P388</v>
      </c>
      <c r="D1905" s="897" t="s">
        <v>1367</v>
      </c>
      <c r="E1905" s="897" t="s">
        <v>1535</v>
      </c>
      <c r="F1905" s="1418" t="s">
        <v>1140</v>
      </c>
      <c r="G1905" s="1418" t="str">
        <f>IF(T1905&lt;&gt;"","Y","")</f>
        <v/>
      </c>
      <c r="H1905" s="1418" t="s">
        <v>1926</v>
      </c>
      <c r="I1905" s="857"/>
      <c r="J1905" s="1418"/>
      <c r="K1905" s="1418"/>
      <c r="L1905" s="897"/>
      <c r="M1905" s="1419"/>
      <c r="N1905" s="1418"/>
      <c r="R1905" s="1418" t="s">
        <v>1719</v>
      </c>
      <c r="T1905" s="1418" t="str">
        <f t="shared" si="327"/>
        <v/>
      </c>
    </row>
    <row r="1906" spans="1:20" s="1411" customFormat="1" x14ac:dyDescent="0.25">
      <c r="A1906" s="1102" t="s">
        <v>1493</v>
      </c>
      <c r="B1906" s="897" t="str">
        <f ca="1">_xlfn.CONCAT(IFERROR(SUBSTITUTE(ADDRESS(1,MATCH(A1906,INDIRECT("'"&amp;E1906&amp;"'"&amp;"!A" &amp; $O$1069 + 5 &amp; ":Z" &amp; $O$1069 + 5),0),4),1,""),""),$O$1069+ 5)</f>
        <v>J398</v>
      </c>
      <c r="C1906" s="897" t="str">
        <f ca="1">_xlfn.CONCAT(IFERROR(SUBSTITUTE(ADDRESS(1,MATCH(A1906,INDIRECT("'"&amp;E1906&amp;"'"&amp;"!A" &amp; $O$1069 + 5 &amp; ":Z" &amp; $O$1069 + 5),0),4),1,""),""),$O$1069+ 6)</f>
        <v>J399</v>
      </c>
      <c r="D1906" s="897" t="s">
        <v>1367</v>
      </c>
      <c r="E1906" s="897" t="s">
        <v>1535</v>
      </c>
      <c r="F1906" s="1418" t="s">
        <v>1493</v>
      </c>
      <c r="G1906" s="1418" t="str">
        <f>IF(T1906&lt;&gt;"","Z","")</f>
        <v/>
      </c>
      <c r="H1906" s="1418" t="s">
        <v>1926</v>
      </c>
      <c r="I1906" s="857"/>
      <c r="J1906" s="1418"/>
      <c r="K1906" s="1418"/>
      <c r="L1906" s="897"/>
      <c r="M1906" s="1419"/>
      <c r="N1906" s="1418"/>
      <c r="R1906" s="1418" t="s">
        <v>1719</v>
      </c>
      <c r="T1906" s="1418" t="str">
        <f t="shared" ref="T1906:T1910" si="328">IF(Q$1069="Yes",28,"")</f>
        <v/>
      </c>
    </row>
    <row r="1907" spans="1:20" s="1411" customFormat="1" x14ac:dyDescent="0.25">
      <c r="A1907" s="1102" t="s">
        <v>1497</v>
      </c>
      <c r="B1907" s="897" t="str">
        <f ca="1">_xlfn.CONCAT(IFERROR(SUBSTITUTE(ADDRESS(1,MATCH(A1907,INDIRECT("'"&amp;E1907&amp;"'"&amp;"!A" &amp; $O$1069 + 8 &amp; ":Z" &amp; $O$1069 + 8),0),4),1,""),""),$O$1069+ 8)</f>
        <v>H401</v>
      </c>
      <c r="C1907" s="897" t="str">
        <f ca="1">_xlfn.CONCAT(IFERROR(SUBSTITUTE(ADDRESS(1,MATCH(A1907,INDIRECT("'"&amp;E1907&amp;"'"&amp;"!A" &amp; $O$1069 + 8 &amp; ":Z" &amp; $O$1069 + 8),0),4),1,""),""),$O$1069+ 9)</f>
        <v>H402</v>
      </c>
      <c r="D1907" s="897" t="s">
        <v>1367</v>
      </c>
      <c r="E1907" s="897" t="s">
        <v>1535</v>
      </c>
      <c r="F1907" s="1418" t="s">
        <v>1497</v>
      </c>
      <c r="G1907" s="1418" t="str">
        <f>IF(T1907&lt;&gt;"","V","")</f>
        <v/>
      </c>
      <c r="H1907" s="1418" t="s">
        <v>1926</v>
      </c>
      <c r="I1907" s="857"/>
      <c r="J1907" s="1418"/>
      <c r="K1907" s="1418"/>
      <c r="L1907" s="897" t="s">
        <v>1497</v>
      </c>
      <c r="M1907" s="1419">
        <v>1207</v>
      </c>
      <c r="N1907" s="1418"/>
      <c r="R1907" s="1418" t="s">
        <v>1719</v>
      </c>
      <c r="T1907" s="1418" t="str">
        <f t="shared" si="328"/>
        <v/>
      </c>
    </row>
    <row r="1908" spans="1:20" s="1411" customFormat="1" x14ac:dyDescent="0.25">
      <c r="A1908" s="1102" t="s">
        <v>1141</v>
      </c>
      <c r="B1908" s="897" t="str">
        <f ca="1">_xlfn.CONCAT(IFERROR(SUBSTITUTE(ADDRESS(1,MATCH(A1908,INDIRECT("'"&amp;E1908&amp;"'"&amp;"!A" &amp; $O$1069 + 8 &amp; ":Z" &amp; $O$1069 + 8),0),4),1,""),""),$O$1069+ 8)</f>
        <v>L401</v>
      </c>
      <c r="C1908" s="897" t="str">
        <f ca="1">_xlfn.CONCAT(IFERROR(SUBSTITUTE(ADDRESS(1,MATCH(A1908,INDIRECT("'"&amp;E1908&amp;"'"&amp;"!A" &amp; $O$1069 + 8 &amp; ":Z" &amp; $O$1069 + 8),0),4),1,""),""),$O$1069+ 9)</f>
        <v>L402</v>
      </c>
      <c r="D1908" s="897" t="s">
        <v>1367</v>
      </c>
      <c r="E1908" s="897" t="s">
        <v>1535</v>
      </c>
      <c r="F1908" s="1418" t="s">
        <v>1141</v>
      </c>
      <c r="G1908" s="1418" t="str">
        <f>IF(T1908&lt;&gt;"","W","")</f>
        <v/>
      </c>
      <c r="H1908" s="1418" t="s">
        <v>1926</v>
      </c>
      <c r="I1908" s="857"/>
      <c r="J1908" s="1418"/>
      <c r="K1908" s="1418"/>
      <c r="L1908" s="897"/>
      <c r="M1908" s="1419"/>
      <c r="N1908" s="1418"/>
      <c r="R1908" s="1418" t="s">
        <v>1719</v>
      </c>
      <c r="T1908" s="1418" t="str">
        <f t="shared" si="328"/>
        <v/>
      </c>
    </row>
    <row r="1909" spans="1:20" s="1411" customFormat="1" x14ac:dyDescent="0.25">
      <c r="A1909" s="1102" t="s">
        <v>1499</v>
      </c>
      <c r="B1909" s="897" t="str">
        <f ca="1">_xlfn.CONCAT(IFERROR(SUBSTITUTE(ADDRESS(1,MATCH(A1909,INDIRECT("'"&amp;E1909&amp;"'"&amp;"!A" &amp; $O$1069 + 8 &amp; ":Z" &amp; $O$1069 + 8),0),4),1,""),""),$O$1069+ 8)</f>
        <v>N401</v>
      </c>
      <c r="C1909" s="897" t="str">
        <f ca="1">_xlfn.CONCAT(IFERROR(SUBSTITUTE(ADDRESS(1,MATCH(A1909,INDIRECT("'"&amp;E1909&amp;"'"&amp;"!A" &amp; $O$1069 + 8 &amp; ":Z" &amp; $O$1069 + 8),0),4),1,""),""),$O$1069+ 9)</f>
        <v>N402</v>
      </c>
      <c r="D1909" s="897" t="s">
        <v>1367</v>
      </c>
      <c r="E1909" s="897" t="s">
        <v>1535</v>
      </c>
      <c r="F1909" s="1418" t="s">
        <v>1499</v>
      </c>
      <c r="G1909" s="1418" t="str">
        <f>IF(T1909&lt;&gt;"","X","")</f>
        <v/>
      </c>
      <c r="H1909" s="1418" t="s">
        <v>1926</v>
      </c>
      <c r="I1909" s="857"/>
      <c r="J1909" s="1418"/>
      <c r="K1909" s="1418"/>
      <c r="L1909" s="897"/>
      <c r="M1909" s="1419"/>
      <c r="N1909" s="1418"/>
      <c r="R1909" s="1418" t="s">
        <v>1719</v>
      </c>
      <c r="T1909" s="1418" t="str">
        <f t="shared" si="328"/>
        <v/>
      </c>
    </row>
    <row r="1910" spans="1:20" s="1411" customFormat="1" x14ac:dyDescent="0.25">
      <c r="A1910" s="1102" t="s">
        <v>1140</v>
      </c>
      <c r="B1910" s="897" t="str">
        <f ca="1">_xlfn.CONCAT(IFERROR(SUBSTITUTE(ADDRESS(1,MATCH(A1910,INDIRECT("'"&amp;E1910&amp;"'"&amp;"!A" &amp; $O$1069 + 8 &amp; ":Z" &amp; $O$1069 + 8),0),4),1,""),""),$O$1069+ 8)</f>
        <v>P401</v>
      </c>
      <c r="C1910" s="897" t="str">
        <f ca="1">_xlfn.CONCAT(IFERROR(SUBSTITUTE(ADDRESS(1,MATCH(A1910,INDIRECT("'"&amp;E1910&amp;"'"&amp;"!A" &amp; $O$1069 + 8 &amp; ":Z" &amp; $O$1069 + 8),0),4),1,""),""),$O$1069+ 9)</f>
        <v>P402</v>
      </c>
      <c r="D1910" s="897" t="s">
        <v>1367</v>
      </c>
      <c r="E1910" s="897" t="s">
        <v>1535</v>
      </c>
      <c r="F1910" s="1418" t="s">
        <v>1140</v>
      </c>
      <c r="G1910" s="1418" t="str">
        <f>IF(T1910&lt;&gt;"","Y","")</f>
        <v/>
      </c>
      <c r="H1910" s="1418" t="s">
        <v>1926</v>
      </c>
      <c r="I1910" s="857"/>
      <c r="J1910" s="1418"/>
      <c r="K1910" s="1418"/>
      <c r="L1910" s="897"/>
      <c r="M1910" s="1419"/>
      <c r="N1910" s="1418"/>
      <c r="R1910" s="1418" t="s">
        <v>1719</v>
      </c>
      <c r="T1910" s="1418" t="str">
        <f t="shared" si="328"/>
        <v/>
      </c>
    </row>
    <row r="1911" spans="1:20" s="1451" customFormat="1" x14ac:dyDescent="0.25">
      <c r="A1911" s="926" t="s">
        <v>1622</v>
      </c>
      <c r="B1911" s="897" t="str">
        <f ca="1">_xlfn.CONCAT(IFERROR(SUBSTITUTE(ADDRESS(1,MATCH(A1911,INDIRECT("'"&amp;E1911&amp;"'"&amp;"!A" &amp; $O$1005 + 5 &amp; ":Z" &amp; $O$1005 + 5),0),4),1,""),""),$O$1005 + 5)</f>
        <v>R328</v>
      </c>
      <c r="C1911" s="897" t="str">
        <f ca="1">_xlfn.CONCAT(IFERROR(SUBSTITUTE(ADDRESS(1,MATCH(A1911,INDIRECT("'"&amp;E1911&amp;"'"&amp;"!A" &amp; $O$1005 + 5 &amp; ":Z" &amp; $O$1005 + 5),0),4),1,""),""),$O$1005 + 6)</f>
        <v>R329</v>
      </c>
      <c r="D1911" s="897" t="s">
        <v>1367</v>
      </c>
      <c r="E1911" s="897" t="s">
        <v>1535</v>
      </c>
      <c r="F1911" s="1453" t="s">
        <v>2081</v>
      </c>
      <c r="G1911" s="1453" t="str">
        <f>IF(T1911&lt;&gt;"","AB","")</f>
        <v/>
      </c>
      <c r="H1911" s="1453" t="s">
        <v>1926</v>
      </c>
      <c r="I1911" s="857" t="str">
        <f t="shared" ref="I1911:I1921" si="329">IF(J1911&lt;&gt;"",A1911,"")</f>
        <v/>
      </c>
      <c r="J1911" s="1453"/>
      <c r="K1911" s="1453" t="str">
        <f t="shared" ref="K1911:K1921" si="330">IF(J1911&lt;&gt;"",E1911,"")</f>
        <v/>
      </c>
      <c r="L1911" s="897"/>
      <c r="M1911" s="1454"/>
      <c r="N1911" s="1453"/>
      <c r="R1911" s="1453" t="s">
        <v>481</v>
      </c>
      <c r="T1911" s="1453" t="str">
        <f>IF(Q$1005="Yes",23,"")</f>
        <v/>
      </c>
    </row>
    <row r="1912" spans="1:20" s="1451" customFormat="1" x14ac:dyDescent="0.25">
      <c r="A1912" s="929" t="s">
        <v>1622</v>
      </c>
      <c r="B1912" s="897" t="str">
        <f ca="1">_xlfn.CONCAT(IFERROR(SUBSTITUTE(ADDRESS(1,MATCH(A1912,INDIRECT("'"&amp;E1912&amp;"'"&amp;"!A" &amp; $O$1016 + 5 &amp; ":Z" &amp; $O$1016 + 5),0),4),1,""),""),$O$1016 + 5)</f>
        <v>R342</v>
      </c>
      <c r="C1912" s="897" t="str">
        <f ca="1">_xlfn.CONCAT(IFERROR(SUBSTITUTE(ADDRESS(1,MATCH(A1912,INDIRECT("'"&amp;E1912&amp;"'"&amp;"!A" &amp; $O$1016 + 5 &amp; ":Z" &amp; $O$1016 + 5),0),4),1,""),""),$O$1016 + 6)</f>
        <v>R343</v>
      </c>
      <c r="D1912" s="897" t="s">
        <v>1367</v>
      </c>
      <c r="E1912" s="897" t="s">
        <v>1535</v>
      </c>
      <c r="F1912" s="1453" t="s">
        <v>2081</v>
      </c>
      <c r="G1912" s="1453" t="str">
        <f t="shared" ref="G1912:G1921" si="331">IF(T1912&lt;&gt;"","AB","")</f>
        <v/>
      </c>
      <c r="H1912" s="1453" t="s">
        <v>1926</v>
      </c>
      <c r="I1912" s="857" t="str">
        <f t="shared" si="329"/>
        <v/>
      </c>
      <c r="J1912" s="1453"/>
      <c r="K1912" s="1453" t="str">
        <f t="shared" si="330"/>
        <v/>
      </c>
      <c r="L1912" s="897"/>
      <c r="M1912" s="1454"/>
      <c r="N1912" s="1453"/>
      <c r="R1912" s="1453" t="s">
        <v>481</v>
      </c>
      <c r="T1912" s="1453" t="str">
        <f>IF(Q$1016="Yes",24,"")</f>
        <v/>
      </c>
    </row>
    <row r="1913" spans="1:20" s="1451" customFormat="1" x14ac:dyDescent="0.25">
      <c r="A1913" s="926" t="s">
        <v>1622</v>
      </c>
      <c r="B1913" s="897" t="str">
        <f ca="1">_xlfn.CONCAT(IFERROR(SUBSTITUTE(ADDRESS(1,MATCH(A1913,INDIRECT("'"&amp;E1913&amp;"'"&amp;"!A" &amp; $O$1027 + 5 &amp; ":Z" &amp; $O$1027 + 5),0),4),1,""),""),$O$1027+ 5)</f>
        <v>R356</v>
      </c>
      <c r="C1913" s="897" t="str">
        <f ca="1">_xlfn.CONCAT(IFERROR(SUBSTITUTE(ADDRESS(1,MATCH(A1913,INDIRECT("'"&amp;E1913&amp;"'"&amp;"!A" &amp; $O$1027 + 5 &amp; ":Z" &amp; $O$1027 + 5),0),4),1,""),""),$O$1027+ 6)</f>
        <v>R357</v>
      </c>
      <c r="D1913" s="897" t="s">
        <v>1367</v>
      </c>
      <c r="E1913" s="897" t="s">
        <v>1535</v>
      </c>
      <c r="F1913" s="1453" t="s">
        <v>2081</v>
      </c>
      <c r="G1913" s="1453" t="str">
        <f t="shared" si="331"/>
        <v/>
      </c>
      <c r="H1913" s="1453" t="s">
        <v>1926</v>
      </c>
      <c r="I1913" s="857" t="str">
        <f t="shared" si="329"/>
        <v/>
      </c>
      <c r="J1913" s="1453"/>
      <c r="K1913" s="1453" t="str">
        <f t="shared" si="330"/>
        <v/>
      </c>
      <c r="L1913" s="897"/>
      <c r="M1913" s="1454"/>
      <c r="N1913" s="1453"/>
      <c r="R1913" s="1453" t="s">
        <v>481</v>
      </c>
      <c r="T1913" s="1453" t="str">
        <f>IF(Q$1027="Yes",25,"")</f>
        <v/>
      </c>
    </row>
    <row r="1914" spans="1:20" s="1451" customFormat="1" x14ac:dyDescent="0.25">
      <c r="A1914" s="929" t="s">
        <v>1622</v>
      </c>
      <c r="B1914" s="897" t="str">
        <f ca="1">_xlfn.CONCAT(IFERROR(SUBSTITUTE(ADDRESS(1,MATCH(A1914,INDIRECT("'"&amp;E1914&amp;"'"&amp;"!A" &amp; $O$1052 + 5 &amp; ":Z" &amp; $O$1052 + 5),0),4),1,""),""),$O$1052+ 5)</f>
        <v>R384</v>
      </c>
      <c r="C1914" s="897" t="str">
        <f ca="1">_xlfn.CONCAT(IFERROR(SUBSTITUTE(ADDRESS(1,MATCH(A1914,INDIRECT("'"&amp;E1914&amp;"'"&amp;"!A" &amp; $O$1052 + 5 &amp; ":Z" &amp; $O$1052 + 5),0),4),1,""),""),$O$1052+ 6)</f>
        <v>R385</v>
      </c>
      <c r="D1914" s="897" t="s">
        <v>1367</v>
      </c>
      <c r="E1914" s="897" t="s">
        <v>1535</v>
      </c>
      <c r="F1914" s="1453" t="s">
        <v>2081</v>
      </c>
      <c r="G1914" s="1453" t="str">
        <f t="shared" si="331"/>
        <v/>
      </c>
      <c r="H1914" s="1453" t="s">
        <v>1926</v>
      </c>
      <c r="I1914" s="857" t="str">
        <f t="shared" si="329"/>
        <v/>
      </c>
      <c r="J1914" s="1453"/>
      <c r="K1914" s="1453" t="str">
        <f t="shared" si="330"/>
        <v/>
      </c>
      <c r="L1914" s="897"/>
      <c r="M1914" s="1454"/>
      <c r="N1914" s="1453"/>
      <c r="R1914" s="1453" t="s">
        <v>1719</v>
      </c>
      <c r="T1914" s="1453" t="str">
        <f>IF(Q$1052="Yes",27,"")</f>
        <v/>
      </c>
    </row>
    <row r="1915" spans="1:20" s="1451" customFormat="1" x14ac:dyDescent="0.25">
      <c r="A1915" s="926" t="s">
        <v>1622</v>
      </c>
      <c r="B1915" s="897" t="str">
        <f ca="1">_xlfn.CONCAT(IFERROR(SUBSTITUTE(ADDRESS(1,MATCH(A1915,INDIRECT("'"&amp;E1915&amp;"'"&amp;"!A" &amp; $O$1069 + 5 &amp; ":Z" &amp; $O$1069 + 5),0),4),1,""),""),$O$1069+ 5)</f>
        <v>R398</v>
      </c>
      <c r="C1915" s="897" t="str">
        <f ca="1">_xlfn.CONCAT(IFERROR(SUBSTITUTE(ADDRESS(1,MATCH(A1915,INDIRECT("'"&amp;E1915&amp;"'"&amp;"!A" &amp; $O$1069 + 5 &amp; ":Z" &amp; $O$1069 + 5),0),4),1,""),""),$O$1069+ 6)</f>
        <v>R399</v>
      </c>
      <c r="D1915" s="897" t="s">
        <v>1367</v>
      </c>
      <c r="E1915" s="897" t="s">
        <v>1535</v>
      </c>
      <c r="F1915" s="1453" t="s">
        <v>2081</v>
      </c>
      <c r="G1915" s="1453" t="str">
        <f t="shared" si="331"/>
        <v/>
      </c>
      <c r="H1915" s="1453" t="s">
        <v>1926</v>
      </c>
      <c r="I1915" s="857" t="str">
        <f t="shared" si="329"/>
        <v/>
      </c>
      <c r="J1915" s="1453"/>
      <c r="K1915" s="1453" t="str">
        <f t="shared" si="330"/>
        <v/>
      </c>
      <c r="L1915" s="897"/>
      <c r="M1915" s="1454"/>
      <c r="N1915" s="1453"/>
      <c r="R1915" s="1453" t="s">
        <v>1719</v>
      </c>
      <c r="T1915" s="1453" t="str">
        <f>IF(Q$1069="Yes",28,"")</f>
        <v/>
      </c>
    </row>
    <row r="1916" spans="1:20" s="1451" customFormat="1" x14ac:dyDescent="0.25">
      <c r="A1916" s="929" t="s">
        <v>1622</v>
      </c>
      <c r="B1916" s="897" t="str">
        <f ca="1">_xlfn.CONCAT(IFERROR(SUBSTITUTE(ADDRESS(1,MATCH(A1916,INDIRECT("'"&amp;E1916&amp;"'"&amp;"!A" &amp; $O$1085 + 5 &amp; ":Z" &amp; $O$1085 + 5),0),4),1,""),""),$O$1085+ 5)</f>
        <v>R412</v>
      </c>
      <c r="C1916" s="897" t="str">
        <f ca="1">_xlfn.CONCAT(IFERROR(SUBSTITUTE(ADDRESS(1,MATCH(A1916,INDIRECT("'"&amp;E1916&amp;"'"&amp;"!A" &amp; $O$1085 + 5 &amp; ":Z" &amp; $O$1085 + 5),0),4),1,""),""),$O$1085+ 6)</f>
        <v>R413</v>
      </c>
      <c r="D1916" s="897" t="s">
        <v>1367</v>
      </c>
      <c r="E1916" s="897" t="s">
        <v>1535</v>
      </c>
      <c r="F1916" s="1453" t="s">
        <v>2081</v>
      </c>
      <c r="G1916" s="1453" t="str">
        <f t="shared" si="331"/>
        <v/>
      </c>
      <c r="H1916" s="1453" t="s">
        <v>1926</v>
      </c>
      <c r="I1916" s="857" t="str">
        <f t="shared" si="329"/>
        <v/>
      </c>
      <c r="J1916" s="1453"/>
      <c r="K1916" s="1453" t="str">
        <f t="shared" si="330"/>
        <v/>
      </c>
      <c r="L1916" s="897"/>
      <c r="M1916" s="1454"/>
      <c r="N1916" s="1453"/>
      <c r="R1916" s="1453" t="s">
        <v>1105</v>
      </c>
      <c r="T1916" s="1453" t="str">
        <f>IF(Q$1085="Yes",29,"")</f>
        <v/>
      </c>
    </row>
    <row r="1917" spans="1:20" s="1451" customFormat="1" x14ac:dyDescent="0.25">
      <c r="A1917" s="926" t="s">
        <v>1622</v>
      </c>
      <c r="B1917" s="897" t="str">
        <f ca="1">_xlfn.CONCAT(IFERROR(SUBSTITUTE(ADDRESS(1,MATCH(A1917,INDIRECT("'"&amp;E1917&amp;"'"&amp;"!A" &amp; $O$1095 + 5 &amp; ":Z" &amp; $O$1095 + 5 ),0),4),1,""),""),$O$1095+ 5)</f>
        <v>R426</v>
      </c>
      <c r="C1917" s="897" t="str">
        <f ca="1">_xlfn.CONCAT(IFERROR(SUBSTITUTE(ADDRESS(1,MATCH(A1917,INDIRECT("'"&amp;E1917&amp;"'"&amp;"!A" &amp; $O$1095 + 5 &amp; ":Z" &amp; $O$1095 + 5 ),0),4),1,""),""),$O$1095+ 6)</f>
        <v>R427</v>
      </c>
      <c r="D1917" s="897" t="s">
        <v>1367</v>
      </c>
      <c r="E1917" s="897" t="s">
        <v>1535</v>
      </c>
      <c r="F1917" s="1453" t="s">
        <v>2081</v>
      </c>
      <c r="G1917" s="1453" t="str">
        <f t="shared" si="331"/>
        <v/>
      </c>
      <c r="H1917" s="1453" t="s">
        <v>1926</v>
      </c>
      <c r="I1917" s="857" t="str">
        <f t="shared" si="329"/>
        <v/>
      </c>
      <c r="J1917" s="1453"/>
      <c r="K1917" s="1453" t="str">
        <f t="shared" si="330"/>
        <v/>
      </c>
      <c r="L1917" s="897"/>
      <c r="M1917" s="1454"/>
      <c r="N1917" s="1453"/>
      <c r="R1917" s="1453" t="s">
        <v>1105</v>
      </c>
      <c r="T1917" s="1453" t="str">
        <f>IF(Q$1095="Yes",30,"")</f>
        <v/>
      </c>
    </row>
    <row r="1918" spans="1:20" s="1451" customFormat="1" x14ac:dyDescent="0.25">
      <c r="A1918" s="929" t="s">
        <v>1622</v>
      </c>
      <c r="B1918" s="897" t="str">
        <f ca="1">_xlfn.CONCAT(IFERROR(SUBSTITUTE(ADDRESS(1,MATCH(A1918,INDIRECT("'"&amp;E1918&amp;"'"&amp;"!A" &amp; $O$1105 + 5 &amp; ":Z" &amp; $O$1105 + 5),0),4),1,""),""),$O$1105+ 5)</f>
        <v>R440</v>
      </c>
      <c r="C1918" s="897" t="str">
        <f ca="1">_xlfn.CONCAT(IFERROR(SUBSTITUTE(ADDRESS(1,MATCH(A1918,INDIRECT("'"&amp;E1918&amp;"'"&amp;"!A" &amp; $O$1105 + 5 &amp; ":Z" &amp; $O$1105 + 5),0),4),1,""),""),$O$1105+ 6)</f>
        <v>R441</v>
      </c>
      <c r="D1918" s="897" t="s">
        <v>1367</v>
      </c>
      <c r="E1918" s="897" t="s">
        <v>1535</v>
      </c>
      <c r="F1918" s="1453" t="s">
        <v>2081</v>
      </c>
      <c r="G1918" s="1453" t="str">
        <f t="shared" si="331"/>
        <v/>
      </c>
      <c r="H1918" s="1453" t="s">
        <v>1926</v>
      </c>
      <c r="I1918" s="857" t="str">
        <f t="shared" si="329"/>
        <v/>
      </c>
      <c r="J1918" s="1453"/>
      <c r="K1918" s="1453" t="str">
        <f t="shared" si="330"/>
        <v/>
      </c>
      <c r="L1918" s="897"/>
      <c r="M1918" s="1454"/>
      <c r="N1918" s="1453"/>
      <c r="R1918" s="1453" t="s">
        <v>1105</v>
      </c>
      <c r="T1918" s="1453" t="str">
        <f>IF(Q$1105="Yes",31,"")</f>
        <v/>
      </c>
    </row>
    <row r="1919" spans="1:20" s="1451" customFormat="1" x14ac:dyDescent="0.25">
      <c r="A1919" s="926" t="s">
        <v>1622</v>
      </c>
      <c r="B1919" s="897" t="str">
        <f ca="1">_xlfn.CONCAT(IFERROR(SUBSTITUTE(ADDRESS(1,MATCH(A1919,INDIRECT("'"&amp;E1919&amp;"'"&amp;"!A" &amp; $O$1134 + 5 &amp; ":Z" &amp; $O$1134 + 5),0),4),1,""),""),$O$1134+ 5)</f>
        <v>R454</v>
      </c>
      <c r="C1919" s="897" t="str">
        <f ca="1">_xlfn.CONCAT(IFERROR(SUBSTITUTE(ADDRESS(1,MATCH(A1919,INDIRECT("'"&amp;E1919&amp;"'"&amp;"!A" &amp; $O$1134 + 5 &amp; ":Z" &amp; $O$1134 + 5),0),4),1,""),""),$O$1134+ 6)</f>
        <v>R455</v>
      </c>
      <c r="D1919" s="897" t="s">
        <v>1367</v>
      </c>
      <c r="E1919" s="897" t="s">
        <v>1535</v>
      </c>
      <c r="F1919" s="1453" t="s">
        <v>2081</v>
      </c>
      <c r="G1919" s="1453" t="str">
        <f t="shared" si="331"/>
        <v/>
      </c>
      <c r="H1919" s="1453" t="s">
        <v>1926</v>
      </c>
      <c r="I1919" s="857" t="str">
        <f t="shared" si="329"/>
        <v/>
      </c>
      <c r="J1919" s="1453"/>
      <c r="K1919" s="1453" t="str">
        <f t="shared" si="330"/>
        <v/>
      </c>
      <c r="L1919" s="897"/>
      <c r="M1919" s="1454"/>
      <c r="N1919" s="1453"/>
      <c r="R1919" s="1453" t="s">
        <v>1105</v>
      </c>
      <c r="T1919" s="1453" t="str">
        <f>IF(Q$1134="Yes",32,"")</f>
        <v/>
      </c>
    </row>
    <row r="1920" spans="1:20" s="1451" customFormat="1" x14ac:dyDescent="0.25">
      <c r="A1920" s="929" t="s">
        <v>1622</v>
      </c>
      <c r="B1920" s="897" t="str">
        <f ca="1">_xlfn.CONCAT(IFERROR(SUBSTITUTE(ADDRESS(1,MATCH(A1920,INDIRECT("'"&amp;E1920&amp;"'"&amp;"!A" &amp; $O$1163 + 5 &amp; ":Z" &amp; $O$1163 + 5),0),4),1,""),""),$O$1163+ 5)</f>
        <v>R468</v>
      </c>
      <c r="C1920" s="897" t="str">
        <f ca="1">_xlfn.CONCAT(IFERROR(SUBSTITUTE(ADDRESS(1,MATCH(A1920,INDIRECT("'"&amp;E1920&amp;"'"&amp;"!A" &amp; $O$1163 + 5 &amp; ":Z" &amp; $O$1163 + 5),0),4),1,""),""),$O$1163+ 6)</f>
        <v>R469</v>
      </c>
      <c r="D1920" s="897" t="s">
        <v>1367</v>
      </c>
      <c r="E1920" s="897" t="s">
        <v>1535</v>
      </c>
      <c r="F1920" s="1453" t="s">
        <v>2081</v>
      </c>
      <c r="G1920" s="1453" t="str">
        <f t="shared" si="331"/>
        <v/>
      </c>
      <c r="H1920" s="1453" t="s">
        <v>1926</v>
      </c>
      <c r="I1920" s="857" t="str">
        <f t="shared" si="329"/>
        <v/>
      </c>
      <c r="J1920" s="1453"/>
      <c r="K1920" s="1453" t="str">
        <f t="shared" si="330"/>
        <v/>
      </c>
      <c r="L1920" s="897"/>
      <c r="M1920" s="1454"/>
      <c r="N1920" s="1453"/>
      <c r="R1920" s="1453" t="s">
        <v>1105</v>
      </c>
      <c r="T1920" s="1453" t="str">
        <f>IF(Q$1163="Yes",33,"")</f>
        <v/>
      </c>
    </row>
    <row r="1921" spans="1:20" s="1451" customFormat="1" x14ac:dyDescent="0.25">
      <c r="A1921" s="926" t="s">
        <v>1622</v>
      </c>
      <c r="B1921" s="897" t="str">
        <f ca="1">_xlfn.CONCAT(IFERROR(SUBSTITUTE(ADDRESS(1,MATCH(A1921,INDIRECT("'"&amp;E1921&amp;"'"&amp;"!A" &amp; $O$1188 + 5 &amp; ":Z" &amp; $O$1188 + 5),0),4),1,""),""),$O$1188+ 5)</f>
        <v>R482</v>
      </c>
      <c r="C1921" s="897" t="str">
        <f ca="1">_xlfn.CONCAT(IFERROR(SUBSTITUTE(ADDRESS(1,MATCH(A1921,INDIRECT("'"&amp;E1921&amp;"'"&amp;"!A" &amp; $O$1188 + 5 &amp; ":Z" &amp; $O$1188 + 5),0),4),1,""),""),$O$1188+ 6)</f>
        <v>R483</v>
      </c>
      <c r="D1921" s="897" t="s">
        <v>1367</v>
      </c>
      <c r="E1921" s="897" t="s">
        <v>1535</v>
      </c>
      <c r="F1921" s="1453" t="s">
        <v>2081</v>
      </c>
      <c r="G1921" s="1453" t="str">
        <f t="shared" si="331"/>
        <v/>
      </c>
      <c r="H1921" s="1453" t="s">
        <v>1926</v>
      </c>
      <c r="I1921" s="857" t="str">
        <f t="shared" si="329"/>
        <v/>
      </c>
      <c r="J1921" s="1453"/>
      <c r="K1921" s="1453" t="str">
        <f t="shared" si="330"/>
        <v/>
      </c>
      <c r="L1921" s="897"/>
      <c r="M1921" s="1454"/>
      <c r="N1921" s="1453"/>
      <c r="R1921" s="1453" t="s">
        <v>1105</v>
      </c>
      <c r="T1921" s="1453" t="str">
        <f>IF(Q$1188="Yes",34,"")</f>
        <v/>
      </c>
    </row>
    <row r="1922" spans="1:20" s="1451" customFormat="1" x14ac:dyDescent="0.25">
      <c r="A1922" s="925" t="s">
        <v>1520</v>
      </c>
      <c r="B1922" s="897" t="str">
        <f ca="1">_xlfn.CONCAT(IFERROR(SUBSTITUTE(ADDRESS(1,MATCH(A1922,INDIRECT("'"&amp;E1922&amp;"'"&amp;"!A" &amp; $O$570+5 &amp; ":Z" &amp; $O$570+5),0),4),1,""),""),$O$570+5)</f>
        <v>N36</v>
      </c>
      <c r="C1922" s="897" t="str">
        <f ca="1">_xlfn.CONCAT(IFERROR(SUBSTITUTE(ADDRESS(1,MATCH(A1922,INDIRECT("'"&amp;E1922&amp;"'"&amp;"!A" &amp; $O$570+5 &amp; ":Z" &amp; $O$570+5),0),4),1,""),""),$O$570+6)</f>
        <v>N37</v>
      </c>
      <c r="D1922" s="897" t="s">
        <v>1367</v>
      </c>
      <c r="E1922" s="897" t="s">
        <v>1535</v>
      </c>
      <c r="F1922" s="919" t="s">
        <v>2074</v>
      </c>
      <c r="G1922" s="1453" t="str">
        <f>IF(T1922&lt;&gt;"","AJ","")</f>
        <v/>
      </c>
      <c r="H1922" s="1453" t="s">
        <v>1926</v>
      </c>
      <c r="I1922" s="857"/>
      <c r="J1922" s="1453"/>
      <c r="K1922" s="1453"/>
      <c r="L1922" s="1453"/>
      <c r="M1922" s="1454"/>
      <c r="N1922" s="1453"/>
      <c r="R1922" s="1453" t="s">
        <v>855</v>
      </c>
      <c r="T1922" s="1453" t="str">
        <f t="shared" ref="T1922" si="332">IF(Q$570="Yes",3,"")</f>
        <v/>
      </c>
    </row>
    <row r="1923" spans="1:20" s="1451" customFormat="1" x14ac:dyDescent="0.25">
      <c r="A1923" s="928" t="s">
        <v>1520</v>
      </c>
      <c r="B1923" s="897" t="str">
        <f ca="1">_xlfn.CONCAT(IFERROR(SUBSTITUTE(ADDRESS(1,MATCH(A1923,INDIRECT("'"&amp;E1923&amp;"'"&amp;"!A" &amp; $O$589+5 &amp; ":Z" &amp; $O$589+5),0),4),1,""),""),$O$589+5)</f>
        <v>N50</v>
      </c>
      <c r="C1923" s="897" t="str">
        <f ca="1">_xlfn.CONCAT(IFERROR(SUBSTITUTE(ADDRESS(1,MATCH(A1923,INDIRECT("'"&amp;E1923&amp;"'"&amp;"!A" &amp; $O$589+5 &amp; ":Z" &amp; $O$589+5),0),4),1,""),""),$O$589+6)</f>
        <v>N51</v>
      </c>
      <c r="D1923" s="897" t="s">
        <v>1367</v>
      </c>
      <c r="E1923" s="897" t="s">
        <v>1535</v>
      </c>
      <c r="F1923" s="919" t="s">
        <v>2074</v>
      </c>
      <c r="G1923" s="1453" t="str">
        <f t="shared" ref="G1923:G1933" si="333">IF(T1923&lt;&gt;"","AJ","")</f>
        <v/>
      </c>
      <c r="H1923" s="1453" t="s">
        <v>1926</v>
      </c>
      <c r="I1923" s="857"/>
      <c r="J1923" s="1453"/>
      <c r="K1923" s="1453"/>
      <c r="L1923" s="1453"/>
      <c r="M1923" s="1454"/>
      <c r="N1923" s="1453"/>
      <c r="R1923" s="1453" t="s">
        <v>855</v>
      </c>
      <c r="T1923" s="1453" t="str">
        <f t="shared" ref="T1923" si="334">IF(Q$589="Yes",4,"")</f>
        <v/>
      </c>
    </row>
    <row r="1924" spans="1:20" s="1451" customFormat="1" x14ac:dyDescent="0.25">
      <c r="A1924" s="926" t="s">
        <v>1520</v>
      </c>
      <c r="B1924" s="897" t="str">
        <f ca="1">_xlfn.CONCAT(IFERROR(SUBSTITUTE(ADDRESS(1,MATCH(A1924,INDIRECT("'"&amp;E1924&amp;"'"&amp;"!A" &amp; $O$670 + 5 &amp; ":Z" &amp; $O$670 + 5),0),4),1,""),""),$O$670 + 5)</f>
        <v>N96</v>
      </c>
      <c r="C1924" s="897" t="str">
        <f ca="1">_xlfn.CONCAT(IFERROR(SUBSTITUTE(ADDRESS(1,MATCH(A1924,INDIRECT("'"&amp;E1924&amp;"'"&amp;"!A" &amp; $O$670 + 5 &amp; ":Z" &amp; $O$670 + 5),0),4),1,""),""),$O$670 + 6)</f>
        <v>N97</v>
      </c>
      <c r="D1924" s="897" t="s">
        <v>1367</v>
      </c>
      <c r="E1924" s="897" t="s">
        <v>1535</v>
      </c>
      <c r="F1924" s="919" t="s">
        <v>2074</v>
      </c>
      <c r="G1924" s="1453" t="str">
        <f t="shared" si="333"/>
        <v/>
      </c>
      <c r="H1924" s="1453" t="s">
        <v>1926</v>
      </c>
      <c r="I1924" s="857"/>
      <c r="J1924" s="1453"/>
      <c r="K1924" s="1453"/>
      <c r="L1924" s="1453"/>
      <c r="M1924" s="1454"/>
      <c r="N1924" s="1453"/>
      <c r="R1924" s="1453" t="s">
        <v>1544</v>
      </c>
      <c r="T1924" s="1453" t="str">
        <f t="shared" ref="T1924" si="335">IF(Q$670="Yes",7,"")</f>
        <v/>
      </c>
    </row>
    <row r="1925" spans="1:20" s="1451" customFormat="1" x14ac:dyDescent="0.25">
      <c r="A1925" s="929" t="s">
        <v>1520</v>
      </c>
      <c r="B1925" s="897" t="str">
        <f ca="1">_xlfn.CONCAT(IFERROR(SUBSTITUTE(ADDRESS(1,MATCH(A1925,INDIRECT("'"&amp;E1925&amp;"'"&amp;"!A" &amp; $O$688 + 5 &amp; ":Z" &amp; $O$688 + 5),0),4),1,""),""),$O$688 + 5)</f>
        <v>N110</v>
      </c>
      <c r="C1925" s="897" t="str">
        <f ca="1">_xlfn.CONCAT(IFERROR(SUBSTITUTE(ADDRESS(1,MATCH(A1925,INDIRECT("'"&amp;E1925&amp;"'"&amp;"!A" &amp; $O$688 + 5 &amp; ":Z" &amp; $O$688 + 5),0),4),1,""),""),$O$688 + 6)</f>
        <v>N111</v>
      </c>
      <c r="D1925" s="897" t="s">
        <v>1367</v>
      </c>
      <c r="E1925" s="897" t="s">
        <v>1535</v>
      </c>
      <c r="F1925" s="919" t="s">
        <v>2074</v>
      </c>
      <c r="G1925" s="1453" t="str">
        <f t="shared" si="333"/>
        <v/>
      </c>
      <c r="H1925" s="1453" t="s">
        <v>1926</v>
      </c>
      <c r="I1925" s="857"/>
      <c r="J1925" s="1453"/>
      <c r="K1925" s="1453"/>
      <c r="L1925" s="1453"/>
      <c r="M1925" s="1454"/>
      <c r="N1925" s="1453"/>
      <c r="R1925" s="1453" t="s">
        <v>1544</v>
      </c>
      <c r="T1925" s="1453" t="str">
        <f t="shared" ref="T1925" si="336">IF(Q$688="Yes",8,"")</f>
        <v/>
      </c>
    </row>
    <row r="1926" spans="1:20" s="1451" customFormat="1" x14ac:dyDescent="0.25">
      <c r="A1926" s="926" t="s">
        <v>1520</v>
      </c>
      <c r="B1926" s="897" t="str">
        <f ca="1">_xlfn.CONCAT(IFERROR(SUBSTITUTE(ADDRESS(1,MATCH(A1926,INDIRECT("'"&amp;E1926&amp;"'"&amp;"!A" &amp; $O$796 + 5 &amp; ":Z" &amp; $O$796+ 5),0),4),1,""),""),$O$796 + 5)</f>
        <v>N184</v>
      </c>
      <c r="C1926" s="897" t="str">
        <f ca="1">_xlfn.CONCAT(IFERROR(SUBSTITUTE(ADDRESS(1,MATCH(A1926,INDIRECT("'"&amp;E1926&amp;"'"&amp;"!A" &amp; $O$796 + 5 &amp; ":Z" &amp; $O$796+ 5),0),4),1,""),""),$O$796 + 6)</f>
        <v>N185</v>
      </c>
      <c r="D1926" s="897" t="s">
        <v>1367</v>
      </c>
      <c r="E1926" s="897" t="s">
        <v>1535</v>
      </c>
      <c r="F1926" s="919" t="s">
        <v>2074</v>
      </c>
      <c r="G1926" s="1453" t="str">
        <f t="shared" si="333"/>
        <v/>
      </c>
      <c r="H1926" s="1453" t="s">
        <v>1926</v>
      </c>
      <c r="I1926" s="857"/>
      <c r="J1926" s="1453"/>
      <c r="K1926" s="1453"/>
      <c r="L1926" s="1453"/>
      <c r="M1926" s="1454"/>
      <c r="N1926" s="1453"/>
      <c r="R1926" s="1453" t="s">
        <v>1550</v>
      </c>
      <c r="T1926" s="1453" t="str">
        <f t="shared" ref="T1926" si="337">IF(Q$796="Yes",13,"")</f>
        <v/>
      </c>
    </row>
    <row r="1927" spans="1:20" s="1451" customFormat="1" x14ac:dyDescent="0.25">
      <c r="A1927" s="929" t="s">
        <v>1520</v>
      </c>
      <c r="B1927" s="897" t="str">
        <f ca="1">_xlfn.CONCAT(IFERROR(SUBSTITUTE(ADDRESS(1,MATCH(A1927,INDIRECT("'"&amp;E1927&amp;"'"&amp;"!A" &amp; $O$814 + 5 &amp; ":Z" &amp; $O$814+ 5),0),4),1,""),""),$O$814 + 5)</f>
        <v>N198</v>
      </c>
      <c r="C1927" s="897" t="str">
        <f ca="1">_xlfn.CONCAT(IFERROR(SUBSTITUTE(ADDRESS(1,MATCH(A1927,INDIRECT("'"&amp;E1927&amp;"'"&amp;"!A" &amp; $O$814 + 5 &amp; ":Z" &amp; $O$814+ 5),0),4),1,""),""),$O$814 + 6)</f>
        <v>N199</v>
      </c>
      <c r="D1927" s="897" t="s">
        <v>1367</v>
      </c>
      <c r="E1927" s="897" t="s">
        <v>1535</v>
      </c>
      <c r="F1927" s="919" t="s">
        <v>2074</v>
      </c>
      <c r="G1927" s="1453" t="str">
        <f t="shared" si="333"/>
        <v/>
      </c>
      <c r="H1927" s="1453" t="s">
        <v>1926</v>
      </c>
      <c r="I1927" s="857"/>
      <c r="J1927" s="1453"/>
      <c r="K1927" s="1453"/>
      <c r="L1927" s="1453"/>
      <c r="M1927" s="1454"/>
      <c r="N1927" s="1453"/>
      <c r="R1927" s="1453" t="s">
        <v>1550</v>
      </c>
      <c r="T1927" s="1453" t="str">
        <f t="shared" ref="T1927" si="338">IF(Q$814="Yes",14,"")</f>
        <v/>
      </c>
    </row>
    <row r="1928" spans="1:20" s="1451" customFormat="1" x14ac:dyDescent="0.25">
      <c r="A1928" s="926" t="s">
        <v>1520</v>
      </c>
      <c r="B1928" s="897" t="str">
        <f ca="1">_xlfn.CONCAT(IFERROR(SUBSTITUTE(ADDRESS(1,MATCH(A1928,INDIRECT("'"&amp;E1928&amp;"'"&amp;"!A" &amp; $O$892 + 5 &amp; ":Z" &amp; $O$892+ 5),0),4),1,""),""),$O$892 + 5)</f>
        <v>N244</v>
      </c>
      <c r="C1928" s="897" t="str">
        <f ca="1">_xlfn.CONCAT(IFERROR(SUBSTITUTE(ADDRESS(1,MATCH(A1928,INDIRECT("'"&amp;E1928&amp;"'"&amp;"!A" &amp; $O$892 + 5 &amp; ":Z" &amp; $O$892+ 5),0),4),1,""),""),$O$892 + 6)</f>
        <v>N245</v>
      </c>
      <c r="D1928" s="897" t="s">
        <v>1367</v>
      </c>
      <c r="E1928" s="897" t="s">
        <v>1535</v>
      </c>
      <c r="F1928" s="919" t="s">
        <v>2074</v>
      </c>
      <c r="G1928" s="1453" t="str">
        <f t="shared" si="333"/>
        <v/>
      </c>
      <c r="H1928" s="1453" t="s">
        <v>1926</v>
      </c>
      <c r="I1928" s="857"/>
      <c r="J1928" s="1453"/>
      <c r="K1928" s="1453"/>
      <c r="L1928" s="1453"/>
      <c r="M1928" s="1454"/>
      <c r="N1928" s="1453"/>
      <c r="R1928" s="1453" t="s">
        <v>395</v>
      </c>
      <c r="T1928" s="1453" t="str">
        <f t="shared" ref="T1928" si="339">IF(Q$892="Yes",17,"")</f>
        <v/>
      </c>
    </row>
    <row r="1929" spans="1:20" s="1451" customFormat="1" x14ac:dyDescent="0.25">
      <c r="A1929" s="1082" t="s">
        <v>1520</v>
      </c>
      <c r="B1929" s="897" t="str">
        <f ca="1">_xlfn.CONCAT(IFERROR(SUBSTITUTE(ADDRESS(1,MATCH(A1929,INDIRECT("'"&amp;E1929&amp;"'"&amp;"!A" &amp; $O$911 + 5 &amp; ":Z" &amp; $O$911 + 5),0),4),1,""),""),$O$911 + 5)</f>
        <v>N258</v>
      </c>
      <c r="C1929" s="897" t="str">
        <f ca="1">_xlfn.CONCAT(IFERROR(SUBSTITUTE(ADDRESS(1,MATCH(A1929,INDIRECT("'"&amp;E1929&amp;"'"&amp;"!A" &amp; $O$911 + 5 &amp; ":Z" &amp; $O$911 + 5),0),4),1,""),""),$O$911 + 6)</f>
        <v>N259</v>
      </c>
      <c r="D1929" s="897" t="s">
        <v>1367</v>
      </c>
      <c r="E1929" s="897" t="s">
        <v>1535</v>
      </c>
      <c r="F1929" s="919" t="s">
        <v>2074</v>
      </c>
      <c r="G1929" s="1453" t="str">
        <f t="shared" si="333"/>
        <v/>
      </c>
      <c r="H1929" s="1453" t="s">
        <v>1926</v>
      </c>
      <c r="I1929" s="857"/>
      <c r="J1929" s="1453"/>
      <c r="K1929" s="1453"/>
      <c r="L1929" s="1453"/>
      <c r="M1929" s="1454"/>
      <c r="N1929" s="1453"/>
      <c r="R1929" s="1453" t="s">
        <v>395</v>
      </c>
      <c r="T1929" s="1453" t="str">
        <f t="shared" ref="T1929" si="340">IF(Q$911="Yes",18,"")</f>
        <v/>
      </c>
    </row>
    <row r="1930" spans="1:20" s="1451" customFormat="1" x14ac:dyDescent="0.25">
      <c r="A1930" s="1102" t="s">
        <v>1520</v>
      </c>
      <c r="B1930" s="897" t="str">
        <f ca="1">_xlfn.CONCAT(IFERROR(SUBSTITUTE(ADDRESS(1,MATCH(A1930,INDIRECT("'"&amp;E1930&amp;"'"&amp;"!A" &amp; $O$930 + 5 &amp; ":Z" &amp; $O$930 + 5),0),4),1,""),""),$O$930 + 5)</f>
        <v>N272</v>
      </c>
      <c r="C1930" s="897" t="str">
        <f ca="1">_xlfn.CONCAT(IFERROR(SUBSTITUTE(ADDRESS(1,MATCH(A1930,INDIRECT("'"&amp;E1930&amp;"'"&amp;"!A" &amp; $O$930 + 5 &amp; ":Z" &amp; $O$930 + 5),0),4),1,""),""),$O$930 + 6)</f>
        <v>N273</v>
      </c>
      <c r="D1930" s="897" t="s">
        <v>1367</v>
      </c>
      <c r="E1930" s="897" t="s">
        <v>1535</v>
      </c>
      <c r="F1930" s="919" t="s">
        <v>2074</v>
      </c>
      <c r="G1930" s="1453" t="str">
        <f t="shared" si="333"/>
        <v/>
      </c>
      <c r="H1930" s="1453" t="s">
        <v>1926</v>
      </c>
      <c r="I1930" s="857"/>
      <c r="J1930" s="1453"/>
      <c r="K1930" s="1453"/>
      <c r="L1930" s="1453"/>
      <c r="M1930" s="1454"/>
      <c r="N1930" s="1453"/>
      <c r="R1930" s="1453" t="s">
        <v>395</v>
      </c>
      <c r="T1930" s="1453" t="str">
        <f t="shared" ref="T1930" si="341">IF(Q$930="Yes",19,"")</f>
        <v/>
      </c>
    </row>
    <row r="1931" spans="1:20" s="1451" customFormat="1" x14ac:dyDescent="0.25">
      <c r="A1931" s="1082" t="s">
        <v>1520</v>
      </c>
      <c r="B1931" s="897" t="str">
        <f ca="1">_xlfn.CONCAT(IFERROR(SUBSTITUTE(ADDRESS(1,MATCH(A1931,INDIRECT("'"&amp;E1931&amp;"'"&amp;"!A" &amp; $O$949 + 5 &amp; ":Z" &amp; $O$949 + 5),0),4),1,""),""),$O$949 + 5)</f>
        <v>N286</v>
      </c>
      <c r="C1931" s="897" t="str">
        <f ca="1">_xlfn.CONCAT(IFERROR(SUBSTITUTE(ADDRESS(1,MATCH(A1931,INDIRECT("'"&amp;E1931&amp;"'"&amp;"!A" &amp; $O$949 + 5 &amp; ":Z" &amp; $O$949 + 5),0),4),1,""),""),$O$949 + 6)</f>
        <v>N287</v>
      </c>
      <c r="D1931" s="897" t="s">
        <v>1367</v>
      </c>
      <c r="E1931" s="897" t="s">
        <v>1535</v>
      </c>
      <c r="F1931" s="919" t="s">
        <v>2074</v>
      </c>
      <c r="G1931" s="1453" t="str">
        <f t="shared" si="333"/>
        <v/>
      </c>
      <c r="H1931" s="1453" t="s">
        <v>1926</v>
      </c>
      <c r="I1931" s="857"/>
      <c r="J1931" s="1453"/>
      <c r="K1931" s="1453"/>
      <c r="L1931" s="1453"/>
      <c r="M1931" s="1454"/>
      <c r="N1931" s="1453"/>
      <c r="R1931" s="1453" t="s">
        <v>395</v>
      </c>
      <c r="T1931" s="1453" t="str">
        <f t="shared" ref="T1931" si="342">IF(Q$949="Yes",20,"")</f>
        <v/>
      </c>
    </row>
    <row r="1932" spans="1:20" s="1451" customFormat="1" x14ac:dyDescent="0.25">
      <c r="A1932" s="1104" t="s">
        <v>1520</v>
      </c>
      <c r="B1932" s="897" t="str">
        <f ca="1">_xlfn.CONCAT(IFERROR(SUBSTITUTE(ADDRESS(1,MATCH(A1932,INDIRECT("'"&amp;E1932&amp;"'"&amp;"!A" &amp; $O$968 + 5 &amp; ":Z" &amp; $O$968 + 5),0),4),1,""),""),$O$968 + 5)</f>
        <v>N300</v>
      </c>
      <c r="C1932" s="897" t="str">
        <f ca="1">_xlfn.CONCAT(IFERROR(SUBSTITUTE(ADDRESS(1,MATCH(A1932,INDIRECT("'"&amp;E1932&amp;"'"&amp;"!A" &amp; $O$968 + 5 &amp; ":Z" &amp; $O$968 + 5),0),4),1,""),""),$O$968 + 6)</f>
        <v>N301</v>
      </c>
      <c r="D1932" s="897" t="s">
        <v>1367</v>
      </c>
      <c r="E1932" s="897" t="s">
        <v>1535</v>
      </c>
      <c r="F1932" s="919" t="s">
        <v>2074</v>
      </c>
      <c r="G1932" s="1453" t="str">
        <f t="shared" si="333"/>
        <v/>
      </c>
      <c r="H1932" s="1453" t="s">
        <v>1926</v>
      </c>
      <c r="I1932" s="857"/>
      <c r="J1932" s="1453"/>
      <c r="K1932" s="1453"/>
      <c r="L1932" s="1453"/>
      <c r="M1932" s="1454"/>
      <c r="N1932" s="1453"/>
      <c r="R1932" s="1453" t="s">
        <v>395</v>
      </c>
      <c r="T1932" s="1453" t="str">
        <f t="shared" ref="T1932" si="343">IF(Q$968="Yes",21,"")</f>
        <v/>
      </c>
    </row>
    <row r="1933" spans="1:20" s="1451" customFormat="1" x14ac:dyDescent="0.25">
      <c r="A1933" s="929" t="s">
        <v>1520</v>
      </c>
      <c r="B1933" s="897" t="str">
        <f ca="1">_xlfn.CONCAT(IFERROR(SUBSTITUTE(ADDRESS(1,MATCH(A1933,INDIRECT("'"&amp;E1933&amp;"'"&amp;"!A" &amp; $O$987 + 5 &amp; ":Z" &amp; $O$987 + 5),0),4),1,""),""),$O$987 + 5)</f>
        <v>N314</v>
      </c>
      <c r="C1933" s="897" t="str">
        <f ca="1">_xlfn.CONCAT(IFERROR(SUBSTITUTE(ADDRESS(1,MATCH(A1933,INDIRECT("'"&amp;E1933&amp;"'"&amp;"!A" &amp; $O$987 + 5 &amp; ":Z" &amp; $O$987 + 5),0),4),1,""),""),$O$987 + 6)</f>
        <v>N315</v>
      </c>
      <c r="D1933" s="897" t="s">
        <v>1367</v>
      </c>
      <c r="E1933" s="897" t="s">
        <v>1535</v>
      </c>
      <c r="F1933" s="919" t="s">
        <v>2074</v>
      </c>
      <c r="G1933" s="1453" t="str">
        <f t="shared" si="333"/>
        <v/>
      </c>
      <c r="H1933" s="1453" t="s">
        <v>1926</v>
      </c>
      <c r="I1933" s="857"/>
      <c r="J1933" s="1453"/>
      <c r="K1933" s="1453"/>
      <c r="L1933" s="1453"/>
      <c r="M1933" s="1454"/>
      <c r="N1933" s="1453"/>
      <c r="R1933" s="1453" t="s">
        <v>1715</v>
      </c>
      <c r="T1933" s="1453" t="str">
        <f t="shared" ref="T1933" si="344">IF(Q$987="Yes",22,"")</f>
        <v/>
      </c>
    </row>
    <row r="1934" spans="1:20" s="1451" customFormat="1" x14ac:dyDescent="0.25">
      <c r="A1934" s="1102" t="s">
        <v>1623</v>
      </c>
      <c r="B1934" s="897" t="str">
        <f ca="1">_xlfn.CONCAT(IFERROR(SUBSTITUTE(ADDRESS(1,MATCH(A1934,INDIRECT("'"&amp;E1934&amp;"'"&amp;"!A" &amp; $O$1005 + 5 &amp; ":Z" &amp; $O$1005 + 5),0),4),1,""),""),$O$1005 + 5)</f>
        <v>T328</v>
      </c>
      <c r="C1934" s="897" t="str">
        <f ca="1">_xlfn.CONCAT(IFERROR(SUBSTITUTE(ADDRESS(1,MATCH(A1934,INDIRECT("'"&amp;E1934&amp;"'"&amp;"!A" &amp; $O$1005 + 5 &amp; ":Z" &amp; $O$1005 + 5),0),4),1,""),""),$O$1005 + 6)</f>
        <v>T329</v>
      </c>
      <c r="D1934" s="897" t="s">
        <v>1367</v>
      </c>
      <c r="E1934" s="897" t="s">
        <v>1535</v>
      </c>
      <c r="F1934" s="1453" t="s">
        <v>1623</v>
      </c>
      <c r="G1934" s="1453" t="str">
        <f>IF(T1934&lt;&gt;"","AP","")</f>
        <v/>
      </c>
      <c r="H1934" s="1453" t="s">
        <v>1926</v>
      </c>
      <c r="I1934" s="857" t="str">
        <f t="shared" ref="I1934:I1944" si="345">IF(J1934&lt;&gt;"",A1934,"")</f>
        <v/>
      </c>
      <c r="J1934" s="1453"/>
      <c r="K1934" s="1453" t="str">
        <f t="shared" ref="K1934:K1944" si="346">IF(J1934&lt;&gt;"",E1934,"")</f>
        <v/>
      </c>
      <c r="L1934" s="897"/>
      <c r="M1934" s="1454"/>
      <c r="N1934" s="1453"/>
      <c r="R1934" s="1453" t="s">
        <v>481</v>
      </c>
      <c r="T1934" s="1453" t="str">
        <f>IF(Q$1005="Yes",23,"")</f>
        <v/>
      </c>
    </row>
    <row r="1935" spans="1:20" s="1451" customFormat="1" x14ac:dyDescent="0.25">
      <c r="A1935" s="926" t="s">
        <v>1623</v>
      </c>
      <c r="B1935" s="897" t="str">
        <f ca="1">_xlfn.CONCAT(IFERROR(SUBSTITUTE(ADDRESS(1,MATCH(A1935,INDIRECT("'"&amp;E1935&amp;"'"&amp;"!A" &amp; $O$1016 + 5 &amp; ":Z" &amp; $O$1016 + 5),0),4),1,""),""),$O$1016 + 5)</f>
        <v>T342</v>
      </c>
      <c r="C1935" s="897" t="str">
        <f ca="1">_xlfn.CONCAT(IFERROR(SUBSTITUTE(ADDRESS(1,MATCH(A1935,INDIRECT("'"&amp;E1935&amp;"'"&amp;"!A" &amp; $O$1016 + 5 &amp; ":Z" &amp; $O$1016 + 5),0),4),1,""),""),$O$1016 + 6)</f>
        <v>T343</v>
      </c>
      <c r="D1935" s="897" t="s">
        <v>1367</v>
      </c>
      <c r="E1935" s="897" t="s">
        <v>1535</v>
      </c>
      <c r="F1935" s="1453" t="s">
        <v>1623</v>
      </c>
      <c r="G1935" s="1453" t="str">
        <f t="shared" ref="G1935:G1944" si="347">IF(T1935&lt;&gt;"","AP","")</f>
        <v/>
      </c>
      <c r="H1935" s="1453" t="s">
        <v>1926</v>
      </c>
      <c r="I1935" s="857" t="str">
        <f t="shared" si="345"/>
        <v/>
      </c>
      <c r="J1935" s="1453"/>
      <c r="K1935" s="1453" t="str">
        <f t="shared" si="346"/>
        <v/>
      </c>
      <c r="L1935" s="897"/>
      <c r="M1935" s="1454"/>
      <c r="N1935" s="1453"/>
      <c r="R1935" s="1453" t="s">
        <v>481</v>
      </c>
      <c r="T1935" s="1453" t="str">
        <f>IF(Q$1016="Yes",24,"")</f>
        <v/>
      </c>
    </row>
    <row r="1936" spans="1:20" s="1451" customFormat="1" x14ac:dyDescent="0.25">
      <c r="A1936" s="1102" t="s">
        <v>1623</v>
      </c>
      <c r="B1936" s="897" t="str">
        <f ca="1">_xlfn.CONCAT(IFERROR(SUBSTITUTE(ADDRESS(1,MATCH(A1936,INDIRECT("'"&amp;E1936&amp;"'"&amp;"!A" &amp; $O$1027 + 5 &amp; ":Z" &amp; $O$1027 + 5),0),4),1,""),""),$O$1027+ 5)</f>
        <v>T356</v>
      </c>
      <c r="C1936" s="897" t="str">
        <f ca="1">_xlfn.CONCAT(IFERROR(SUBSTITUTE(ADDRESS(1,MATCH(A1936,INDIRECT("'"&amp;E1936&amp;"'"&amp;"!A" &amp; $O$1027 + 5 &amp; ":Z" &amp; $O$1027 + 5),0),4),1,""),""),$O$1027+ 6)</f>
        <v>T357</v>
      </c>
      <c r="D1936" s="897" t="s">
        <v>1367</v>
      </c>
      <c r="E1936" s="897" t="s">
        <v>1535</v>
      </c>
      <c r="F1936" s="1453" t="s">
        <v>1623</v>
      </c>
      <c r="G1936" s="1453" t="str">
        <f t="shared" si="347"/>
        <v/>
      </c>
      <c r="H1936" s="1453" t="s">
        <v>1926</v>
      </c>
      <c r="I1936" s="857" t="str">
        <f t="shared" si="345"/>
        <v/>
      </c>
      <c r="J1936" s="1453"/>
      <c r="K1936" s="1453" t="str">
        <f t="shared" si="346"/>
        <v/>
      </c>
      <c r="L1936" s="897"/>
      <c r="M1936" s="1454"/>
      <c r="N1936" s="1453"/>
      <c r="R1936" s="1453" t="s">
        <v>481</v>
      </c>
      <c r="T1936" s="1453" t="str">
        <f>IF(Q$1027="Yes",25,"")</f>
        <v/>
      </c>
    </row>
    <row r="1937" spans="1:20" s="1451" customFormat="1" x14ac:dyDescent="0.25">
      <c r="A1937" s="926" t="s">
        <v>1623</v>
      </c>
      <c r="B1937" s="897" t="str">
        <f ca="1">_xlfn.CONCAT(IFERROR(SUBSTITUTE(ADDRESS(1,MATCH(A1937,INDIRECT("'"&amp;E1937&amp;"'"&amp;"!A" &amp; $O$1052 + 5 &amp; ":Z" &amp; $O$1052 + 5),0),4),1,""),""),$O$1052+ 5)</f>
        <v>T384</v>
      </c>
      <c r="C1937" s="897" t="str">
        <f ca="1">_xlfn.CONCAT(IFERROR(SUBSTITUTE(ADDRESS(1,MATCH(A1937,INDIRECT("'"&amp;E1937&amp;"'"&amp;"!A" &amp; $O$1052 + 5 &amp; ":Z" &amp; $O$1052 + 5),0),4),1,""),""),$O$1052+ 6)</f>
        <v>T385</v>
      </c>
      <c r="D1937" s="897" t="s">
        <v>1367</v>
      </c>
      <c r="E1937" s="897" t="s">
        <v>1535</v>
      </c>
      <c r="F1937" s="1453" t="s">
        <v>1623</v>
      </c>
      <c r="G1937" s="1453" t="str">
        <f t="shared" si="347"/>
        <v/>
      </c>
      <c r="H1937" s="1453" t="s">
        <v>1926</v>
      </c>
      <c r="I1937" s="857" t="str">
        <f t="shared" si="345"/>
        <v/>
      </c>
      <c r="J1937" s="1453"/>
      <c r="K1937" s="1453" t="str">
        <f t="shared" si="346"/>
        <v/>
      </c>
      <c r="L1937" s="897"/>
      <c r="M1937" s="1454"/>
      <c r="N1937" s="1453"/>
      <c r="R1937" s="1453" t="s">
        <v>1719</v>
      </c>
      <c r="T1937" s="1453" t="str">
        <f>IF(Q$1052="Yes",27,"")</f>
        <v/>
      </c>
    </row>
    <row r="1938" spans="1:20" s="1451" customFormat="1" x14ac:dyDescent="0.25">
      <c r="A1938" s="1102" t="s">
        <v>1623</v>
      </c>
      <c r="B1938" s="897" t="str">
        <f ca="1">_xlfn.CONCAT(IFERROR(SUBSTITUTE(ADDRESS(1,MATCH(A1938,INDIRECT("'"&amp;E1938&amp;"'"&amp;"!A" &amp; $O$1069 + 5 &amp; ":Z" &amp; $O$1069 + 5),0),4),1,""),""),$O$1069+ 5)</f>
        <v>T398</v>
      </c>
      <c r="C1938" s="897" t="str">
        <f ca="1">_xlfn.CONCAT(IFERROR(SUBSTITUTE(ADDRESS(1,MATCH(A1938,INDIRECT("'"&amp;E1938&amp;"'"&amp;"!A" &amp; $O$1069 + 5 &amp; ":Z" &amp; $O$1069 + 5),0),4),1,""),""),$O$1069+ 6)</f>
        <v>T399</v>
      </c>
      <c r="D1938" s="897" t="s">
        <v>1367</v>
      </c>
      <c r="E1938" s="897" t="s">
        <v>1535</v>
      </c>
      <c r="F1938" s="1453" t="s">
        <v>1623</v>
      </c>
      <c r="G1938" s="1453" t="str">
        <f t="shared" si="347"/>
        <v/>
      </c>
      <c r="H1938" s="1453" t="s">
        <v>1926</v>
      </c>
      <c r="I1938" s="857" t="str">
        <f t="shared" si="345"/>
        <v/>
      </c>
      <c r="J1938" s="1453"/>
      <c r="K1938" s="1453" t="str">
        <f t="shared" si="346"/>
        <v/>
      </c>
      <c r="L1938" s="897"/>
      <c r="M1938" s="1454"/>
      <c r="N1938" s="1453"/>
      <c r="R1938" s="1453" t="s">
        <v>1719</v>
      </c>
      <c r="T1938" s="1453" t="str">
        <f>IF(Q$1069="Yes",28,"")</f>
        <v/>
      </c>
    </row>
    <row r="1939" spans="1:20" s="1451" customFormat="1" x14ac:dyDescent="0.25">
      <c r="A1939" s="926" t="s">
        <v>1623</v>
      </c>
      <c r="B1939" s="897" t="str">
        <f ca="1">_xlfn.CONCAT(IFERROR(SUBSTITUTE(ADDRESS(1,MATCH(A1939,INDIRECT("'"&amp;E1939&amp;"'"&amp;"!A" &amp; $O$1085 + 5 &amp; ":Z" &amp; $O$1085 + 5),0),4),1,""),""),$O$1085+ 5)</f>
        <v>T412</v>
      </c>
      <c r="C1939" s="897" t="str">
        <f ca="1">_xlfn.CONCAT(IFERROR(SUBSTITUTE(ADDRESS(1,MATCH(A1939,INDIRECT("'"&amp;E1939&amp;"'"&amp;"!A" &amp; $O$1085 + 5 &amp; ":Z" &amp; $O$1085 + 5),0),4),1,""),""),$O$1085+ 6)</f>
        <v>T413</v>
      </c>
      <c r="D1939" s="897" t="s">
        <v>1367</v>
      </c>
      <c r="E1939" s="897" t="s">
        <v>1535</v>
      </c>
      <c r="F1939" s="1453" t="s">
        <v>1623</v>
      </c>
      <c r="G1939" s="1453" t="str">
        <f t="shared" si="347"/>
        <v/>
      </c>
      <c r="H1939" s="1453" t="s">
        <v>1926</v>
      </c>
      <c r="I1939" s="857" t="str">
        <f t="shared" si="345"/>
        <v/>
      </c>
      <c r="J1939" s="1453"/>
      <c r="K1939" s="1453" t="str">
        <f t="shared" si="346"/>
        <v/>
      </c>
      <c r="L1939" s="897"/>
      <c r="M1939" s="1454"/>
      <c r="N1939" s="1453"/>
      <c r="R1939" s="1453" t="s">
        <v>1105</v>
      </c>
      <c r="T1939" s="1453" t="str">
        <f>IF(Q$1085="Yes",29,"")</f>
        <v/>
      </c>
    </row>
    <row r="1940" spans="1:20" s="1451" customFormat="1" x14ac:dyDescent="0.25">
      <c r="A1940" s="1102" t="s">
        <v>1623</v>
      </c>
      <c r="B1940" s="897" t="str">
        <f ca="1">_xlfn.CONCAT(IFERROR(SUBSTITUTE(ADDRESS(1,MATCH(A1940,INDIRECT("'"&amp;E1940&amp;"'"&amp;"!A" &amp; $O$1095 + 5 &amp; ":Z" &amp; $O$1095 + 5 ),0),4),1,""),""),$O$1095+ 5)</f>
        <v>T426</v>
      </c>
      <c r="C1940" s="897" t="str">
        <f ca="1">_xlfn.CONCAT(IFERROR(SUBSTITUTE(ADDRESS(1,MATCH(A1940,INDIRECT("'"&amp;E1940&amp;"'"&amp;"!A" &amp; $O$1095 + 5 &amp; ":Z" &amp; $O$1095 + 5 ),0),4),1,""),""),$O$1095+ 6)</f>
        <v>T427</v>
      </c>
      <c r="D1940" s="897" t="s">
        <v>1367</v>
      </c>
      <c r="E1940" s="897" t="s">
        <v>1535</v>
      </c>
      <c r="F1940" s="1453" t="s">
        <v>1623</v>
      </c>
      <c r="G1940" s="1453" t="str">
        <f t="shared" si="347"/>
        <v/>
      </c>
      <c r="H1940" s="1453" t="s">
        <v>1926</v>
      </c>
      <c r="I1940" s="857" t="str">
        <f t="shared" si="345"/>
        <v/>
      </c>
      <c r="J1940" s="1453"/>
      <c r="K1940" s="1453" t="str">
        <f t="shared" si="346"/>
        <v/>
      </c>
      <c r="L1940" s="897"/>
      <c r="M1940" s="1454"/>
      <c r="N1940" s="1453"/>
      <c r="R1940" s="1453" t="s">
        <v>1105</v>
      </c>
      <c r="T1940" s="1453" t="str">
        <f>IF(Q$1095="Yes",30,"")</f>
        <v/>
      </c>
    </row>
    <row r="1941" spans="1:20" s="1451" customFormat="1" x14ac:dyDescent="0.25">
      <c r="A1941" s="926" t="s">
        <v>1623</v>
      </c>
      <c r="B1941" s="897" t="str">
        <f ca="1">_xlfn.CONCAT(IFERROR(SUBSTITUTE(ADDRESS(1,MATCH(A1941,INDIRECT("'"&amp;E1941&amp;"'"&amp;"!A" &amp; $O$1105 + 5 &amp; ":Z" &amp; $O$1105 + 5),0),4),1,""),""),$O$1105+ 5)</f>
        <v>T440</v>
      </c>
      <c r="C1941" s="897" t="str">
        <f ca="1">_xlfn.CONCAT(IFERROR(SUBSTITUTE(ADDRESS(1,MATCH(A1941,INDIRECT("'"&amp;E1941&amp;"'"&amp;"!A" &amp; $O$1105 + 5 &amp; ":Z" &amp; $O$1105 + 5),0),4),1,""),""),$O$1105+ 6)</f>
        <v>T441</v>
      </c>
      <c r="D1941" s="897" t="s">
        <v>1367</v>
      </c>
      <c r="E1941" s="897" t="s">
        <v>1535</v>
      </c>
      <c r="F1941" s="1453" t="s">
        <v>1623</v>
      </c>
      <c r="G1941" s="1453" t="str">
        <f t="shared" si="347"/>
        <v/>
      </c>
      <c r="H1941" s="1453" t="s">
        <v>1926</v>
      </c>
      <c r="I1941" s="857" t="str">
        <f t="shared" si="345"/>
        <v/>
      </c>
      <c r="J1941" s="1453"/>
      <c r="K1941" s="1453" t="str">
        <f t="shared" si="346"/>
        <v/>
      </c>
      <c r="L1941" s="897"/>
      <c r="M1941" s="1454"/>
      <c r="N1941" s="1453"/>
      <c r="R1941" s="1453" t="s">
        <v>1105</v>
      </c>
      <c r="T1941" s="1453" t="str">
        <f>IF(Q$1105="Yes",31,"")</f>
        <v/>
      </c>
    </row>
    <row r="1942" spans="1:20" s="1451" customFormat="1" x14ac:dyDescent="0.25">
      <c r="A1942" s="1102" t="s">
        <v>1623</v>
      </c>
      <c r="B1942" s="897" t="str">
        <f ca="1">_xlfn.CONCAT(IFERROR(SUBSTITUTE(ADDRESS(1,MATCH(A1942,INDIRECT("'"&amp;E1942&amp;"'"&amp;"!A" &amp; $O$1134 + 5 &amp; ":Z" &amp; $O$1134 + 5),0),4),1,""),""),$O$1134+ 5)</f>
        <v>T454</v>
      </c>
      <c r="C1942" s="897" t="str">
        <f ca="1">_xlfn.CONCAT(IFERROR(SUBSTITUTE(ADDRESS(1,MATCH(A1942,INDIRECT("'"&amp;E1942&amp;"'"&amp;"!A" &amp; $O$1134 + 5 &amp; ":Z" &amp; $O$1134 + 5),0),4),1,""),""),$O$1134+ 6)</f>
        <v>T455</v>
      </c>
      <c r="D1942" s="897" t="s">
        <v>1367</v>
      </c>
      <c r="E1942" s="897" t="s">
        <v>1535</v>
      </c>
      <c r="F1942" s="1453" t="s">
        <v>1623</v>
      </c>
      <c r="G1942" s="1453" t="str">
        <f t="shared" si="347"/>
        <v/>
      </c>
      <c r="H1942" s="1453" t="s">
        <v>1926</v>
      </c>
      <c r="I1942" s="857" t="str">
        <f t="shared" si="345"/>
        <v/>
      </c>
      <c r="J1942" s="1453"/>
      <c r="K1942" s="1453" t="str">
        <f t="shared" si="346"/>
        <v/>
      </c>
      <c r="L1942" s="897"/>
      <c r="M1942" s="1454"/>
      <c r="N1942" s="1453"/>
      <c r="R1942" s="1453" t="s">
        <v>1105</v>
      </c>
      <c r="T1942" s="1453" t="str">
        <f>IF(Q$1134="Yes",32,"")</f>
        <v/>
      </c>
    </row>
    <row r="1943" spans="1:20" s="1451" customFormat="1" x14ac:dyDescent="0.25">
      <c r="A1943" s="926" t="s">
        <v>1623</v>
      </c>
      <c r="B1943" s="897" t="str">
        <f ca="1">_xlfn.CONCAT(IFERROR(SUBSTITUTE(ADDRESS(1,MATCH(A1943,INDIRECT("'"&amp;E1943&amp;"'"&amp;"!A" &amp; $O$1163 + 5 &amp; ":Z" &amp; $O$1163 + 5),0),4),1,""),""),$O$1163+ 5)</f>
        <v>T468</v>
      </c>
      <c r="C1943" s="897" t="str">
        <f ca="1">_xlfn.CONCAT(IFERROR(SUBSTITUTE(ADDRESS(1,MATCH(A1943,INDIRECT("'"&amp;E1943&amp;"'"&amp;"!A" &amp; $O$1163 + 5 &amp; ":Z" &amp; $O$1163 + 5),0),4),1,""),""),$O$1163+ 6)</f>
        <v>T469</v>
      </c>
      <c r="D1943" s="897" t="s">
        <v>1367</v>
      </c>
      <c r="E1943" s="897" t="s">
        <v>1535</v>
      </c>
      <c r="F1943" s="1453" t="s">
        <v>1623</v>
      </c>
      <c r="G1943" s="1453" t="str">
        <f t="shared" si="347"/>
        <v/>
      </c>
      <c r="H1943" s="1453" t="s">
        <v>1926</v>
      </c>
      <c r="I1943" s="857" t="str">
        <f t="shared" si="345"/>
        <v/>
      </c>
      <c r="J1943" s="1453"/>
      <c r="K1943" s="1453" t="str">
        <f t="shared" si="346"/>
        <v/>
      </c>
      <c r="L1943" s="897"/>
      <c r="M1943" s="1454"/>
      <c r="N1943" s="1453"/>
      <c r="R1943" s="1453" t="s">
        <v>1105</v>
      </c>
      <c r="T1943" s="1453" t="str">
        <f>IF(Q$1163="Yes",33,"")</f>
        <v/>
      </c>
    </row>
    <row r="1944" spans="1:20" s="1451" customFormat="1" x14ac:dyDescent="0.25">
      <c r="A1944" s="1102" t="s">
        <v>1623</v>
      </c>
      <c r="B1944" s="897" t="str">
        <f ca="1">_xlfn.CONCAT(IFERROR(SUBSTITUTE(ADDRESS(1,MATCH(A1944,INDIRECT("'"&amp;E1944&amp;"'"&amp;"!A" &amp; $O$1188 + 5 &amp; ":Z" &amp; $O$1188 + 5),0),4),1,""),""),$O$1188+ 5)</f>
        <v>T482</v>
      </c>
      <c r="C1944" s="897" t="str">
        <f ca="1">_xlfn.CONCAT(IFERROR(SUBSTITUTE(ADDRESS(1,MATCH(A1944,INDIRECT("'"&amp;E1944&amp;"'"&amp;"!A" &amp; $O$1188 + 5 &amp; ":Z" &amp; $O$1188 + 5),0),4),1,""),""),$O$1188+ 6)</f>
        <v>T483</v>
      </c>
      <c r="D1944" s="897" t="s">
        <v>1367</v>
      </c>
      <c r="E1944" s="897" t="s">
        <v>1535</v>
      </c>
      <c r="F1944" s="1453" t="s">
        <v>1623</v>
      </c>
      <c r="G1944" s="1453" t="str">
        <f t="shared" si="347"/>
        <v/>
      </c>
      <c r="H1944" s="1453" t="s">
        <v>1926</v>
      </c>
      <c r="I1944" s="857" t="str">
        <f t="shared" si="345"/>
        <v/>
      </c>
      <c r="J1944" s="1453"/>
      <c r="K1944" s="1453" t="str">
        <f t="shared" si="346"/>
        <v/>
      </c>
      <c r="L1944" s="897"/>
      <c r="M1944" s="1454"/>
      <c r="N1944" s="1453"/>
      <c r="R1944" s="1453" t="s">
        <v>1105</v>
      </c>
      <c r="T1944" s="1453" t="str">
        <f>IF(Q$1188="Yes",34,"")</f>
        <v/>
      </c>
    </row>
    <row r="1945" spans="1:20" s="1451" customFormat="1" x14ac:dyDescent="0.25">
      <c r="A1945" s="925" t="s">
        <v>1528</v>
      </c>
      <c r="B1945" s="897" t="str">
        <f ca="1">_xlfn.CONCAT(IFERROR(SUBSTITUTE(ADDRESS(1,MATCH(A1945,INDIRECT("'"&amp;E1945&amp;"'"&amp;"!A" &amp; $O$570+8 &amp; ":Z" &amp; $O$570+8),0),4),1,""),""),$O$570+8)</f>
        <v>R39</v>
      </c>
      <c r="C1945" s="897" t="str">
        <f ca="1">_xlfn.CONCAT(IFERROR(SUBSTITUTE(ADDRESS(1,MATCH(A1945,INDIRECT("'"&amp;E1945&amp;"'"&amp;"!A" &amp; $O$570+8 &amp; ":Z" &amp; $O$570+8),0),4),1,""),""),$O$570+9)</f>
        <v>R40</v>
      </c>
      <c r="D1945" s="897" t="s">
        <v>1367</v>
      </c>
      <c r="E1945" s="897" t="s">
        <v>1535</v>
      </c>
      <c r="F1945" s="1453" t="s">
        <v>1528</v>
      </c>
      <c r="G1945" s="1453" t="str">
        <f>IF(T1945&lt;&gt;"","AR","")</f>
        <v/>
      </c>
      <c r="H1945" s="1453" t="s">
        <v>1926</v>
      </c>
      <c r="I1945" s="857"/>
      <c r="J1945" s="1453"/>
      <c r="K1945" s="1453"/>
      <c r="L1945" s="897"/>
      <c r="M1945" s="1454"/>
      <c r="N1945" s="1453"/>
      <c r="R1945" s="1453" t="s">
        <v>855</v>
      </c>
      <c r="T1945" s="1453" t="str">
        <f>IF(Q$570="Yes",3,"")</f>
        <v/>
      </c>
    </row>
    <row r="1946" spans="1:20" s="1451" customFormat="1" x14ac:dyDescent="0.25">
      <c r="A1946" s="928" t="s">
        <v>1528</v>
      </c>
      <c r="B1946" s="897" t="str">
        <f ca="1">_xlfn.CONCAT(IFERROR(SUBSTITUTE(ADDRESS(1,MATCH(A1946,INDIRECT("'"&amp;E1946&amp;"'"&amp;"!A" &amp; $O$589+8 &amp; ":Z" &amp; $O$589+8),0),4),1,""),""),$O$589+8)</f>
        <v>R53</v>
      </c>
      <c r="C1946" s="897" t="str">
        <f ca="1">_xlfn.CONCAT(IFERROR(SUBSTITUTE(ADDRESS(1,MATCH(A1946,INDIRECT("'"&amp;E1946&amp;"'"&amp;"!A" &amp; $O$589+8 &amp; ":Z" &amp; $O$589+8),0),4),1,""),""),$O$589+9)</f>
        <v>R54</v>
      </c>
      <c r="D1946" s="897" t="s">
        <v>1367</v>
      </c>
      <c r="E1946" s="897" t="s">
        <v>1535</v>
      </c>
      <c r="F1946" s="1453" t="s">
        <v>1528</v>
      </c>
      <c r="G1946" s="1453" t="str">
        <f t="shared" ref="G1946:G1953" si="348">IF(T1946&lt;&gt;"","AR","")</f>
        <v/>
      </c>
      <c r="H1946" s="1453" t="s">
        <v>1926</v>
      </c>
      <c r="I1946" s="857"/>
      <c r="J1946" s="1453"/>
      <c r="K1946" s="1453"/>
      <c r="L1946" s="897"/>
      <c r="M1946" s="1454"/>
      <c r="N1946" s="1453"/>
      <c r="R1946" s="1453" t="s">
        <v>855</v>
      </c>
      <c r="T1946" s="1453" t="str">
        <f>IF(Q$589="Yes",4,"")</f>
        <v/>
      </c>
    </row>
    <row r="1947" spans="1:20" s="1451" customFormat="1" x14ac:dyDescent="0.25">
      <c r="A1947" s="925" t="s">
        <v>1528</v>
      </c>
      <c r="B1947" s="897" t="str">
        <f ca="1">_xlfn.CONCAT(IFERROR(SUBSTITUTE(ADDRESS(1,MATCH(A1947,INDIRECT("'"&amp;E1947&amp;"'"&amp;"!A" &amp; $O$608 + 12 &amp; ":Z" &amp; $O$608+12),0),4),1,""),""),$O$608+12)</f>
        <v>R71</v>
      </c>
      <c r="C1947" s="897" t="str">
        <f ca="1">_xlfn.CONCAT(IFERROR(SUBSTITUTE(ADDRESS(1,MATCH(A1947,INDIRECT("'"&amp;E1947&amp;"'"&amp;"!A" &amp; $O$608 + 12 &amp; ":Z" &amp; $O$608+12),0),4),1,""),""),$O$608+13)</f>
        <v>R72</v>
      </c>
      <c r="D1947" s="897" t="s">
        <v>1367</v>
      </c>
      <c r="E1947" s="897" t="s">
        <v>1535</v>
      </c>
      <c r="F1947" s="1453" t="s">
        <v>1528</v>
      </c>
      <c r="G1947" s="1453" t="str">
        <f t="shared" si="348"/>
        <v/>
      </c>
      <c r="H1947" s="1453" t="s">
        <v>1926</v>
      </c>
      <c r="I1947" s="857"/>
      <c r="J1947" s="1453"/>
      <c r="K1947" s="1453"/>
      <c r="L1947" s="897"/>
      <c r="M1947" s="1454"/>
      <c r="N1947" s="1453"/>
      <c r="R1947" s="1425" t="s">
        <v>855</v>
      </c>
      <c r="T1947" s="1453" t="str">
        <f t="shared" ref="T1947" si="349">IF(Q$608="Yes",5,"")</f>
        <v/>
      </c>
    </row>
    <row r="1948" spans="1:20" s="1451" customFormat="1" x14ac:dyDescent="0.25">
      <c r="A1948" s="928" t="s">
        <v>1528</v>
      </c>
      <c r="B1948" s="897" t="str">
        <f ca="1">_xlfn.CONCAT(IFERROR(SUBSTITUTE(ADDRESS(1,MATCH(A1948,INDIRECT("'"&amp;E1948&amp;"'"&amp;"!A" &amp; $O$639 + 12 &amp; ":Z" &amp; $O$639 + 12),0),4),1,""),""),$O$639 + 12)</f>
        <v>R87</v>
      </c>
      <c r="C1948" s="897" t="str">
        <f ca="1">_xlfn.CONCAT(IFERROR(SUBSTITUTE(ADDRESS(1,MATCH(A1948,INDIRECT("'"&amp;E1948&amp;"'"&amp;"!A" &amp; $O$639 + 12 &amp; ":Z" &amp; $O$639 + 12),0),4),1,""),""),$O$639 + 13)</f>
        <v>R88</v>
      </c>
      <c r="D1948" s="897" t="s">
        <v>1367</v>
      </c>
      <c r="E1948" s="897" t="s">
        <v>1535</v>
      </c>
      <c r="F1948" s="1453" t="s">
        <v>1528</v>
      </c>
      <c r="G1948" s="1453" t="str">
        <f t="shared" si="348"/>
        <v/>
      </c>
      <c r="H1948" s="1453" t="s">
        <v>1926</v>
      </c>
      <c r="I1948" s="857"/>
      <c r="J1948" s="1453"/>
      <c r="K1948" s="1453"/>
      <c r="L1948" s="897"/>
      <c r="M1948" s="1454"/>
      <c r="N1948" s="1453"/>
      <c r="R1948" s="1425" t="s">
        <v>855</v>
      </c>
      <c r="T1948" s="1453" t="str">
        <f>IF(Q$639="Yes",6,"")</f>
        <v/>
      </c>
    </row>
    <row r="1949" spans="1:20" s="1451" customFormat="1" x14ac:dyDescent="0.25">
      <c r="A1949" s="925" t="s">
        <v>1528</v>
      </c>
      <c r="B1949" s="897" t="str">
        <f ca="1">_xlfn.CONCAT(IFERROR(SUBSTITUTE(ADDRESS(1,MATCH(A1949,INDIRECT("'"&amp;E1949&amp;"'"&amp;"!A" &amp; $O$892 + 8 &amp; ":Z" &amp; $O$892+ 8),0),4),1,""),""),$O$892 + 8)</f>
        <v>R247</v>
      </c>
      <c r="C1949" s="897" t="str">
        <f ca="1">_xlfn.CONCAT(IFERROR(SUBSTITUTE(ADDRESS(1,MATCH(A1949,INDIRECT("'"&amp;E1949&amp;"'"&amp;"!A" &amp; $O$892 + 8 &amp; ":Z" &amp; $O$892+ 8),0),4),1,""),""),$O$892 + 9)</f>
        <v>R248</v>
      </c>
      <c r="D1949" s="897" t="s">
        <v>1367</v>
      </c>
      <c r="E1949" s="897" t="s">
        <v>1535</v>
      </c>
      <c r="F1949" s="1453" t="s">
        <v>1528</v>
      </c>
      <c r="G1949" s="1453" t="str">
        <f t="shared" si="348"/>
        <v/>
      </c>
      <c r="H1949" s="1453" t="s">
        <v>1926</v>
      </c>
      <c r="I1949" s="857"/>
      <c r="J1949" s="1453"/>
      <c r="K1949" s="1453"/>
      <c r="L1949" s="897"/>
      <c r="M1949" s="1454"/>
      <c r="N1949" s="1453"/>
      <c r="R1949" s="1453" t="s">
        <v>395</v>
      </c>
      <c r="T1949" s="1453" t="str">
        <f t="shared" ref="T1949" si="350">IF(Q$892="Yes",17,"")</f>
        <v/>
      </c>
    </row>
    <row r="1950" spans="1:20" s="1451" customFormat="1" x14ac:dyDescent="0.25">
      <c r="A1950" s="928" t="s">
        <v>1528</v>
      </c>
      <c r="B1950" s="897" t="str">
        <f ca="1">_xlfn.CONCAT(IFERROR(SUBSTITUTE(ADDRESS(1,MATCH(A1950,INDIRECT("'"&amp;E1950&amp;"'"&amp;"!A" &amp; $O$911 + 8 &amp; ":Z" &amp; $O$911 + 8),0),4),1,""),""),$O$911 + 8)</f>
        <v>R261</v>
      </c>
      <c r="C1950" s="897" t="str">
        <f ca="1">_xlfn.CONCAT(IFERROR(SUBSTITUTE(ADDRESS(1,MATCH(A1950,INDIRECT("'"&amp;E1950&amp;"'"&amp;"!A" &amp; $O$911 + 8 &amp; ":Z" &amp; $O$911 + 8),0),4),1,""),""),$O$911 + 9)</f>
        <v>R262</v>
      </c>
      <c r="D1950" s="897" t="s">
        <v>1367</v>
      </c>
      <c r="E1950" s="897" t="s">
        <v>1535</v>
      </c>
      <c r="F1950" s="1453" t="s">
        <v>1528</v>
      </c>
      <c r="G1950" s="1453" t="str">
        <f t="shared" si="348"/>
        <v/>
      </c>
      <c r="H1950" s="1453" t="s">
        <v>1926</v>
      </c>
      <c r="I1950" s="857"/>
      <c r="J1950" s="1453"/>
      <c r="K1950" s="1453"/>
      <c r="L1950" s="897"/>
      <c r="M1950" s="1454"/>
      <c r="N1950" s="1453"/>
      <c r="R1950" s="1453" t="s">
        <v>395</v>
      </c>
      <c r="T1950" s="1453" t="str">
        <f>IF(Q$911="Yes",18,"")</f>
        <v/>
      </c>
    </row>
    <row r="1951" spans="1:20" s="1451" customFormat="1" x14ac:dyDescent="0.25">
      <c r="A1951" s="925" t="s">
        <v>1528</v>
      </c>
      <c r="B1951" s="897" t="str">
        <f ca="1">_xlfn.CONCAT(IFERROR(SUBSTITUTE(ADDRESS(1,MATCH(A1951,INDIRECT("'"&amp;E1951&amp;"'"&amp;"!A" &amp; $O$930 + 8 &amp; ":Z" &amp; $O$930 + 8),0),4),1,""),""),$O$930 + 8)</f>
        <v>R275</v>
      </c>
      <c r="C1951" s="897" t="str">
        <f ca="1">_xlfn.CONCAT(IFERROR(SUBSTITUTE(ADDRESS(1,MATCH(A1951,INDIRECT("'"&amp;E1951&amp;"'"&amp;"!A" &amp; $O$930 + 8 &amp; ":Z" &amp; $O$930 + 8),0),4),1,""),""),$O$930 + 9)</f>
        <v>R276</v>
      </c>
      <c r="D1951" s="897" t="s">
        <v>1367</v>
      </c>
      <c r="E1951" s="897" t="s">
        <v>1535</v>
      </c>
      <c r="F1951" s="1453" t="s">
        <v>1528</v>
      </c>
      <c r="G1951" s="1453" t="str">
        <f t="shared" si="348"/>
        <v/>
      </c>
      <c r="H1951" s="1453" t="s">
        <v>1926</v>
      </c>
      <c r="I1951" s="857"/>
      <c r="J1951" s="1453"/>
      <c r="K1951" s="1453"/>
      <c r="L1951" s="897"/>
      <c r="M1951" s="1454"/>
      <c r="N1951" s="1453"/>
      <c r="R1951" s="1453" t="s">
        <v>395</v>
      </c>
      <c r="T1951" s="1453" t="str">
        <f>IF(Q$930="Yes",19,"")</f>
        <v/>
      </c>
    </row>
    <row r="1952" spans="1:20" s="1451" customFormat="1" x14ac:dyDescent="0.25">
      <c r="A1952" s="928" t="s">
        <v>1528</v>
      </c>
      <c r="B1952" s="897" t="str">
        <f ca="1">_xlfn.CONCAT(IFERROR(SUBSTITUTE(ADDRESS(1,MATCH(A1952,INDIRECT("'"&amp;E1952&amp;"'"&amp;"!A" &amp; $O$949 + 8 &amp; ":Z" &amp; $O$949 + 8),0),4),1,""),""),$O$949 + 8)</f>
        <v>R289</v>
      </c>
      <c r="C1952" s="897" t="str">
        <f ca="1">_xlfn.CONCAT(IFERROR(SUBSTITUTE(ADDRESS(1,MATCH(A1952,INDIRECT("'"&amp;E1952&amp;"'"&amp;"!A" &amp; $O$949 + 8 &amp; ":Z" &amp; $O$949 + 8),0),4),1,""),""),$O$949 + 9)</f>
        <v>R290</v>
      </c>
      <c r="D1952" s="897" t="s">
        <v>1367</v>
      </c>
      <c r="E1952" s="897" t="s">
        <v>1535</v>
      </c>
      <c r="F1952" s="1453" t="s">
        <v>1528</v>
      </c>
      <c r="G1952" s="1453" t="str">
        <f t="shared" si="348"/>
        <v/>
      </c>
      <c r="H1952" s="1453" t="s">
        <v>1926</v>
      </c>
      <c r="I1952" s="857"/>
      <c r="J1952" s="1453"/>
      <c r="K1952" s="1453"/>
      <c r="L1952" s="897"/>
      <c r="M1952" s="1454"/>
      <c r="N1952" s="1453"/>
      <c r="R1952" s="1453" t="s">
        <v>395</v>
      </c>
      <c r="T1952" s="1453" t="str">
        <f>IF(Q$949="Yes",20,"")</f>
        <v/>
      </c>
    </row>
    <row r="1953" spans="1:20" s="1451" customFormat="1" x14ac:dyDescent="0.25">
      <c r="A1953" s="925" t="s">
        <v>1528</v>
      </c>
      <c r="B1953" s="897" t="str">
        <f ca="1">_xlfn.CONCAT(IFERROR(SUBSTITUTE(ADDRESS(1,MATCH(A1953,INDIRECT("'"&amp;E1953&amp;"'"&amp;"!A" &amp; $O$968 + 8 &amp; ":Z" &amp; $O$968 + 8),0),4),1,""),""),$O$968 + 8)</f>
        <v>R303</v>
      </c>
      <c r="C1953" s="897" t="str">
        <f ca="1">_xlfn.CONCAT(IFERROR(SUBSTITUTE(ADDRESS(1,MATCH(A1953,INDIRECT("'"&amp;E1953&amp;"'"&amp;"!A" &amp; $O$968 + 8 &amp; ":Z" &amp; $O$968 + 8),0),4),1,""),""),$O$968 + 9)</f>
        <v>R304</v>
      </c>
      <c r="D1953" s="897" t="s">
        <v>1367</v>
      </c>
      <c r="E1953" s="897" t="s">
        <v>1535</v>
      </c>
      <c r="F1953" s="1453" t="s">
        <v>1528</v>
      </c>
      <c r="G1953" s="1453" t="str">
        <f t="shared" si="348"/>
        <v/>
      </c>
      <c r="H1953" s="1453" t="s">
        <v>1926</v>
      </c>
      <c r="I1953" s="857"/>
      <c r="J1953" s="1453"/>
      <c r="K1953" s="1453"/>
      <c r="L1953" s="897"/>
      <c r="M1953" s="1454"/>
      <c r="N1953" s="1453"/>
      <c r="R1953" s="1453" t="s">
        <v>395</v>
      </c>
      <c r="T1953" s="1453" t="str">
        <f>IF(Q$968="Yes",21,"")</f>
        <v/>
      </c>
    </row>
    <row r="1954" spans="1:20" s="1451" customFormat="1" x14ac:dyDescent="0.25">
      <c r="A1954" s="925" t="s">
        <v>1515</v>
      </c>
      <c r="B1954" s="897" t="str">
        <f ca="1">IFERROR(_xlfn.CONCAT("C",MATCH(A1954,INDIRECT("'"&amp;E1954&amp;"'!C"&amp;$O$539&amp;":C"&amp;$O$541),0)+$O$539-1),"")</f>
        <v>C15</v>
      </c>
      <c r="C1954" s="897" t="str">
        <f ca="1">IFERROR(_xlfn.CONCAT("D",MATCH(A1954,INDIRECT("'"&amp;E1954&amp;"'!C"&amp;$O$539&amp;":C"&amp;$O$541),0)+$O$539-1),"")</f>
        <v>D15</v>
      </c>
      <c r="D1954" s="897" t="s">
        <v>1367</v>
      </c>
      <c r="E1954" s="897" t="s">
        <v>1535</v>
      </c>
      <c r="F1954" s="1453" t="s">
        <v>1515</v>
      </c>
      <c r="G1954" s="1453" t="str">
        <f>IF(T1954&lt;&gt;"","AS","")</f>
        <v/>
      </c>
      <c r="H1954" s="1453" t="s">
        <v>1926</v>
      </c>
      <c r="I1954" s="857" t="str">
        <f t="shared" ref="I1954:I1987" si="351">IF(J1954&lt;&gt;"",A1954,"")</f>
        <v/>
      </c>
      <c r="J1954" s="1453"/>
      <c r="K1954" s="1453" t="str">
        <f t="shared" ref="K1954:K1988" si="352">IF(J1954&lt;&gt;"",E1954,"")</f>
        <v/>
      </c>
      <c r="L1954" s="897"/>
      <c r="M1954" s="1454"/>
      <c r="N1954" s="1453"/>
      <c r="R1954" s="1453" t="s">
        <v>855</v>
      </c>
      <c r="T1954" s="1453" t="str">
        <f>IF(Q$540="Yes",1,"")</f>
        <v/>
      </c>
    </row>
    <row r="1955" spans="1:20" s="1451" customFormat="1" x14ac:dyDescent="0.25">
      <c r="A1955" s="928" t="s">
        <v>1515</v>
      </c>
      <c r="B1955" s="897" t="str">
        <f ca="1">IFERROR(_xlfn.CONCAT("C",MATCH(A1955,INDIRECT("'"&amp;E1955&amp;"'!C"&amp;$O$555&amp;":C"&amp;$O$557),0)+$O$555-1),"")</f>
        <v>C29</v>
      </c>
      <c r="C1955" s="897" t="str">
        <f ca="1">IFERROR(_xlfn.CONCAT("D",MATCH(A1955,INDIRECT("'"&amp;E1955&amp;"'!C"&amp;$O$555&amp;":C"&amp;$O$557),0)+$O$555-1),"")</f>
        <v>D29</v>
      </c>
      <c r="D1955" s="897" t="s">
        <v>1367</v>
      </c>
      <c r="E1955" s="897" t="s">
        <v>1535</v>
      </c>
      <c r="F1955" s="1453" t="s">
        <v>1515</v>
      </c>
      <c r="G1955" s="1453" t="str">
        <f t="shared" ref="G1955:G1987" si="353">IF(T1955&lt;&gt;"","AS","")</f>
        <v/>
      </c>
      <c r="H1955" s="1453" t="s">
        <v>1926</v>
      </c>
      <c r="I1955" s="857" t="str">
        <f t="shared" si="351"/>
        <v/>
      </c>
      <c r="J1955" s="1453"/>
      <c r="K1955" s="1453" t="str">
        <f t="shared" si="352"/>
        <v/>
      </c>
      <c r="L1955" s="897"/>
      <c r="M1955" s="1454"/>
      <c r="N1955" s="1453"/>
      <c r="R1955" s="1453" t="s">
        <v>855</v>
      </c>
      <c r="T1955" s="1453" t="str">
        <f>IF(Q$555="Yes",2,"")</f>
        <v/>
      </c>
    </row>
    <row r="1956" spans="1:20" s="1451" customFormat="1" x14ac:dyDescent="0.25">
      <c r="A1956" s="925" t="s">
        <v>1515</v>
      </c>
      <c r="B1956" s="897" t="str">
        <f ca="1">IFERROR(_xlfn.CONCAT("C",MATCH(A1956,INDIRECT("'"&amp;E1956&amp;"'!C"&amp;$O$570&amp;":C"&amp;$O$572),0)+$O$570-1),"")</f>
        <v>C43</v>
      </c>
      <c r="C1956" s="897" t="str">
        <f ca="1">IFERROR(_xlfn.CONCAT("D",MATCH(A1956,INDIRECT("'"&amp;E1956&amp;"'!C"&amp;$O$570&amp;":C"&amp;$O$572),0)+$O$570-1),"")</f>
        <v>D43</v>
      </c>
      <c r="D1956" s="897" t="s">
        <v>1367</v>
      </c>
      <c r="E1956" s="897" t="s">
        <v>1535</v>
      </c>
      <c r="F1956" s="1453" t="s">
        <v>1515</v>
      </c>
      <c r="G1956" s="1453" t="str">
        <f t="shared" si="353"/>
        <v/>
      </c>
      <c r="H1956" s="1453" t="s">
        <v>1926</v>
      </c>
      <c r="I1956" s="857" t="str">
        <f t="shared" si="351"/>
        <v/>
      </c>
      <c r="J1956" s="1453"/>
      <c r="K1956" s="1453" t="str">
        <f t="shared" si="352"/>
        <v/>
      </c>
      <c r="L1956" s="897"/>
      <c r="M1956" s="1454"/>
      <c r="N1956" s="1453"/>
      <c r="R1956" s="1453" t="s">
        <v>855</v>
      </c>
      <c r="T1956" s="1453" t="str">
        <f>IF(Q$570="Yes",3,"")</f>
        <v/>
      </c>
    </row>
    <row r="1957" spans="1:20" s="1451" customFormat="1" x14ac:dyDescent="0.25">
      <c r="A1957" s="928" t="s">
        <v>1515</v>
      </c>
      <c r="B1957" s="897" t="str">
        <f ca="1">IFERROR(_xlfn.CONCAT("C",MATCH(A1957,INDIRECT("'"&amp;E1957&amp;"'!C"&amp;$O$589&amp;":C"&amp;$O$591),0)+$O$589-1),"")</f>
        <v>C57</v>
      </c>
      <c r="C1957" s="897" t="str">
        <f ca="1">IFERROR(_xlfn.CONCAT("D",MATCH(A1957,INDIRECT("'"&amp;E1957&amp;"'!C"&amp;$O$589&amp;":C"&amp;$O$591),0)+$O$589-1),"")</f>
        <v>D57</v>
      </c>
      <c r="D1957" s="897" t="s">
        <v>1367</v>
      </c>
      <c r="E1957" s="897" t="s">
        <v>1535</v>
      </c>
      <c r="F1957" s="1453" t="s">
        <v>1515</v>
      </c>
      <c r="G1957" s="1453" t="str">
        <f t="shared" si="353"/>
        <v/>
      </c>
      <c r="H1957" s="1453" t="s">
        <v>1926</v>
      </c>
      <c r="I1957" s="857" t="str">
        <f t="shared" si="351"/>
        <v/>
      </c>
      <c r="J1957" s="1453"/>
      <c r="K1957" s="1453" t="str">
        <f t="shared" si="352"/>
        <v/>
      </c>
      <c r="L1957" s="897"/>
      <c r="M1957" s="1454"/>
      <c r="N1957" s="1453"/>
      <c r="R1957" s="1453" t="s">
        <v>855</v>
      </c>
      <c r="T1957" s="1453" t="str">
        <f>IF(Q$589="Yes",4,"")</f>
        <v/>
      </c>
    </row>
    <row r="1958" spans="1:20" s="1451" customFormat="1" x14ac:dyDescent="0.25">
      <c r="A1958" s="925" t="s">
        <v>1515</v>
      </c>
      <c r="B1958" s="897" t="str">
        <f ca="1">IFERROR(_xlfn.CONCAT("C",MATCH(A1958,INDIRECT("'"&amp;E1958&amp;"'!C"&amp;$O$608&amp;":C"&amp;$O$610),0)+$O$608-1),"")</f>
        <v>C73</v>
      </c>
      <c r="C1958" s="897" t="str">
        <f ca="1">IFERROR(_xlfn.CONCAT("D",MATCH(A1958,INDIRECT("'"&amp;E1958&amp;"'!C"&amp;$O$608&amp;":C"&amp;$O$610),0)+$O$608-1),"")</f>
        <v>D73</v>
      </c>
      <c r="D1958" s="897" t="s">
        <v>1367</v>
      </c>
      <c r="E1958" s="897" t="s">
        <v>1535</v>
      </c>
      <c r="F1958" s="1453" t="s">
        <v>1515</v>
      </c>
      <c r="G1958" s="1453" t="str">
        <f t="shared" si="353"/>
        <v/>
      </c>
      <c r="H1958" s="1453" t="s">
        <v>1926</v>
      </c>
      <c r="I1958" s="857" t="str">
        <f t="shared" si="351"/>
        <v/>
      </c>
      <c r="J1958" s="1453"/>
      <c r="K1958" s="1453" t="str">
        <f t="shared" si="352"/>
        <v/>
      </c>
      <c r="L1958" s="897"/>
      <c r="M1958" s="1454"/>
      <c r="N1958" s="1453"/>
      <c r="R1958" s="1453" t="s">
        <v>855</v>
      </c>
      <c r="T1958" s="1453" t="str">
        <f>IF(Q$608="Yes",5,"")</f>
        <v/>
      </c>
    </row>
    <row r="1959" spans="1:20" s="1451" customFormat="1" x14ac:dyDescent="0.25">
      <c r="A1959" s="928" t="s">
        <v>1515</v>
      </c>
      <c r="B1959" s="897" t="str">
        <f ca="1">IFERROR(_xlfn.CONCAT("C",MATCH(A1959,INDIRECT("'"&amp;E1959&amp;"'!C"&amp;$O$639&amp;":C"&amp;$O$641),0)+$O$639-1),"")</f>
        <v>C89</v>
      </c>
      <c r="C1959" s="897" t="str">
        <f ca="1">IFERROR(_xlfn.CONCAT("D",MATCH(A1959,INDIRECT("'"&amp;E1959&amp;"'!C"&amp;$O$639&amp;":C"&amp;$O$641),0)+$O$639-1),"")</f>
        <v>D89</v>
      </c>
      <c r="D1959" s="897" t="s">
        <v>1367</v>
      </c>
      <c r="E1959" s="897" t="s">
        <v>1535</v>
      </c>
      <c r="F1959" s="1453" t="s">
        <v>1515</v>
      </c>
      <c r="G1959" s="1453" t="str">
        <f t="shared" si="353"/>
        <v/>
      </c>
      <c r="H1959" s="1453" t="s">
        <v>1926</v>
      </c>
      <c r="I1959" s="857" t="str">
        <f t="shared" si="351"/>
        <v/>
      </c>
      <c r="J1959" s="1453"/>
      <c r="K1959" s="1453" t="str">
        <f t="shared" si="352"/>
        <v/>
      </c>
      <c r="L1959" s="897"/>
      <c r="M1959" s="1454"/>
      <c r="N1959" s="1453"/>
      <c r="R1959" s="1453" t="s">
        <v>855</v>
      </c>
      <c r="T1959" s="1453" t="str">
        <f>IF(Q$639="Yes",6,"")</f>
        <v/>
      </c>
    </row>
    <row r="1960" spans="1:20" s="1451" customFormat="1" x14ac:dyDescent="0.25">
      <c r="A1960" s="925" t="s">
        <v>1515</v>
      </c>
      <c r="B1960" s="897" t="str">
        <f ca="1">IFERROR(_xlfn.CONCAT("C",MATCH(A1960,INDIRECT("'"&amp;E1960&amp;"'!C"&amp;$O$670&amp;":C"&amp;$O$672),0)+$O$670-1),"")</f>
        <v>C103</v>
      </c>
      <c r="C1960" s="897" t="str">
        <f ca="1">IFERROR(_xlfn.CONCAT("D",MATCH(A1960,INDIRECT("'"&amp;E1960&amp;"'!C"&amp;$O$670&amp;":C"&amp;$O$672),0)+$O$670-1),"")</f>
        <v>D103</v>
      </c>
      <c r="D1960" s="897" t="s">
        <v>1367</v>
      </c>
      <c r="E1960" s="897" t="s">
        <v>1535</v>
      </c>
      <c r="F1960" s="1453" t="s">
        <v>1515</v>
      </c>
      <c r="G1960" s="1453" t="str">
        <f t="shared" si="353"/>
        <v/>
      </c>
      <c r="H1960" s="1453" t="s">
        <v>1926</v>
      </c>
      <c r="I1960" s="857" t="str">
        <f t="shared" si="351"/>
        <v/>
      </c>
      <c r="J1960" s="1453"/>
      <c r="K1960" s="1453" t="str">
        <f t="shared" si="352"/>
        <v/>
      </c>
      <c r="L1960" s="897"/>
      <c r="M1960" s="1454"/>
      <c r="N1960" s="1453"/>
      <c r="R1960" s="1453" t="s">
        <v>1544</v>
      </c>
      <c r="T1960" s="1453" t="str">
        <f>IF(Q$670="Yes",7,"")</f>
        <v/>
      </c>
    </row>
    <row r="1961" spans="1:20" s="1451" customFormat="1" x14ac:dyDescent="0.25">
      <c r="A1961" s="928" t="s">
        <v>1515</v>
      </c>
      <c r="B1961" s="897" t="str">
        <f ca="1">IFERROR(_xlfn.CONCAT("C",MATCH(A1961,INDIRECT("'"&amp;E1961&amp;"'!C"&amp;$O$688&amp;":C"&amp;$O$690),0)+$O$688-1),"")</f>
        <v>C117</v>
      </c>
      <c r="C1961" s="897" t="str">
        <f ca="1">IFERROR(_xlfn.CONCAT("D",MATCH(A1961,INDIRECT("'"&amp;E1961&amp;"'!C"&amp;$O$688&amp;":C"&amp;$O$690),0)+$O$688-1),"")</f>
        <v>D117</v>
      </c>
      <c r="D1961" s="897" t="s">
        <v>1367</v>
      </c>
      <c r="E1961" s="897" t="s">
        <v>1535</v>
      </c>
      <c r="F1961" s="1453" t="s">
        <v>1515</v>
      </c>
      <c r="G1961" s="1453" t="str">
        <f t="shared" si="353"/>
        <v/>
      </c>
      <c r="H1961" s="1453" t="s">
        <v>1926</v>
      </c>
      <c r="I1961" s="857" t="str">
        <f t="shared" si="351"/>
        <v/>
      </c>
      <c r="J1961" s="1453"/>
      <c r="K1961" s="1453" t="str">
        <f t="shared" si="352"/>
        <v/>
      </c>
      <c r="L1961" s="897"/>
      <c r="M1961" s="1454"/>
      <c r="N1961" s="1453"/>
      <c r="R1961" s="1453" t="s">
        <v>1544</v>
      </c>
      <c r="T1961" s="1453" t="str">
        <f>IF(Q$688="Yes",8,"")</f>
        <v/>
      </c>
    </row>
    <row r="1962" spans="1:20" s="1451" customFormat="1" x14ac:dyDescent="0.25">
      <c r="A1962" s="925" t="s">
        <v>1515</v>
      </c>
      <c r="B1962" s="897" t="str">
        <f ca="1">IFERROR(_xlfn.CONCAT("C",MATCH(A1962,INDIRECT("'"&amp;E1962&amp;"'!C"&amp;$O$706&amp;":C"&amp;$O$708),0)+$O$706-1),"")</f>
        <v>C133</v>
      </c>
      <c r="C1962" s="897" t="str">
        <f ca="1">IFERROR(_xlfn.CONCAT("D",MATCH(A1962,INDIRECT("'"&amp;E1962&amp;"'!C"&amp;$O$706&amp;":C"&amp;$O$708),0)+$O$706-1),"")</f>
        <v>D133</v>
      </c>
      <c r="D1962" s="897" t="s">
        <v>1367</v>
      </c>
      <c r="E1962" s="897" t="s">
        <v>1535</v>
      </c>
      <c r="F1962" s="1453" t="s">
        <v>1515</v>
      </c>
      <c r="G1962" s="1453" t="str">
        <f t="shared" si="353"/>
        <v/>
      </c>
      <c r="H1962" s="1453" t="s">
        <v>1926</v>
      </c>
      <c r="I1962" s="857" t="str">
        <f t="shared" si="351"/>
        <v/>
      </c>
      <c r="J1962" s="1453"/>
      <c r="K1962" s="1453" t="str">
        <f t="shared" si="352"/>
        <v/>
      </c>
      <c r="L1962" s="897"/>
      <c r="M1962" s="1454"/>
      <c r="N1962" s="1453"/>
      <c r="R1962" s="1453" t="s">
        <v>1544</v>
      </c>
      <c r="T1962" s="1453" t="str">
        <f>IF(Q$706="Yes",9,"")</f>
        <v/>
      </c>
    </row>
    <row r="1963" spans="1:20" s="1451" customFormat="1" x14ac:dyDescent="0.25">
      <c r="A1963" s="928" t="s">
        <v>1515</v>
      </c>
      <c r="B1963" s="897" t="str">
        <f ca="1">IFERROR(_xlfn.CONCAT("C",MATCH(A1963,INDIRECT("'"&amp;E1963&amp;"'!C"&amp;$O$736&amp;":C"&amp;$O$738),0)+$O$736-1),"")</f>
        <v>C149</v>
      </c>
      <c r="C1963" s="897" t="str">
        <f ca="1">IFERROR(_xlfn.CONCAT("D",MATCH(A1963,INDIRECT("'"&amp;E1963&amp;"'!C"&amp;$O$736&amp;":C"&amp;$O$738),0)+$O$736-1),"")</f>
        <v>D149</v>
      </c>
      <c r="D1963" s="897" t="s">
        <v>1367</v>
      </c>
      <c r="E1963" s="897" t="s">
        <v>1535</v>
      </c>
      <c r="F1963" s="1453" t="s">
        <v>1515</v>
      </c>
      <c r="G1963" s="1453" t="str">
        <f t="shared" si="353"/>
        <v/>
      </c>
      <c r="H1963" s="1453" t="s">
        <v>1926</v>
      </c>
      <c r="I1963" s="857" t="str">
        <f t="shared" si="351"/>
        <v/>
      </c>
      <c r="J1963" s="1453"/>
      <c r="K1963" s="1453" t="str">
        <f t="shared" si="352"/>
        <v/>
      </c>
      <c r="L1963" s="897"/>
      <c r="M1963" s="1454"/>
      <c r="N1963" s="1453"/>
      <c r="R1963" s="1453" t="s">
        <v>1544</v>
      </c>
      <c r="T1963" s="1453" t="str">
        <f>IF(Q$736="Yes",10,"")</f>
        <v/>
      </c>
    </row>
    <row r="1964" spans="1:20" s="1451" customFormat="1" x14ac:dyDescent="0.25">
      <c r="A1964" s="925" t="s">
        <v>1515</v>
      </c>
      <c r="B1964" s="897" t="str">
        <f ca="1">IFERROR(_xlfn.CONCAT("C",MATCH(A1964,INDIRECT("'"&amp;E1964&amp;"'!C"&amp;$O$766&amp;":C"&amp;$O$768),0)+$O$766-1),"")</f>
        <v>C163</v>
      </c>
      <c r="C1964" s="897" t="str">
        <f ca="1">IFERROR(_xlfn.CONCAT("D",MATCH(A1964,INDIRECT("'"&amp;E1964&amp;"'!C"&amp;$O$766&amp;":C"&amp;$O$768),0)+$O$766-1),"")</f>
        <v>D163</v>
      </c>
      <c r="D1964" s="897" t="s">
        <v>1367</v>
      </c>
      <c r="E1964" s="897" t="s">
        <v>1535</v>
      </c>
      <c r="F1964" s="1453" t="s">
        <v>1515</v>
      </c>
      <c r="G1964" s="1453" t="str">
        <f t="shared" si="353"/>
        <v/>
      </c>
      <c r="H1964" s="1453" t="s">
        <v>1926</v>
      </c>
      <c r="I1964" s="857" t="str">
        <f t="shared" si="351"/>
        <v/>
      </c>
      <c r="J1964" s="1453"/>
      <c r="K1964" s="1453" t="str">
        <f t="shared" si="352"/>
        <v/>
      </c>
      <c r="L1964" s="897"/>
      <c r="M1964" s="1454"/>
      <c r="N1964" s="1453"/>
      <c r="R1964" s="1453" t="s">
        <v>1550</v>
      </c>
      <c r="T1964" s="1453" t="str">
        <f>IF(Q$766="Yes",11,"")</f>
        <v/>
      </c>
    </row>
    <row r="1965" spans="1:20" s="1451" customFormat="1" x14ac:dyDescent="0.25">
      <c r="A1965" s="928" t="s">
        <v>1515</v>
      </c>
      <c r="B1965" s="897" t="str">
        <f ca="1">IFERROR(_xlfn.CONCAT("C",MATCH(A1965,INDIRECT("'"&amp;E1965&amp;"'!C"&amp;$O$781&amp;":C"&amp;$O$783),0)+$O$781-1),"")</f>
        <v>C177</v>
      </c>
      <c r="C1965" s="897" t="str">
        <f ca="1">IFERROR(_xlfn.CONCAT("D",MATCH(A1965,INDIRECT("'"&amp;E1965&amp;"'!C"&amp;$O$781&amp;":C"&amp;$O$783),0)+$O$781-1),"")</f>
        <v>D177</v>
      </c>
      <c r="D1965" s="897" t="s">
        <v>1367</v>
      </c>
      <c r="E1965" s="897" t="s">
        <v>1535</v>
      </c>
      <c r="F1965" s="1453" t="s">
        <v>1515</v>
      </c>
      <c r="G1965" s="1453" t="str">
        <f t="shared" si="353"/>
        <v/>
      </c>
      <c r="H1965" s="1453" t="s">
        <v>1926</v>
      </c>
      <c r="I1965" s="857" t="str">
        <f t="shared" si="351"/>
        <v/>
      </c>
      <c r="J1965" s="1453"/>
      <c r="K1965" s="1453" t="str">
        <f t="shared" si="352"/>
        <v/>
      </c>
      <c r="L1965" s="897"/>
      <c r="M1965" s="1454"/>
      <c r="N1965" s="1453"/>
      <c r="R1965" s="1453" t="s">
        <v>1550</v>
      </c>
      <c r="T1965" s="1453" t="str">
        <f>IF(Q$781="Yes",12,"")</f>
        <v/>
      </c>
    </row>
    <row r="1966" spans="1:20" s="1451" customFormat="1" x14ac:dyDescent="0.25">
      <c r="A1966" s="925" t="s">
        <v>1515</v>
      </c>
      <c r="B1966" s="897" t="str">
        <f ca="1">IFERROR(_xlfn.CONCAT("C",MATCH(A1966,INDIRECT("'"&amp;E1966&amp;"'!C"&amp;$O$796&amp;":C"&amp;$O$798),0)+$O$796-1),"")</f>
        <v>C191</v>
      </c>
      <c r="C1966" s="897" t="str">
        <f ca="1">IFERROR(_xlfn.CONCAT("D",MATCH(A1966,INDIRECT("'"&amp;E1966&amp;"'!C"&amp;$O$796&amp;":C"&amp;$O$798),0)+$O$796-1),"")</f>
        <v>D191</v>
      </c>
      <c r="D1966" s="897" t="s">
        <v>1367</v>
      </c>
      <c r="E1966" s="897" t="s">
        <v>1535</v>
      </c>
      <c r="F1966" s="1453" t="s">
        <v>1515</v>
      </c>
      <c r="G1966" s="1453" t="str">
        <f t="shared" si="353"/>
        <v/>
      </c>
      <c r="H1966" s="1453" t="s">
        <v>1926</v>
      </c>
      <c r="I1966" s="857" t="str">
        <f t="shared" si="351"/>
        <v/>
      </c>
      <c r="J1966" s="1453"/>
      <c r="K1966" s="1453" t="str">
        <f t="shared" si="352"/>
        <v/>
      </c>
      <c r="L1966" s="897"/>
      <c r="M1966" s="1454"/>
      <c r="N1966" s="1453"/>
      <c r="R1966" s="1453" t="s">
        <v>1550</v>
      </c>
      <c r="T1966" s="1453" t="str">
        <f>IF(Q$796="Yes",13,"")</f>
        <v/>
      </c>
    </row>
    <row r="1967" spans="1:20" s="1451" customFormat="1" x14ac:dyDescent="0.25">
      <c r="A1967" s="928" t="s">
        <v>1515</v>
      </c>
      <c r="B1967" s="897" t="str">
        <f ca="1">IFERROR(_xlfn.CONCAT("C",MATCH(A1967,INDIRECT("'"&amp;E1967&amp;"'!C"&amp;$O$814&amp;":C"&amp;$O$816),0)+$O$814-1),"")</f>
        <v>C205</v>
      </c>
      <c r="C1967" s="897" t="str">
        <f ca="1">IFERROR(_xlfn.CONCAT("D",MATCH(A1967,INDIRECT("'"&amp;E1967&amp;"'!C"&amp;$O$814&amp;":C"&amp;$O$816),0)+$O$814-1),"")</f>
        <v>D205</v>
      </c>
      <c r="D1967" s="897" t="s">
        <v>1367</v>
      </c>
      <c r="E1967" s="897" t="s">
        <v>1535</v>
      </c>
      <c r="F1967" s="1453" t="s">
        <v>1515</v>
      </c>
      <c r="G1967" s="1453" t="str">
        <f t="shared" si="353"/>
        <v/>
      </c>
      <c r="H1967" s="1453" t="s">
        <v>1926</v>
      </c>
      <c r="I1967" s="857" t="str">
        <f t="shared" si="351"/>
        <v/>
      </c>
      <c r="J1967" s="1453"/>
      <c r="K1967" s="1453" t="str">
        <f t="shared" si="352"/>
        <v/>
      </c>
      <c r="L1967" s="897"/>
      <c r="M1967" s="1454"/>
      <c r="N1967" s="1453"/>
      <c r="R1967" s="1453" t="s">
        <v>1550</v>
      </c>
      <c r="T1967" s="1453" t="str">
        <f>IF(Q$814="Yes",14,"")</f>
        <v/>
      </c>
    </row>
    <row r="1968" spans="1:20" s="1451" customFormat="1" x14ac:dyDescent="0.25">
      <c r="A1968" s="925" t="s">
        <v>1515</v>
      </c>
      <c r="B1968" s="897" t="str">
        <f ca="1">IFERROR(_xlfn.CONCAT("C",MATCH(A1968,INDIRECT("'"&amp;E1968&amp;"'!C"&amp;$O$832&amp;":C"&amp;$O$834),0)+$O$832-1),"")</f>
        <v>C221</v>
      </c>
      <c r="C1968" s="897" t="str">
        <f ca="1">IFERROR(_xlfn.CONCAT("D",MATCH(A1968,INDIRECT("'"&amp;E1968&amp;"'!C"&amp;$O$832&amp;":C"&amp;$O$834),0)+$O$832-1),"")</f>
        <v>D221</v>
      </c>
      <c r="D1968" s="897" t="s">
        <v>1367</v>
      </c>
      <c r="E1968" s="897" t="s">
        <v>1535</v>
      </c>
      <c r="F1968" s="1453" t="s">
        <v>1515</v>
      </c>
      <c r="G1968" s="1453" t="str">
        <f t="shared" si="353"/>
        <v/>
      </c>
      <c r="H1968" s="1453" t="s">
        <v>1926</v>
      </c>
      <c r="I1968" s="857" t="str">
        <f t="shared" si="351"/>
        <v/>
      </c>
      <c r="J1968" s="1453"/>
      <c r="K1968" s="1453" t="str">
        <f t="shared" si="352"/>
        <v/>
      </c>
      <c r="L1968" s="897"/>
      <c r="M1968" s="1454"/>
      <c r="N1968" s="1453"/>
      <c r="R1968" s="1453" t="s">
        <v>1550</v>
      </c>
      <c r="T1968" s="1453" t="str">
        <f>IF(Q$832="Yes",15,"")</f>
        <v/>
      </c>
    </row>
    <row r="1969" spans="1:20" s="1451" customFormat="1" x14ac:dyDescent="0.25">
      <c r="A1969" s="928" t="s">
        <v>1515</v>
      </c>
      <c r="B1969" s="897" t="str">
        <f ca="1">IFERROR(_xlfn.CONCAT("C",MATCH(A1969,INDIRECT("'"&amp;E1969&amp;"'!C"&amp;$O$862&amp;":C"&amp;$O$864),0)+$O$862-1),"")</f>
        <v>C237</v>
      </c>
      <c r="C1969" s="897" t="str">
        <f ca="1">IFERROR(_xlfn.CONCAT("D",MATCH(A1969,INDIRECT("'"&amp;E1969&amp;"'!C"&amp;$O$862&amp;":C"&amp;$O$864),0)+$O$862-1),"")</f>
        <v>D237</v>
      </c>
      <c r="D1969" s="897" t="s">
        <v>1367</v>
      </c>
      <c r="E1969" s="897" t="s">
        <v>1535</v>
      </c>
      <c r="F1969" s="1453" t="s">
        <v>1515</v>
      </c>
      <c r="G1969" s="1453" t="str">
        <f t="shared" si="353"/>
        <v/>
      </c>
      <c r="H1969" s="1453" t="s">
        <v>1926</v>
      </c>
      <c r="I1969" s="857" t="str">
        <f t="shared" si="351"/>
        <v/>
      </c>
      <c r="J1969" s="1453"/>
      <c r="K1969" s="1453" t="str">
        <f t="shared" si="352"/>
        <v/>
      </c>
      <c r="L1969" s="897"/>
      <c r="M1969" s="1454"/>
      <c r="N1969" s="1453"/>
      <c r="R1969" s="1453" t="s">
        <v>1550</v>
      </c>
      <c r="T1969" s="1453" t="str">
        <f>IF(Q$862="Yes",16,"")</f>
        <v/>
      </c>
    </row>
    <row r="1970" spans="1:20" s="1451" customFormat="1" x14ac:dyDescent="0.25">
      <c r="A1970" s="925" t="s">
        <v>1515</v>
      </c>
      <c r="B1970" s="897" t="str">
        <f ca="1">IFERROR(_xlfn.CONCAT("C",MATCH(A1970,INDIRECT("'"&amp;E1970&amp;"'!C"&amp;$O$892&amp;":C"&amp;$O$894),0)+$O$892-1),"")</f>
        <v>C251</v>
      </c>
      <c r="C1970" s="897" t="str">
        <f ca="1">IFERROR(_xlfn.CONCAT("D",MATCH(A1970,INDIRECT("'"&amp;E1970&amp;"'!C"&amp;$O$892&amp;":C"&amp;$O$894),0)+$O$892-1),"")</f>
        <v>D251</v>
      </c>
      <c r="D1970" s="897" t="s">
        <v>1367</v>
      </c>
      <c r="E1970" s="897" t="s">
        <v>1535</v>
      </c>
      <c r="F1970" s="1453" t="s">
        <v>1515</v>
      </c>
      <c r="G1970" s="1453" t="str">
        <f t="shared" si="353"/>
        <v/>
      </c>
      <c r="H1970" s="1453" t="s">
        <v>1926</v>
      </c>
      <c r="I1970" s="857" t="str">
        <f t="shared" si="351"/>
        <v/>
      </c>
      <c r="J1970" s="1453"/>
      <c r="K1970" s="1453" t="str">
        <f t="shared" si="352"/>
        <v/>
      </c>
      <c r="L1970" s="897"/>
      <c r="M1970" s="1454"/>
      <c r="N1970" s="1453"/>
      <c r="R1970" s="1453" t="s">
        <v>395</v>
      </c>
      <c r="T1970" s="1453" t="str">
        <f>IF(Q$892="Yes",17,"")</f>
        <v/>
      </c>
    </row>
    <row r="1971" spans="1:20" s="1451" customFormat="1" x14ac:dyDescent="0.25">
      <c r="A1971" s="928" t="s">
        <v>1515</v>
      </c>
      <c r="B1971" s="897" t="str">
        <f ca="1">IFERROR(_xlfn.CONCAT("C",MATCH(A1971,INDIRECT("'"&amp;E1971&amp;"'!C"&amp;$O$911&amp;":C"&amp;$O$913),0)+$O$911-1),"")</f>
        <v>C265</v>
      </c>
      <c r="C1971" s="897" t="str">
        <f ca="1">IFERROR(_xlfn.CONCAT("D",MATCH(A1971,INDIRECT("'"&amp;E1971&amp;"'!C"&amp;$O$911&amp;":C"&amp;$O$913),0)+$O$911-1),"")</f>
        <v>D265</v>
      </c>
      <c r="D1971" s="897" t="s">
        <v>1367</v>
      </c>
      <c r="E1971" s="897" t="s">
        <v>1535</v>
      </c>
      <c r="F1971" s="1453" t="s">
        <v>1515</v>
      </c>
      <c r="G1971" s="1453" t="str">
        <f t="shared" si="353"/>
        <v/>
      </c>
      <c r="H1971" s="1453" t="s">
        <v>1926</v>
      </c>
      <c r="I1971" s="857" t="str">
        <f t="shared" si="351"/>
        <v/>
      </c>
      <c r="J1971" s="1453"/>
      <c r="K1971" s="1453" t="str">
        <f t="shared" si="352"/>
        <v/>
      </c>
      <c r="L1971" s="897"/>
      <c r="M1971" s="1454"/>
      <c r="N1971" s="1453"/>
      <c r="R1971" s="1453" t="s">
        <v>395</v>
      </c>
      <c r="T1971" s="1453" t="str">
        <f>IF(Q$911="Yes",18,"")</f>
        <v/>
      </c>
    </row>
    <row r="1972" spans="1:20" s="1451" customFormat="1" x14ac:dyDescent="0.25">
      <c r="A1972" s="925" t="s">
        <v>1515</v>
      </c>
      <c r="B1972" s="897" t="str">
        <f ca="1">IFERROR(_xlfn.CONCAT("C",MATCH(A1972,INDIRECT("'"&amp;E1972&amp;"'!C"&amp;$O$930&amp;":C"&amp;$O$932),0)+$O$930-1),"")</f>
        <v>C279</v>
      </c>
      <c r="C1972" s="897" t="str">
        <f ca="1">IFERROR(_xlfn.CONCAT("D",MATCH(A1972,INDIRECT("'"&amp;E1972&amp;"'!C"&amp;$O$930&amp;":C"&amp;$O$932),0)+$O$930-1),"")</f>
        <v>D279</v>
      </c>
      <c r="D1972" s="897" t="s">
        <v>1367</v>
      </c>
      <c r="E1972" s="897" t="s">
        <v>1535</v>
      </c>
      <c r="F1972" s="1453" t="s">
        <v>1515</v>
      </c>
      <c r="G1972" s="1453" t="str">
        <f t="shared" si="353"/>
        <v/>
      </c>
      <c r="H1972" s="1453" t="s">
        <v>1926</v>
      </c>
      <c r="I1972" s="857" t="str">
        <f t="shared" si="351"/>
        <v/>
      </c>
      <c r="J1972" s="1453"/>
      <c r="K1972" s="1453" t="str">
        <f t="shared" si="352"/>
        <v/>
      </c>
      <c r="L1972" s="897"/>
      <c r="M1972" s="1454"/>
      <c r="N1972" s="1453"/>
      <c r="R1972" s="1453" t="s">
        <v>395</v>
      </c>
      <c r="T1972" s="1453" t="str">
        <f>IF(Q$930="Yes",19,"")</f>
        <v/>
      </c>
    </row>
    <row r="1973" spans="1:20" s="1451" customFormat="1" x14ac:dyDescent="0.25">
      <c r="A1973" s="928" t="s">
        <v>1515</v>
      </c>
      <c r="B1973" s="897" t="str">
        <f ca="1">IFERROR(_xlfn.CONCAT("C",MATCH(A1973,INDIRECT("'"&amp;E1973&amp;"'!C"&amp;$O$949&amp;":C"&amp;$O$951),0)+$O$949-1),"")</f>
        <v>C293</v>
      </c>
      <c r="C1973" s="897" t="str">
        <f ca="1">IFERROR(_xlfn.CONCAT("D",MATCH(A1973,INDIRECT("'"&amp;E1973&amp;"'!C"&amp;$O$949&amp;":C"&amp;$O$951),0)+$O$949-1),"")</f>
        <v>D293</v>
      </c>
      <c r="D1973" s="897" t="s">
        <v>1367</v>
      </c>
      <c r="E1973" s="897" t="s">
        <v>1535</v>
      </c>
      <c r="F1973" s="1453" t="s">
        <v>1515</v>
      </c>
      <c r="G1973" s="1453" t="str">
        <f t="shared" si="353"/>
        <v/>
      </c>
      <c r="H1973" s="1453" t="s">
        <v>1926</v>
      </c>
      <c r="I1973" s="857" t="str">
        <f t="shared" si="351"/>
        <v/>
      </c>
      <c r="J1973" s="1453"/>
      <c r="K1973" s="1453" t="str">
        <f t="shared" si="352"/>
        <v/>
      </c>
      <c r="L1973" s="897"/>
      <c r="M1973" s="1454"/>
      <c r="N1973" s="1453"/>
      <c r="R1973" s="1453" t="s">
        <v>395</v>
      </c>
      <c r="T1973" s="1453" t="str">
        <f>IF(Q$949="Yes",20,"")</f>
        <v/>
      </c>
    </row>
    <row r="1974" spans="1:20" s="1451" customFormat="1" x14ac:dyDescent="0.25">
      <c r="A1974" s="925" t="s">
        <v>1515</v>
      </c>
      <c r="B1974" s="897" t="str">
        <f ca="1">IFERROR(_xlfn.CONCAT("C",MATCH(A1974,INDIRECT("'"&amp;E1974&amp;"'!C"&amp;$O$968&amp;":C"&amp;$O$970),0)+$O$968-1),"")</f>
        <v>C307</v>
      </c>
      <c r="C1974" s="897" t="str">
        <f ca="1">IFERROR(_xlfn.CONCAT("D",MATCH(A1974,INDIRECT("'"&amp;E1974&amp;"'!C"&amp;$O$968&amp;":C"&amp;$O$970),0)+$O$968-1),"")</f>
        <v>D307</v>
      </c>
      <c r="D1974" s="897" t="s">
        <v>1367</v>
      </c>
      <c r="E1974" s="897" t="s">
        <v>1535</v>
      </c>
      <c r="F1974" s="1453" t="s">
        <v>1515</v>
      </c>
      <c r="G1974" s="1453" t="str">
        <f t="shared" si="353"/>
        <v/>
      </c>
      <c r="H1974" s="1453" t="s">
        <v>1926</v>
      </c>
      <c r="I1974" s="857" t="str">
        <f t="shared" si="351"/>
        <v/>
      </c>
      <c r="J1974" s="1453"/>
      <c r="K1974" s="1453" t="str">
        <f t="shared" si="352"/>
        <v/>
      </c>
      <c r="L1974" s="897"/>
      <c r="M1974" s="1454"/>
      <c r="N1974" s="1453"/>
      <c r="R1974" s="1453" t="s">
        <v>395</v>
      </c>
      <c r="T1974" s="1453" t="str">
        <f>IF(Q$968="Yes",21,"")</f>
        <v/>
      </c>
    </row>
    <row r="1975" spans="1:20" s="1451" customFormat="1" x14ac:dyDescent="0.25">
      <c r="A1975" s="928" t="s">
        <v>1515</v>
      </c>
      <c r="B1975" s="897" t="str">
        <f ca="1">IFERROR(_xlfn.CONCAT("C",MATCH(A1975,INDIRECT("'"&amp;E1975&amp;"'!C"&amp;$O$987&amp;":C"&amp;$O$989),0)+$O$987-1),"")</f>
        <v>C321</v>
      </c>
      <c r="C1975" s="897" t="str">
        <f ca="1">IFERROR(_xlfn.CONCAT("D",MATCH(A1975,INDIRECT("'"&amp;E1975&amp;"'!C"&amp;$O$987&amp;":C"&amp;$O$989),0)+$O$987-1),"")</f>
        <v>D321</v>
      </c>
      <c r="D1975" s="897" t="s">
        <v>1367</v>
      </c>
      <c r="E1975" s="897" t="s">
        <v>1535</v>
      </c>
      <c r="F1975" s="1453" t="s">
        <v>1515</v>
      </c>
      <c r="G1975" s="1453" t="str">
        <f t="shared" si="353"/>
        <v/>
      </c>
      <c r="H1975" s="1453" t="s">
        <v>1926</v>
      </c>
      <c r="I1975" s="857" t="str">
        <f t="shared" si="351"/>
        <v/>
      </c>
      <c r="J1975" s="1453"/>
      <c r="K1975" s="1453" t="str">
        <f t="shared" si="352"/>
        <v/>
      </c>
      <c r="L1975" s="897"/>
      <c r="M1975" s="1454"/>
      <c r="N1975" s="1453"/>
      <c r="R1975" s="1453" t="s">
        <v>1715</v>
      </c>
      <c r="T1975" s="1453" t="str">
        <f>IF(Q$987="Yes",22,"")</f>
        <v/>
      </c>
    </row>
    <row r="1976" spans="1:20" s="1451" customFormat="1" x14ac:dyDescent="0.25">
      <c r="A1976" s="925" t="s">
        <v>1515</v>
      </c>
      <c r="B1976" s="897" t="str">
        <f ca="1">IFERROR(_xlfn.CONCAT("C",MATCH(A1976,INDIRECT("'"&amp;E1976&amp;"'!C"&amp;$O$1005&amp;":C"&amp;$O$1007),0)+$O$1005-1),"")</f>
        <v>C335</v>
      </c>
      <c r="C1976" s="897" t="str">
        <f ca="1">IFERROR(_xlfn.CONCAT("D",MATCH(A1976,INDIRECT("'"&amp;E1976&amp;"'!C"&amp;$O$1005&amp;":C"&amp;$O$1007),0)+$O$1005-1),"")</f>
        <v>D335</v>
      </c>
      <c r="D1976" s="897" t="s">
        <v>1367</v>
      </c>
      <c r="E1976" s="897" t="s">
        <v>1535</v>
      </c>
      <c r="F1976" s="1453" t="s">
        <v>1515</v>
      </c>
      <c r="G1976" s="1453" t="str">
        <f t="shared" si="353"/>
        <v/>
      </c>
      <c r="H1976" s="1453" t="s">
        <v>1926</v>
      </c>
      <c r="I1976" s="857" t="str">
        <f t="shared" si="351"/>
        <v/>
      </c>
      <c r="J1976" s="1453"/>
      <c r="K1976" s="1453" t="str">
        <f t="shared" si="352"/>
        <v/>
      </c>
      <c r="L1976" s="897"/>
      <c r="M1976" s="1454"/>
      <c r="N1976" s="1453"/>
      <c r="R1976" s="1453" t="s">
        <v>481</v>
      </c>
      <c r="T1976" s="1453" t="str">
        <f>IF(Q$1005="Yes",23,"")</f>
        <v/>
      </c>
    </row>
    <row r="1977" spans="1:20" s="1451" customFormat="1" x14ac:dyDescent="0.25">
      <c r="A1977" s="928" t="s">
        <v>1515</v>
      </c>
      <c r="B1977" s="897" t="str">
        <f ca="1">IFERROR(_xlfn.CONCAT("C",MATCH(A1977,INDIRECT("'"&amp;E1977&amp;"'!C"&amp;$O$1016&amp;":C"&amp;$O$1018),0)+$O$1016-1),"")</f>
        <v>C349</v>
      </c>
      <c r="C1977" s="897" t="str">
        <f ca="1">IFERROR(_xlfn.CONCAT("D",MATCH(A1977,INDIRECT("'"&amp;E1977&amp;"'!C"&amp;$O$1016&amp;":C"&amp;$O$1018),0)+$O$1016-1),"")</f>
        <v>D349</v>
      </c>
      <c r="D1977" s="897" t="s">
        <v>1367</v>
      </c>
      <c r="E1977" s="897" t="s">
        <v>1535</v>
      </c>
      <c r="F1977" s="1453" t="s">
        <v>1515</v>
      </c>
      <c r="G1977" s="1453" t="str">
        <f t="shared" si="353"/>
        <v/>
      </c>
      <c r="H1977" s="1453" t="s">
        <v>1926</v>
      </c>
      <c r="I1977" s="857" t="str">
        <f t="shared" si="351"/>
        <v/>
      </c>
      <c r="J1977" s="1453"/>
      <c r="K1977" s="1453" t="str">
        <f t="shared" si="352"/>
        <v/>
      </c>
      <c r="L1977" s="897"/>
      <c r="M1977" s="1454"/>
      <c r="N1977" s="1453"/>
      <c r="R1977" s="1453" t="s">
        <v>481</v>
      </c>
      <c r="T1977" s="1453" t="str">
        <f>IF(Q$1016="Yes",24,"")</f>
        <v/>
      </c>
    </row>
    <row r="1978" spans="1:20" s="1451" customFormat="1" x14ac:dyDescent="0.25">
      <c r="A1978" s="925" t="s">
        <v>1515</v>
      </c>
      <c r="B1978" s="897" t="str">
        <f ca="1">IFERROR(_xlfn.CONCAT("C",MATCH(A1978,INDIRECT("'"&amp;E1978&amp;"'!C"&amp;$O$1027&amp;":C"&amp;$O$1029),0)+$O$1027-1),"")</f>
        <v>C363</v>
      </c>
      <c r="C1978" s="897" t="str">
        <f ca="1">IFERROR(_xlfn.CONCAT("D",MATCH(A1978,INDIRECT("'"&amp;E1978&amp;"'!C"&amp;$O$1027&amp;":C"&amp;$O$1029),0)+$O$1027-1),"")</f>
        <v>D363</v>
      </c>
      <c r="D1978" s="897" t="s">
        <v>1367</v>
      </c>
      <c r="E1978" s="897" t="s">
        <v>1535</v>
      </c>
      <c r="F1978" s="1453" t="s">
        <v>1515</v>
      </c>
      <c r="G1978" s="1453" t="str">
        <f t="shared" si="353"/>
        <v/>
      </c>
      <c r="H1978" s="1453" t="s">
        <v>1926</v>
      </c>
      <c r="I1978" s="857" t="str">
        <f t="shared" si="351"/>
        <v/>
      </c>
      <c r="J1978" s="1453"/>
      <c r="K1978" s="1453" t="str">
        <f t="shared" si="352"/>
        <v/>
      </c>
      <c r="L1978" s="897"/>
      <c r="M1978" s="1454"/>
      <c r="N1978" s="1453"/>
      <c r="R1978" s="1453" t="s">
        <v>481</v>
      </c>
      <c r="T1978" s="1453" t="str">
        <f>IF(Q$1027="Yes",25,"")</f>
        <v/>
      </c>
    </row>
    <row r="1979" spans="1:20" s="1451" customFormat="1" x14ac:dyDescent="0.25">
      <c r="A1979" s="928" t="s">
        <v>1515</v>
      </c>
      <c r="B1979" s="897" t="str">
        <f ca="1">IFERROR(_xlfn.CONCAT("C",MATCH(A1979,INDIRECT("'"&amp;E1979&amp;"'!C"&amp;$O$1038&amp;":C"&amp;$O$1040),0)+$O$1038-1),"")</f>
        <v>C377</v>
      </c>
      <c r="C1979" s="897" t="str">
        <f ca="1">IFERROR(_xlfn.CONCAT("D",MATCH(A1979,INDIRECT("'"&amp;E1979&amp;"'!C"&amp;$O$1038&amp;":C"&amp;$O$1040),0)+$O$1038-1),"")</f>
        <v>D377</v>
      </c>
      <c r="D1979" s="897" t="s">
        <v>1367</v>
      </c>
      <c r="E1979" s="897" t="s">
        <v>1535</v>
      </c>
      <c r="F1979" s="1453" t="s">
        <v>1515</v>
      </c>
      <c r="G1979" s="1453" t="str">
        <f t="shared" si="353"/>
        <v/>
      </c>
      <c r="H1979" s="1453" t="s">
        <v>1926</v>
      </c>
      <c r="I1979" s="857" t="str">
        <f t="shared" si="351"/>
        <v/>
      </c>
      <c r="J1979" s="1453"/>
      <c r="K1979" s="1453" t="str">
        <f t="shared" si="352"/>
        <v/>
      </c>
      <c r="L1979" s="897"/>
      <c r="M1979" s="1454"/>
      <c r="N1979" s="1453"/>
      <c r="R1979" s="1453" t="s">
        <v>1142</v>
      </c>
      <c r="T1979" s="1453" t="str">
        <f>IF(Q$1038="Yes",26,"")</f>
        <v/>
      </c>
    </row>
    <row r="1980" spans="1:20" s="1451" customFormat="1" x14ac:dyDescent="0.25">
      <c r="A1980" s="925" t="s">
        <v>1515</v>
      </c>
      <c r="B1980" s="897" t="str">
        <f ca="1">IFERROR(_xlfn.CONCAT("C",MATCH(A1980,INDIRECT("'"&amp;E1980&amp;"'!C"&amp;$O$1052&amp;":C"&amp;$O$1054),0)+$O$1052-1),"")</f>
        <v>C391</v>
      </c>
      <c r="C1980" s="897" t="str">
        <f ca="1">IFERROR(_xlfn.CONCAT("D",MATCH(A1980,INDIRECT("'"&amp;E1980&amp;"'!C"&amp;$O$1052&amp;":C"&amp;$O$1054),0)+$O$1052-1),"")</f>
        <v>D391</v>
      </c>
      <c r="D1980" s="897" t="s">
        <v>1367</v>
      </c>
      <c r="E1980" s="897" t="s">
        <v>1535</v>
      </c>
      <c r="F1980" s="1453" t="s">
        <v>1515</v>
      </c>
      <c r="G1980" s="1453" t="str">
        <f t="shared" si="353"/>
        <v/>
      </c>
      <c r="H1980" s="1453" t="s">
        <v>1926</v>
      </c>
      <c r="I1980" s="857" t="str">
        <f t="shared" si="351"/>
        <v/>
      </c>
      <c r="J1980" s="1453"/>
      <c r="K1980" s="1453" t="str">
        <f t="shared" si="352"/>
        <v/>
      </c>
      <c r="L1980" s="897"/>
      <c r="M1980" s="1454"/>
      <c r="N1980" s="1453"/>
      <c r="R1980" s="1453" t="s">
        <v>1719</v>
      </c>
      <c r="T1980" s="1453" t="str">
        <f>IF(Q$1052="Yes",27,"")</f>
        <v/>
      </c>
    </row>
    <row r="1981" spans="1:20" s="1451" customFormat="1" x14ac:dyDescent="0.25">
      <c r="A1981" s="928" t="s">
        <v>1515</v>
      </c>
      <c r="B1981" s="897" t="str">
        <f ca="1">IFERROR(_xlfn.CONCAT("C",MATCH(A1981,INDIRECT("'"&amp;E1981&amp;"'!C"&amp;$O$1069&amp;":C"&amp;$O$1071),0)+$O$1069-1),"")</f>
        <v>C405</v>
      </c>
      <c r="C1981" s="897" t="str">
        <f ca="1">IFERROR(_xlfn.CONCAT("D",MATCH(A1981,INDIRECT("'"&amp;E1981&amp;"'!C"&amp;$O$1069&amp;":C"&amp;$O$1071),0)+$O$1069-1),"")</f>
        <v>D405</v>
      </c>
      <c r="D1981" s="897" t="s">
        <v>1367</v>
      </c>
      <c r="E1981" s="897" t="s">
        <v>1535</v>
      </c>
      <c r="F1981" s="1453" t="s">
        <v>1515</v>
      </c>
      <c r="G1981" s="1453" t="str">
        <f t="shared" si="353"/>
        <v/>
      </c>
      <c r="H1981" s="1453" t="s">
        <v>1926</v>
      </c>
      <c r="I1981" s="857" t="str">
        <f t="shared" si="351"/>
        <v/>
      </c>
      <c r="J1981" s="1453"/>
      <c r="K1981" s="1453" t="str">
        <f t="shared" si="352"/>
        <v/>
      </c>
      <c r="L1981" s="897"/>
      <c r="M1981" s="1454"/>
      <c r="N1981" s="1453"/>
      <c r="R1981" s="1453" t="s">
        <v>1719</v>
      </c>
      <c r="T1981" s="1453" t="str">
        <f>IF(Q$1069="Yes",28,"")</f>
        <v/>
      </c>
    </row>
    <row r="1982" spans="1:20" s="1451" customFormat="1" x14ac:dyDescent="0.25">
      <c r="A1982" s="925" t="s">
        <v>1515</v>
      </c>
      <c r="B1982" s="897" t="str">
        <f ca="1">IFERROR(_xlfn.CONCAT("C",MATCH(A1982,INDIRECT("'"&amp;E1982&amp;"'!C"&amp;$O$1085&amp;":C"&amp;$O$1087),0)+$O$1085-1),"")</f>
        <v>C419</v>
      </c>
      <c r="C1982" s="897" t="str">
        <f ca="1">IFERROR(_xlfn.CONCAT("D",MATCH(A1982,INDIRECT("'"&amp;E1982&amp;"'!C"&amp;$O$1085&amp;":C"&amp;$O$1087),0)+$O$1085-1),"")</f>
        <v>D419</v>
      </c>
      <c r="D1982" s="897" t="s">
        <v>1367</v>
      </c>
      <c r="E1982" s="897" t="s">
        <v>1535</v>
      </c>
      <c r="F1982" s="1453" t="s">
        <v>1515</v>
      </c>
      <c r="G1982" s="1453" t="str">
        <f t="shared" si="353"/>
        <v/>
      </c>
      <c r="H1982" s="1453" t="s">
        <v>1926</v>
      </c>
      <c r="I1982" s="857" t="str">
        <f t="shared" si="351"/>
        <v/>
      </c>
      <c r="J1982" s="1453"/>
      <c r="K1982" s="1453" t="str">
        <f t="shared" si="352"/>
        <v/>
      </c>
      <c r="L1982" s="897"/>
      <c r="M1982" s="1454"/>
      <c r="N1982" s="1453"/>
      <c r="R1982" s="1453" t="s">
        <v>1105</v>
      </c>
      <c r="T1982" s="1453" t="str">
        <f>IF(Q$1085="Yes",29,"")</f>
        <v/>
      </c>
    </row>
    <row r="1983" spans="1:20" s="1451" customFormat="1" x14ac:dyDescent="0.25">
      <c r="A1983" s="928" t="s">
        <v>1515</v>
      </c>
      <c r="B1983" s="897" t="str">
        <f ca="1">IFERROR(_xlfn.CONCAT("C",MATCH(A1983,INDIRECT("'"&amp;E1983&amp;"'!C"&amp;$O$1095&amp;":C"&amp;$O$1097),0)+$O$1095-1),"")</f>
        <v>C433</v>
      </c>
      <c r="C1983" s="897" t="str">
        <f ca="1">IFERROR(_xlfn.CONCAT("D",MATCH(A1983,INDIRECT("'"&amp;E1983&amp;"'!C"&amp;$O$1095&amp;":C"&amp;$O$1097),0)+$O$1095-1),"")</f>
        <v>D433</v>
      </c>
      <c r="D1983" s="897" t="s">
        <v>1367</v>
      </c>
      <c r="E1983" s="897" t="s">
        <v>1535</v>
      </c>
      <c r="F1983" s="1453" t="s">
        <v>1515</v>
      </c>
      <c r="G1983" s="1453" t="str">
        <f t="shared" si="353"/>
        <v/>
      </c>
      <c r="H1983" s="1453" t="s">
        <v>1926</v>
      </c>
      <c r="I1983" s="857" t="str">
        <f t="shared" si="351"/>
        <v/>
      </c>
      <c r="J1983" s="1453"/>
      <c r="K1983" s="1453" t="str">
        <f t="shared" si="352"/>
        <v/>
      </c>
      <c r="L1983" s="897"/>
      <c r="M1983" s="1454"/>
      <c r="N1983" s="1453"/>
      <c r="R1983" s="1453" t="s">
        <v>1105</v>
      </c>
      <c r="T1983" s="1453" t="str">
        <f>IF(Q$1095="Yes",30,"")</f>
        <v/>
      </c>
    </row>
    <row r="1984" spans="1:20" s="1451" customFormat="1" x14ac:dyDescent="0.25">
      <c r="A1984" s="925" t="s">
        <v>1515</v>
      </c>
      <c r="B1984" s="897" t="str">
        <f ca="1">IFERROR(_xlfn.CONCAT("C",MATCH(A1984,INDIRECT("'"&amp;E1984&amp;"'!C"&amp;$O$1105&amp;":C"&amp;$O$1107),0)+$O$1105-1),"")</f>
        <v>C447</v>
      </c>
      <c r="C1984" s="897" t="str">
        <f ca="1">IFERROR(_xlfn.CONCAT("D",MATCH(A1984,INDIRECT("'"&amp;E1984&amp;"'!C"&amp;$O$1105&amp;":C"&amp;$O$1107),0)+$O$1105-1),"")</f>
        <v>D447</v>
      </c>
      <c r="D1984" s="897" t="s">
        <v>1367</v>
      </c>
      <c r="E1984" s="897" t="s">
        <v>1535</v>
      </c>
      <c r="F1984" s="1453" t="s">
        <v>1515</v>
      </c>
      <c r="G1984" s="1453" t="str">
        <f t="shared" si="353"/>
        <v/>
      </c>
      <c r="H1984" s="1453" t="s">
        <v>1926</v>
      </c>
      <c r="I1984" s="857" t="str">
        <f t="shared" si="351"/>
        <v/>
      </c>
      <c r="J1984" s="1453"/>
      <c r="K1984" s="1453" t="str">
        <f t="shared" si="352"/>
        <v/>
      </c>
      <c r="L1984" s="897"/>
      <c r="M1984" s="1454"/>
      <c r="N1984" s="1453"/>
      <c r="R1984" s="1453" t="s">
        <v>1105</v>
      </c>
      <c r="T1984" s="1453" t="str">
        <f>IF(Q$1105="Yes",31,"")</f>
        <v/>
      </c>
    </row>
    <row r="1985" spans="1:20" s="1451" customFormat="1" x14ac:dyDescent="0.25">
      <c r="A1985" s="928" t="s">
        <v>1515</v>
      </c>
      <c r="B1985" s="897" t="str">
        <f ca="1">IFERROR(_xlfn.CONCAT("C",MATCH(A1985,INDIRECT("'"&amp;E1985&amp;"'!C"&amp;$O$1134&amp;":C"&amp;$O$1136),0)+$O$1134-1),"")</f>
        <v>C461</v>
      </c>
      <c r="C1985" s="897" t="str">
        <f ca="1">IFERROR(_xlfn.CONCAT("D",MATCH(A1985,INDIRECT("'"&amp;E1985&amp;"'!C"&amp;$O$1134&amp;":C"&amp;$O$1136),0)+$O$1134-1),"")</f>
        <v>D461</v>
      </c>
      <c r="D1985" s="897" t="s">
        <v>1367</v>
      </c>
      <c r="E1985" s="897" t="s">
        <v>1535</v>
      </c>
      <c r="F1985" s="1453" t="s">
        <v>1515</v>
      </c>
      <c r="G1985" s="1453" t="str">
        <f t="shared" si="353"/>
        <v/>
      </c>
      <c r="H1985" s="1453" t="s">
        <v>1926</v>
      </c>
      <c r="I1985" s="857" t="str">
        <f t="shared" si="351"/>
        <v/>
      </c>
      <c r="J1985" s="1453"/>
      <c r="K1985" s="1453" t="str">
        <f t="shared" si="352"/>
        <v/>
      </c>
      <c r="L1985" s="897"/>
      <c r="M1985" s="1454"/>
      <c r="N1985" s="1453"/>
      <c r="R1985" s="1453" t="s">
        <v>1105</v>
      </c>
      <c r="T1985" s="1453" t="str">
        <f>IF(Q$1134="Yes",32,"")</f>
        <v/>
      </c>
    </row>
    <row r="1986" spans="1:20" s="1451" customFormat="1" x14ac:dyDescent="0.25">
      <c r="A1986" s="925" t="s">
        <v>1515</v>
      </c>
      <c r="B1986" s="897" t="str">
        <f ca="1">IFERROR(_xlfn.CONCAT("C",MATCH(A1986,INDIRECT("'"&amp;E1986&amp;"'!C"&amp;$O$1163&amp;":C"&amp;$O$1165),0)+$O$1163-1),"")</f>
        <v>C475</v>
      </c>
      <c r="C1986" s="897" t="str">
        <f ca="1">IFERROR(_xlfn.CONCAT("D",MATCH(A1986,INDIRECT("'"&amp;E1986&amp;"'!C"&amp;$O$1163&amp;":C"&amp;$O$1165),0)+$O$1163-1),"")</f>
        <v>D475</v>
      </c>
      <c r="D1986" s="897" t="s">
        <v>1367</v>
      </c>
      <c r="E1986" s="897" t="s">
        <v>1535</v>
      </c>
      <c r="F1986" s="1453" t="s">
        <v>1515</v>
      </c>
      <c r="G1986" s="1453" t="str">
        <f t="shared" si="353"/>
        <v/>
      </c>
      <c r="H1986" s="1453" t="s">
        <v>1926</v>
      </c>
      <c r="I1986" s="857" t="str">
        <f t="shared" si="351"/>
        <v/>
      </c>
      <c r="J1986" s="1453"/>
      <c r="K1986" s="1453" t="str">
        <f t="shared" si="352"/>
        <v/>
      </c>
      <c r="L1986" s="897"/>
      <c r="M1986" s="1454"/>
      <c r="N1986" s="1453"/>
      <c r="R1986" s="1453" t="s">
        <v>1105</v>
      </c>
      <c r="T1986" s="1453" t="str">
        <f>IF(Q$1163="Yes",33,"")</f>
        <v/>
      </c>
    </row>
    <row r="1987" spans="1:20" s="1451" customFormat="1" x14ac:dyDescent="0.25">
      <c r="A1987" s="928" t="s">
        <v>1515</v>
      </c>
      <c r="B1987" s="897" t="str">
        <f ca="1">IFERROR(_xlfn.CONCAT("C",MATCH(A1987,INDIRECT("'"&amp;E1987&amp;"'!C"&amp;$O$1188&amp;":C"&amp;$O$1190),0)+$O$1188-1),"")</f>
        <v>C489</v>
      </c>
      <c r="C1987" s="897" t="str">
        <f ca="1">IFERROR(_xlfn.CONCAT("D",MATCH(A1987,INDIRECT("'"&amp;E1987&amp;"'!C"&amp;$O$1188&amp;":C"&amp;$O$1190),0)+$O$1188-1),"")</f>
        <v>D489</v>
      </c>
      <c r="D1987" s="897" t="s">
        <v>1367</v>
      </c>
      <c r="E1987" s="897" t="s">
        <v>1535</v>
      </c>
      <c r="F1987" s="1453" t="s">
        <v>1515</v>
      </c>
      <c r="G1987" s="1453" t="str">
        <f t="shared" si="353"/>
        <v/>
      </c>
      <c r="H1987" s="1453" t="s">
        <v>1926</v>
      </c>
      <c r="I1987" s="857" t="str">
        <f t="shared" si="351"/>
        <v/>
      </c>
      <c r="J1987" s="1453"/>
      <c r="K1987" s="1453" t="str">
        <f t="shared" si="352"/>
        <v/>
      </c>
      <c r="L1987" s="897"/>
      <c r="M1987" s="1454"/>
      <c r="N1987" s="1453"/>
      <c r="R1987" s="1453" t="s">
        <v>1105</v>
      </c>
      <c r="T1987" s="1453" t="str">
        <f>IF(Q$1188="Yes",34,"")</f>
        <v/>
      </c>
    </row>
    <row r="1988" spans="1:20" s="1451" customFormat="1" x14ac:dyDescent="0.25">
      <c r="A1988" s="1453" t="s">
        <v>1828</v>
      </c>
      <c r="B1988" s="859" t="str">
        <f ca="1">_xlfn.CONCAT(IFERROR(SUBSTITUTE(ADDRESS(1,MATCH(A1988,INDIRECT("'"&amp;E1988&amp;"'"&amp;"!A5:Z5"),0),4),1,""),""),5)</f>
        <v>D5</v>
      </c>
      <c r="C1988" s="859" t="str">
        <f ca="1">_xlfn.CONCAT(IFERROR(SUBSTITUTE(ADDRESS(1,MATCH(A1988,INDIRECT("'"&amp;E1988&amp;"'"&amp;"!A5:Z5"),0),4),1,""),""),6)</f>
        <v>D6</v>
      </c>
      <c r="D1988" s="859" t="s">
        <v>1367</v>
      </c>
      <c r="E1988" s="859" t="s">
        <v>2082</v>
      </c>
      <c r="F1988" s="1453" t="s">
        <v>2083</v>
      </c>
      <c r="G1988" s="859" t="s">
        <v>1370</v>
      </c>
      <c r="H1988" s="859" t="s">
        <v>1911</v>
      </c>
      <c r="I1988" s="857"/>
      <c r="J1988" s="1453"/>
      <c r="K1988" s="1453" t="str">
        <f t="shared" si="352"/>
        <v/>
      </c>
      <c r="L1988" s="1453"/>
      <c r="M1988" s="1453"/>
      <c r="N1988" s="1453"/>
    </row>
    <row r="1989" spans="1:20" s="1451" customFormat="1" x14ac:dyDescent="0.25">
      <c r="A1989" s="1422" t="s">
        <v>1299</v>
      </c>
      <c r="B1989" s="859" t="str">
        <f ca="1">IF('Pricing Schedule'!$K$5="No",_xlfn.CONCAT(IFERROR(SUBSTITUTE(ADDRESS(1,MATCH(A1989,INDIRECT("'"&amp;E1989&amp;"'"&amp;"!A10:Z10"),0),4),1,""),""),11),_xlfn.CONCAT(IFERROR(SUBSTITUTE(ADDRESS(1,MATCH(A1989,INDIRECT("'"&amp;E1989&amp;"'"&amp;"!A10:Z10"),0),4),1,""),""),35))</f>
        <v>K11</v>
      </c>
      <c r="C1989" s="859" t="str">
        <f ca="1">IF('Pricing Schedule'!$K$5="No",IFERROR(SUBSTITUTE(ADDRESS(1,MATCH(A1989,INDIRECT("'"&amp;E1989&amp;"'"&amp;"!A10:Z10"),0),4),1,""),""),IFERROR(SUBSTITUTE(ADDRESS(1,MATCH(A1989,INDIRECT("'"&amp;E1989&amp;"'"&amp;"!A10:Z10"),0),4),1,""),""))</f>
        <v>K</v>
      </c>
      <c r="D1989" s="859" t="s">
        <v>1374</v>
      </c>
      <c r="E1989" s="859" t="s">
        <v>1291</v>
      </c>
      <c r="F1989" s="1440" t="s">
        <v>1299</v>
      </c>
      <c r="G1989" s="52" t="s">
        <v>1377</v>
      </c>
      <c r="H1989" s="52" t="s">
        <v>1303</v>
      </c>
      <c r="I1989" s="241"/>
    </row>
    <row r="1990" spans="1:20" s="1451" customFormat="1" x14ac:dyDescent="0.25">
      <c r="A1990" s="925" t="s">
        <v>1510</v>
      </c>
      <c r="B1990" s="897" t="str">
        <f ca="1">IFERROR(_xlfn.CONCAT("C",MATCH(A1990,INDIRECT("'"&amp;E1990&amp;"'!C"&amp;$O$1991&amp;":C"&amp;$O$1993),0)+$O$1991-1),"")</f>
        <v/>
      </c>
      <c r="C1990" s="897" t="str">
        <f ca="1">IFERROR(_xlfn.CONCAT("D",MATCH(A1990,INDIRECT("'"&amp;E1990&amp;"'!C"&amp;$O$1991&amp;":C"&amp;$O$1993),0)+$O$1991-1),"")</f>
        <v/>
      </c>
      <c r="D1990" s="897" t="s">
        <v>1367</v>
      </c>
      <c r="E1990" s="897" t="s">
        <v>1535</v>
      </c>
      <c r="F1990" s="897" t="s">
        <v>1510</v>
      </c>
      <c r="G1990" s="1453" t="str">
        <f>IF(T1990&lt;&gt;"","A","")</f>
        <v/>
      </c>
      <c r="H1990" s="1453" t="s">
        <v>1926</v>
      </c>
      <c r="I1990" s="897"/>
      <c r="J1990" s="897"/>
      <c r="K1990" s="897"/>
      <c r="L1990" s="897"/>
      <c r="M1990" s="1460"/>
      <c r="N1990" s="897"/>
      <c r="O1990" s="1451" t="s">
        <v>726</v>
      </c>
      <c r="R1990" s="1453" t="s">
        <v>2084</v>
      </c>
      <c r="T1990" s="1453" t="str">
        <f>IF(Q$1991="Yes",36,"")</f>
        <v/>
      </c>
    </row>
    <row r="1991" spans="1:20" s="1451" customFormat="1" x14ac:dyDescent="0.25">
      <c r="A1991" s="925" t="s">
        <v>1724</v>
      </c>
      <c r="B1991" s="897"/>
      <c r="C1991" s="897"/>
      <c r="D1991" s="897" t="s">
        <v>1367</v>
      </c>
      <c r="E1991" s="897" t="s">
        <v>1535</v>
      </c>
      <c r="F1991" s="897"/>
      <c r="G1991" s="1453"/>
      <c r="H1991" s="1453"/>
      <c r="I1991" s="897"/>
      <c r="J1991" s="897"/>
      <c r="K1991" s="897"/>
      <c r="L1991" s="897"/>
      <c r="M1991" s="1460"/>
      <c r="N1991" s="897"/>
      <c r="O1991" s="1451">
        <v>503</v>
      </c>
      <c r="P1991" s="18">
        <f>'Configurable Tab'!J38</f>
        <v>0</v>
      </c>
      <c r="Q1991" s="1451" t="s">
        <v>649</v>
      </c>
      <c r="R1991" s="1453" t="s">
        <v>2084</v>
      </c>
      <c r="T1991" s="1453" t="str">
        <f t="shared" ref="T1991:T2000" si="354">IF(Q$1991="Yes",36,"")</f>
        <v/>
      </c>
    </row>
    <row r="1992" spans="1:20" s="1451" customFormat="1" x14ac:dyDescent="0.25">
      <c r="A1992" s="925" t="s">
        <v>1400</v>
      </c>
      <c r="B1992" s="897" t="str">
        <f ca="1">IFERROR(_xlfn.CONCAT("C",MATCH(A1992,INDIRECT("'"&amp;E1992&amp;"'!C"&amp;$O$1991&amp;":C"&amp;$O$1993),0)+$O$1991-1),"")</f>
        <v/>
      </c>
      <c r="C1992" s="897" t="str">
        <f ca="1">IFERROR(_xlfn.CONCAT("D",MATCH(A1992,INDIRECT("'"&amp;E1992&amp;"'!C"&amp;$O$1991&amp;":C"&amp;$O$1993),0)+$O$1991-1),"")</f>
        <v/>
      </c>
      <c r="D1992" s="897" t="s">
        <v>1367</v>
      </c>
      <c r="E1992" s="897" t="s">
        <v>1535</v>
      </c>
      <c r="F1992" s="897" t="s">
        <v>1400</v>
      </c>
      <c r="G1992" s="1453" t="str">
        <f>IF(T1992&lt;&gt;"","B","")</f>
        <v/>
      </c>
      <c r="H1992" s="1453" t="s">
        <v>1926</v>
      </c>
      <c r="I1992" s="897"/>
      <c r="J1992" s="897"/>
      <c r="K1992" s="897"/>
      <c r="L1992" s="897"/>
      <c r="M1992" s="1460"/>
      <c r="N1992" s="897"/>
      <c r="O1992" s="1451" t="s">
        <v>727</v>
      </c>
      <c r="R1992" s="1453" t="s">
        <v>2084</v>
      </c>
      <c r="T1992" s="1453" t="str">
        <f t="shared" si="354"/>
        <v/>
      </c>
    </row>
    <row r="1993" spans="1:20" s="1451" customFormat="1" x14ac:dyDescent="0.25">
      <c r="A1993" s="925" t="s">
        <v>1398</v>
      </c>
      <c r="B1993" s="897"/>
      <c r="C1993" s="897"/>
      <c r="D1993" s="897" t="s">
        <v>1367</v>
      </c>
      <c r="E1993" s="897" t="s">
        <v>1535</v>
      </c>
      <c r="F1993" s="897" t="s">
        <v>1928</v>
      </c>
      <c r="G1993" s="1453" t="str">
        <f>IF(T1993&lt;&gt;"","I","")</f>
        <v/>
      </c>
      <c r="H1993" s="1453" t="s">
        <v>1926</v>
      </c>
      <c r="I1993" s="897"/>
      <c r="J1993" s="897"/>
      <c r="K1993" s="897"/>
      <c r="L1993" s="897"/>
      <c r="M1993" s="1460"/>
      <c r="N1993" s="897"/>
      <c r="O1993" s="1451">
        <v>516</v>
      </c>
      <c r="R1993" s="1453" t="s">
        <v>2084</v>
      </c>
      <c r="T1993" s="1453" t="str">
        <f t="shared" si="354"/>
        <v/>
      </c>
    </row>
    <row r="1994" spans="1:20" s="1451" customFormat="1" x14ac:dyDescent="0.25">
      <c r="A1994" s="925" t="s">
        <v>1399</v>
      </c>
      <c r="B1994" s="897"/>
      <c r="C1994" s="897"/>
      <c r="D1994" s="897" t="s">
        <v>1367</v>
      </c>
      <c r="E1994" s="897" t="s">
        <v>1535</v>
      </c>
      <c r="F1994" s="897" t="s">
        <v>1399</v>
      </c>
      <c r="G1994" s="1453" t="str">
        <f>IF(T1994&lt;&gt;"",IF(Q1993="Credit Memo","J",IF(Q1993="Check","K","")),"")</f>
        <v/>
      </c>
      <c r="H1994" s="1453" t="s">
        <v>1926</v>
      </c>
      <c r="I1994" s="897"/>
      <c r="J1994" s="897"/>
      <c r="K1994" s="897"/>
      <c r="L1994" s="897"/>
      <c r="M1994" s="1460"/>
      <c r="N1994" s="897"/>
      <c r="O1994" s="1451" t="s">
        <v>2085</v>
      </c>
      <c r="R1994" s="1453" t="s">
        <v>2084</v>
      </c>
      <c r="T1994" s="1453" t="str">
        <f t="shared" si="354"/>
        <v/>
      </c>
    </row>
    <row r="1995" spans="1:20" s="1451" customFormat="1" x14ac:dyDescent="0.25">
      <c r="A1995" s="925" t="s">
        <v>1402</v>
      </c>
      <c r="B1995" s="897" t="str">
        <f ca="1">IFERROR(_xlfn.CONCAT("C",MATCH(A1995,INDIRECT("'"&amp;E1995&amp;"'!C"&amp;$O$1991&amp;":C"&amp;$O$1993),0)+$O$1991-1),"")</f>
        <v/>
      </c>
      <c r="C1995" s="897" t="str">
        <f ca="1">IFERROR(_xlfn.CONCAT("D",MATCH(A1995,INDIRECT("'"&amp;E1995&amp;"'!C"&amp;$O$1991&amp;":C"&amp;$O$1993),0)+$O$1991-1),"")</f>
        <v/>
      </c>
      <c r="D1995" s="897" t="s">
        <v>1367</v>
      </c>
      <c r="E1995" s="897" t="s">
        <v>1535</v>
      </c>
      <c r="F1995" s="897" t="s">
        <v>1402</v>
      </c>
      <c r="G1995" s="1453" t="str">
        <f>IF(T1995&lt;&gt;"","C","")</f>
        <v/>
      </c>
      <c r="H1995" s="1453" t="s">
        <v>1926</v>
      </c>
      <c r="I1995" s="897"/>
      <c r="J1995" s="897"/>
      <c r="K1995" s="897"/>
      <c r="L1995" s="897"/>
      <c r="M1995" s="1460"/>
      <c r="N1995" s="897"/>
      <c r="R1995" s="1453" t="s">
        <v>2084</v>
      </c>
      <c r="T1995" s="1453" t="str">
        <f t="shared" si="354"/>
        <v/>
      </c>
    </row>
    <row r="1996" spans="1:20" s="1451" customFormat="1" x14ac:dyDescent="0.25">
      <c r="A1996" s="925" t="s">
        <v>1403</v>
      </c>
      <c r="B1996" s="897" t="str">
        <f ca="1">IFERROR(_xlfn.CONCAT("C",MATCH(A1996,INDIRECT("'"&amp;E1996&amp;"'!C"&amp;$O$1991&amp;":C"&amp;$O$1993),0)+$O$1991-1),"")</f>
        <v/>
      </c>
      <c r="C1996" s="897" t="str">
        <f ca="1">IFERROR(_xlfn.CONCAT("D",MATCH(A1996,INDIRECT("'"&amp;E1996&amp;"'!C"&amp;$O$1991&amp;":C"&amp;$O$1993),0)+$O$1991-1),"")</f>
        <v/>
      </c>
      <c r="D1996" s="897" t="s">
        <v>1367</v>
      </c>
      <c r="E1996" s="897" t="s">
        <v>1535</v>
      </c>
      <c r="F1996" s="897" t="s">
        <v>1403</v>
      </c>
      <c r="G1996" s="1453" t="str">
        <f>IF(T1996&lt;&gt;"","D","")</f>
        <v/>
      </c>
      <c r="H1996" s="1453" t="s">
        <v>1926</v>
      </c>
      <c r="I1996" s="897"/>
      <c r="J1996" s="897"/>
      <c r="K1996" s="897"/>
      <c r="L1996" s="897"/>
      <c r="M1996" s="1460"/>
      <c r="N1996" s="897"/>
      <c r="R1996" s="1453" t="s">
        <v>2084</v>
      </c>
      <c r="T1996" s="1453" t="str">
        <f t="shared" si="354"/>
        <v/>
      </c>
    </row>
    <row r="1997" spans="1:20" s="1451" customFormat="1" x14ac:dyDescent="0.25">
      <c r="A1997" s="925" t="s">
        <v>1413</v>
      </c>
      <c r="B1997" s="897"/>
      <c r="C1997" s="897"/>
      <c r="D1997" s="897" t="s">
        <v>1367</v>
      </c>
      <c r="E1997" s="897" t="s">
        <v>1535</v>
      </c>
      <c r="F1997" s="1453" t="s">
        <v>1413</v>
      </c>
      <c r="G1997" s="1453" t="str">
        <f>IF(T1997&lt;&gt;"","S","")</f>
        <v/>
      </c>
      <c r="H1997" s="1453" t="s">
        <v>1926</v>
      </c>
      <c r="I1997" s="897"/>
      <c r="J1997" s="897"/>
      <c r="K1997" s="897"/>
      <c r="L1997" s="897"/>
      <c r="M1997" s="1460"/>
      <c r="N1997" s="897"/>
      <c r="R1997" s="1453" t="s">
        <v>2084</v>
      </c>
      <c r="T1997" s="1453" t="str">
        <f t="shared" si="354"/>
        <v/>
      </c>
    </row>
    <row r="1998" spans="1:20" s="1451" customFormat="1" x14ac:dyDescent="0.25">
      <c r="A1998" s="925" t="s">
        <v>2086</v>
      </c>
      <c r="B1998" s="897"/>
      <c r="C1998" s="897"/>
      <c r="D1998" s="897" t="s">
        <v>1367</v>
      </c>
      <c r="E1998" s="897" t="s">
        <v>1535</v>
      </c>
      <c r="F1998" s="897" t="s">
        <v>2086</v>
      </c>
      <c r="G1998" s="1453" t="str">
        <f>IF(T1998&lt;&gt;"","AQ","")</f>
        <v/>
      </c>
      <c r="H1998" s="1453" t="s">
        <v>1926</v>
      </c>
      <c r="I1998" s="897"/>
      <c r="J1998" s="897"/>
      <c r="K1998" s="897"/>
      <c r="L1998" s="897"/>
      <c r="M1998" s="1460"/>
      <c r="N1998" s="897"/>
      <c r="R1998" s="1453" t="s">
        <v>2084</v>
      </c>
      <c r="T1998" s="1453" t="str">
        <f t="shared" si="354"/>
        <v/>
      </c>
    </row>
    <row r="1999" spans="1:20" s="1451" customFormat="1" x14ac:dyDescent="0.25">
      <c r="A1999" s="925" t="s">
        <v>1501</v>
      </c>
      <c r="B1999" s="897"/>
      <c r="C1999" s="897"/>
      <c r="D1999" s="897" t="s">
        <v>1367</v>
      </c>
      <c r="E1999" s="897" t="s">
        <v>1535</v>
      </c>
      <c r="F1999" s="897" t="s">
        <v>2087</v>
      </c>
      <c r="G1999" s="1453" t="str">
        <f>IF(T1999&lt;&gt;"","AA","")</f>
        <v/>
      </c>
      <c r="H1999" s="1453" t="s">
        <v>1926</v>
      </c>
      <c r="I1999" s="897"/>
      <c r="J1999" s="897"/>
      <c r="K1999" s="897"/>
      <c r="L1999" s="897"/>
      <c r="M1999" s="1460"/>
      <c r="N1999" s="897"/>
      <c r="R1999" s="1453" t="s">
        <v>2084</v>
      </c>
      <c r="T1999" s="1453" t="str">
        <f t="shared" si="354"/>
        <v/>
      </c>
    </row>
    <row r="2000" spans="1:20" s="1451" customFormat="1" x14ac:dyDescent="0.25">
      <c r="A2000" s="925" t="s">
        <v>1414</v>
      </c>
      <c r="B2000" s="897"/>
      <c r="C2000" s="897"/>
      <c r="D2000" s="897" t="s">
        <v>1367</v>
      </c>
      <c r="E2000" s="897" t="s">
        <v>1535</v>
      </c>
      <c r="F2000" s="897" t="s">
        <v>1929</v>
      </c>
      <c r="G2000" s="1453" t="str">
        <f>IF(T2000&lt;&gt;"","H","")</f>
        <v/>
      </c>
      <c r="H2000" s="1453" t="s">
        <v>1926</v>
      </c>
      <c r="I2000" s="897"/>
      <c r="J2000" s="897"/>
      <c r="K2000" s="897"/>
      <c r="L2000" s="897"/>
      <c r="M2000" s="1460"/>
      <c r="N2000" s="897"/>
      <c r="R2000" s="1453" t="s">
        <v>2084</v>
      </c>
      <c r="T2000" s="1453" t="str">
        <f t="shared" si="354"/>
        <v/>
      </c>
    </row>
    <row r="2001" spans="1:20" s="1451" customFormat="1" x14ac:dyDescent="0.25">
      <c r="A2001" s="928" t="s">
        <v>1510</v>
      </c>
      <c r="B2001" s="897" t="str">
        <f ca="1">IFERROR(_xlfn.CONCAT("C",MATCH(A2001,INDIRECT("'"&amp;E2001&amp;"'!C"&amp;$O$2002&amp;":C"&amp;$O$2004),0)+$O$2002-1),"")</f>
        <v/>
      </c>
      <c r="C2001" s="897" t="str">
        <f ca="1">IFERROR(_xlfn.CONCAT("D",MATCH(A2001,INDIRECT("'"&amp;E2001&amp;"'!C"&amp;$O$2002&amp;":C"&amp;$O$2004),0)+$O$2002-1),"")</f>
        <v/>
      </c>
      <c r="D2001" s="897" t="s">
        <v>1367</v>
      </c>
      <c r="E2001" s="897" t="s">
        <v>1535</v>
      </c>
      <c r="F2001" s="897" t="s">
        <v>1510</v>
      </c>
      <c r="G2001" s="1453" t="str">
        <f>IF(T2001&lt;&gt;"","A","")</f>
        <v/>
      </c>
      <c r="H2001" s="1453" t="s">
        <v>1926</v>
      </c>
      <c r="I2001" s="897"/>
      <c r="J2001" s="897"/>
      <c r="K2001" s="897"/>
      <c r="L2001" s="897"/>
      <c r="M2001" s="1460"/>
      <c r="N2001" s="897"/>
      <c r="O2001" s="1451" t="s">
        <v>726</v>
      </c>
      <c r="R2001" s="1453" t="s">
        <v>2088</v>
      </c>
      <c r="T2001" s="1453" t="str">
        <f>IF(Q$2002="Yes",37,"")</f>
        <v/>
      </c>
    </row>
    <row r="2002" spans="1:20" s="1451" customFormat="1" x14ac:dyDescent="0.25">
      <c r="A2002" s="928" t="s">
        <v>1724</v>
      </c>
      <c r="B2002" s="897"/>
      <c r="C2002" s="897"/>
      <c r="D2002" s="897" t="s">
        <v>1367</v>
      </c>
      <c r="E2002" s="897" t="s">
        <v>1535</v>
      </c>
      <c r="F2002" s="897"/>
      <c r="G2002" s="1453"/>
      <c r="H2002" s="1453"/>
      <c r="I2002" s="897"/>
      <c r="J2002" s="897"/>
      <c r="K2002" s="897"/>
      <c r="L2002" s="897"/>
      <c r="M2002" s="1460"/>
      <c r="N2002" s="897"/>
      <c r="O2002" s="1451">
        <v>517</v>
      </c>
      <c r="P2002" s="18">
        <f>'Configurable Tab'!J39</f>
        <v>0</v>
      </c>
      <c r="Q2002" s="1451" t="s">
        <v>649</v>
      </c>
      <c r="R2002" s="1453" t="s">
        <v>2088</v>
      </c>
      <c r="T2002" s="1453" t="str">
        <f t="shared" ref="T2002:T2011" si="355">IF(Q$2002="Yes",37,"")</f>
        <v/>
      </c>
    </row>
    <row r="2003" spans="1:20" s="1451" customFormat="1" x14ac:dyDescent="0.25">
      <c r="A2003" s="928" t="s">
        <v>1400</v>
      </c>
      <c r="B2003" s="897" t="str">
        <f ca="1">IFERROR(_xlfn.CONCAT("C",MATCH(A2003,INDIRECT("'"&amp;E2003&amp;"'!C"&amp;$O$2002&amp;":C"&amp;$O$2004),0)+$O$2002-1),"")</f>
        <v/>
      </c>
      <c r="C2003" s="897" t="str">
        <f ca="1">IFERROR(_xlfn.CONCAT("D",MATCH(A2003,INDIRECT("'"&amp;E2003&amp;"'!C"&amp;$O$2002&amp;":C"&amp;$O$2004),0)+$O$2002-1),"")</f>
        <v/>
      </c>
      <c r="D2003" s="897" t="s">
        <v>1367</v>
      </c>
      <c r="E2003" s="897" t="s">
        <v>1535</v>
      </c>
      <c r="F2003" s="897" t="s">
        <v>1400</v>
      </c>
      <c r="G2003" s="1453" t="str">
        <f>IF(T2003&lt;&gt;"","B","")</f>
        <v/>
      </c>
      <c r="H2003" s="1453" t="s">
        <v>1926</v>
      </c>
      <c r="I2003" s="897"/>
      <c r="J2003" s="897"/>
      <c r="K2003" s="897"/>
      <c r="L2003" s="897"/>
      <c r="M2003" s="1460"/>
      <c r="N2003" s="897"/>
      <c r="O2003" s="1451" t="s">
        <v>727</v>
      </c>
      <c r="R2003" s="1453" t="s">
        <v>2088</v>
      </c>
      <c r="T2003" s="1453" t="str">
        <f t="shared" si="355"/>
        <v/>
      </c>
    </row>
    <row r="2004" spans="1:20" s="1451" customFormat="1" x14ac:dyDescent="0.25">
      <c r="A2004" s="928" t="s">
        <v>1398</v>
      </c>
      <c r="B2004" s="897"/>
      <c r="C2004" s="897"/>
      <c r="D2004" s="897" t="s">
        <v>1367</v>
      </c>
      <c r="E2004" s="897" t="s">
        <v>1535</v>
      </c>
      <c r="F2004" s="897" t="s">
        <v>1928</v>
      </c>
      <c r="G2004" s="1453" t="str">
        <f>IF(T2004&lt;&gt;"","I","")</f>
        <v/>
      </c>
      <c r="H2004" s="1453" t="s">
        <v>1926</v>
      </c>
      <c r="I2004" s="897"/>
      <c r="J2004" s="897"/>
      <c r="K2004" s="897"/>
      <c r="L2004" s="897"/>
      <c r="M2004" s="1460"/>
      <c r="N2004" s="897"/>
      <c r="O2004" s="1451">
        <v>530</v>
      </c>
      <c r="R2004" s="1453" t="s">
        <v>2088</v>
      </c>
      <c r="T2004" s="1453" t="str">
        <f t="shared" si="355"/>
        <v/>
      </c>
    </row>
    <row r="2005" spans="1:20" s="1451" customFormat="1" x14ac:dyDescent="0.25">
      <c r="A2005" s="928" t="s">
        <v>1399</v>
      </c>
      <c r="B2005" s="897"/>
      <c r="C2005" s="897"/>
      <c r="D2005" s="897" t="s">
        <v>1367</v>
      </c>
      <c r="E2005" s="897" t="s">
        <v>1535</v>
      </c>
      <c r="F2005" s="897" t="s">
        <v>1399</v>
      </c>
      <c r="G2005" s="1453" t="str">
        <f>IF(T2005&lt;&gt;"",IF(Q2004="Credit Memo","J",IF(Q2004="Check","K","")),"")</f>
        <v/>
      </c>
      <c r="H2005" s="1453" t="s">
        <v>1926</v>
      </c>
      <c r="I2005" s="897"/>
      <c r="J2005" s="897"/>
      <c r="K2005" s="897"/>
      <c r="L2005" s="897"/>
      <c r="M2005" s="1460"/>
      <c r="N2005" s="897"/>
      <c r="O2005" s="1451" t="s">
        <v>2089</v>
      </c>
      <c r="R2005" s="1453" t="s">
        <v>2088</v>
      </c>
      <c r="T2005" s="1453" t="str">
        <f t="shared" si="355"/>
        <v/>
      </c>
    </row>
    <row r="2006" spans="1:20" s="1451" customFormat="1" x14ac:dyDescent="0.25">
      <c r="A2006" s="928" t="s">
        <v>1402</v>
      </c>
      <c r="B2006" s="897" t="str">
        <f ca="1">IFERROR(_xlfn.CONCAT("C",MATCH(A2006,INDIRECT("'"&amp;E2006&amp;"'!C"&amp;$O$2002&amp;":C"&amp;$O$2004),0)+$O$2002-1),"")</f>
        <v/>
      </c>
      <c r="C2006" s="897" t="str">
        <f ca="1">IFERROR(_xlfn.CONCAT("D",MATCH(A2006,INDIRECT("'"&amp;E2006&amp;"'!C"&amp;$O$2002&amp;":C"&amp;$O$2004),0)+$O$2002-1),"")</f>
        <v/>
      </c>
      <c r="D2006" s="897" t="s">
        <v>1367</v>
      </c>
      <c r="E2006" s="897" t="s">
        <v>1535</v>
      </c>
      <c r="F2006" s="897" t="s">
        <v>1402</v>
      </c>
      <c r="G2006" s="1453" t="str">
        <f>IF(T2006&lt;&gt;"","C","")</f>
        <v/>
      </c>
      <c r="H2006" s="1453" t="s">
        <v>1926</v>
      </c>
      <c r="I2006" s="897"/>
      <c r="J2006" s="897"/>
      <c r="K2006" s="897"/>
      <c r="L2006" s="897"/>
      <c r="M2006" s="1460"/>
      <c r="N2006" s="897"/>
      <c r="R2006" s="1453" t="s">
        <v>2088</v>
      </c>
      <c r="T2006" s="1453" t="str">
        <f t="shared" si="355"/>
        <v/>
      </c>
    </row>
    <row r="2007" spans="1:20" s="1451" customFormat="1" x14ac:dyDescent="0.25">
      <c r="A2007" s="928" t="s">
        <v>1403</v>
      </c>
      <c r="B2007" s="897" t="str">
        <f ca="1">IFERROR(_xlfn.CONCAT("C",MATCH(A2007,INDIRECT("'"&amp;E2007&amp;"'!C"&amp;$O$2002&amp;":C"&amp;$O$2004),0)+$O$2002-1),"")</f>
        <v/>
      </c>
      <c r="C2007" s="897" t="str">
        <f ca="1">IFERROR(_xlfn.CONCAT("D",MATCH(A2007,INDIRECT("'"&amp;E2007&amp;"'!C"&amp;$O$2002&amp;":C"&amp;$O$2004),0)+$O$2002-1),"")</f>
        <v/>
      </c>
      <c r="D2007" s="897" t="s">
        <v>1367</v>
      </c>
      <c r="E2007" s="897" t="s">
        <v>1535</v>
      </c>
      <c r="F2007" s="897" t="s">
        <v>1403</v>
      </c>
      <c r="G2007" s="1453" t="str">
        <f>IF(T2007&lt;&gt;"","D","")</f>
        <v/>
      </c>
      <c r="H2007" s="1453" t="s">
        <v>1926</v>
      </c>
      <c r="I2007" s="897"/>
      <c r="J2007" s="897"/>
      <c r="K2007" s="897"/>
      <c r="L2007" s="897"/>
      <c r="M2007" s="1460"/>
      <c r="N2007" s="897"/>
      <c r="R2007" s="1453" t="s">
        <v>2088</v>
      </c>
      <c r="T2007" s="1453" t="str">
        <f t="shared" si="355"/>
        <v/>
      </c>
    </row>
    <row r="2008" spans="1:20" s="1451" customFormat="1" x14ac:dyDescent="0.25">
      <c r="A2008" s="928" t="s">
        <v>1413</v>
      </c>
      <c r="B2008" s="897"/>
      <c r="C2008" s="897"/>
      <c r="D2008" s="897" t="s">
        <v>1367</v>
      </c>
      <c r="E2008" s="897" t="s">
        <v>1535</v>
      </c>
      <c r="F2008" s="1453" t="s">
        <v>1413</v>
      </c>
      <c r="G2008" s="1453" t="str">
        <f t="shared" ref="G2008:G2052" si="356">IF(T2008&lt;&gt;"","S","")</f>
        <v/>
      </c>
      <c r="H2008" s="1453" t="s">
        <v>1926</v>
      </c>
      <c r="I2008" s="897"/>
      <c r="J2008" s="897"/>
      <c r="K2008" s="897"/>
      <c r="L2008" s="897"/>
      <c r="M2008" s="1460"/>
      <c r="N2008" s="897"/>
      <c r="R2008" s="1453" t="s">
        <v>2088</v>
      </c>
      <c r="T2008" s="1453" t="str">
        <f t="shared" si="355"/>
        <v/>
      </c>
    </row>
    <row r="2009" spans="1:20" s="1451" customFormat="1" x14ac:dyDescent="0.25">
      <c r="A2009" s="928" t="s">
        <v>2086</v>
      </c>
      <c r="B2009" s="897"/>
      <c r="C2009" s="897"/>
      <c r="D2009" s="897" t="s">
        <v>1367</v>
      </c>
      <c r="E2009" s="897" t="s">
        <v>1535</v>
      </c>
      <c r="F2009" s="897" t="s">
        <v>2086</v>
      </c>
      <c r="G2009" s="1453" t="str">
        <f>IF(T2009&lt;&gt;"","AQ","")</f>
        <v/>
      </c>
      <c r="H2009" s="1453" t="s">
        <v>1926</v>
      </c>
      <c r="I2009" s="897"/>
      <c r="J2009" s="897"/>
      <c r="K2009" s="897"/>
      <c r="L2009" s="897"/>
      <c r="M2009" s="1460"/>
      <c r="N2009" s="897"/>
      <c r="R2009" s="1453" t="s">
        <v>2088</v>
      </c>
      <c r="T2009" s="1453" t="str">
        <f t="shared" si="355"/>
        <v/>
      </c>
    </row>
    <row r="2010" spans="1:20" s="1451" customFormat="1" x14ac:dyDescent="0.25">
      <c r="A2010" s="928" t="s">
        <v>1501</v>
      </c>
      <c r="B2010" s="897"/>
      <c r="C2010" s="897"/>
      <c r="D2010" s="897" t="s">
        <v>1367</v>
      </c>
      <c r="E2010" s="897" t="s">
        <v>1535</v>
      </c>
      <c r="F2010" s="897" t="s">
        <v>2087</v>
      </c>
      <c r="G2010" s="1453" t="str">
        <f>IF(T2010&lt;&gt;"","AA","")</f>
        <v/>
      </c>
      <c r="H2010" s="1453" t="s">
        <v>1926</v>
      </c>
      <c r="I2010" s="897"/>
      <c r="J2010" s="897"/>
      <c r="K2010" s="897"/>
      <c r="L2010" s="897"/>
      <c r="M2010" s="1460"/>
      <c r="N2010" s="897"/>
      <c r="R2010" s="1453" t="s">
        <v>2088</v>
      </c>
      <c r="T2010" s="1453" t="str">
        <f t="shared" si="355"/>
        <v/>
      </c>
    </row>
    <row r="2011" spans="1:20" s="1451" customFormat="1" x14ac:dyDescent="0.25">
      <c r="A2011" s="928" t="s">
        <v>1414</v>
      </c>
      <c r="B2011" s="897"/>
      <c r="C2011" s="897"/>
      <c r="D2011" s="897" t="s">
        <v>1367</v>
      </c>
      <c r="E2011" s="897" t="s">
        <v>1535</v>
      </c>
      <c r="F2011" s="897" t="s">
        <v>1929</v>
      </c>
      <c r="G2011" s="1453" t="str">
        <f>IF(T2011&lt;&gt;"","H","")</f>
        <v/>
      </c>
      <c r="H2011" s="1453" t="s">
        <v>1926</v>
      </c>
      <c r="I2011" s="897"/>
      <c r="J2011" s="897"/>
      <c r="K2011" s="897"/>
      <c r="L2011" s="897"/>
      <c r="M2011" s="1460"/>
      <c r="N2011" s="897"/>
      <c r="R2011" s="1453" t="s">
        <v>2088</v>
      </c>
      <c r="T2011" s="1453" t="str">
        <f t="shared" si="355"/>
        <v/>
      </c>
    </row>
    <row r="2012" spans="1:20" s="1451" customFormat="1" x14ac:dyDescent="0.25">
      <c r="A2012" s="925" t="s">
        <v>1510</v>
      </c>
      <c r="B2012" s="897" t="str">
        <f ca="1">IFERROR(_xlfn.CONCAT("C",MATCH(A2012,INDIRECT("'"&amp;E2012&amp;"'!C"&amp;$O$2013&amp;":C"&amp;$O$2015),0)+$O$2013-1),"")</f>
        <v/>
      </c>
      <c r="C2012" s="897" t="str">
        <f ca="1">IFERROR(_xlfn.CONCAT("D",MATCH(A2012,INDIRECT("'"&amp;E2012&amp;"'!C"&amp;$O$2013&amp;":C"&amp;$O$2015),0)+$O$2013-1),"")</f>
        <v/>
      </c>
      <c r="D2012" s="897" t="s">
        <v>1367</v>
      </c>
      <c r="E2012" s="897" t="s">
        <v>1535</v>
      </c>
      <c r="F2012" s="897" t="s">
        <v>1510</v>
      </c>
      <c r="G2012" s="1453" t="str">
        <f>IF(T2012&lt;&gt;"","A","")</f>
        <v/>
      </c>
      <c r="H2012" s="1453" t="s">
        <v>1926</v>
      </c>
      <c r="I2012" s="897"/>
      <c r="J2012" s="897"/>
      <c r="K2012" s="897"/>
      <c r="L2012" s="897"/>
      <c r="M2012" s="1460"/>
      <c r="N2012" s="897"/>
      <c r="O2012" s="1451" t="s">
        <v>726</v>
      </c>
      <c r="R2012" s="1453" t="s">
        <v>2090</v>
      </c>
      <c r="T2012" s="1453" t="str">
        <f>IF(Q$2013="Yes",38,"")</f>
        <v/>
      </c>
    </row>
    <row r="2013" spans="1:20" s="1451" customFormat="1" x14ac:dyDescent="0.25">
      <c r="A2013" s="925" t="s">
        <v>1724</v>
      </c>
      <c r="B2013" s="897"/>
      <c r="C2013" s="897"/>
      <c r="D2013" s="897" t="s">
        <v>1367</v>
      </c>
      <c r="E2013" s="897" t="s">
        <v>1535</v>
      </c>
      <c r="F2013" s="897"/>
      <c r="G2013" s="1453"/>
      <c r="H2013" s="1453"/>
      <c r="I2013" s="897"/>
      <c r="J2013" s="897"/>
      <c r="K2013" s="897"/>
      <c r="L2013" s="897"/>
      <c r="M2013" s="1460"/>
      <c r="N2013" s="897"/>
      <c r="O2013" s="1451">
        <v>531</v>
      </c>
      <c r="P2013" s="18">
        <f>'Configurable Tab'!J40</f>
        <v>0</v>
      </c>
      <c r="Q2013" s="1451" t="s">
        <v>649</v>
      </c>
      <c r="R2013" s="1453" t="s">
        <v>2090</v>
      </c>
      <c r="T2013" s="1453" t="str">
        <f t="shared" ref="T2013:T2022" si="357">IF(Q$2013="Yes",38,"")</f>
        <v/>
      </c>
    </row>
    <row r="2014" spans="1:20" s="1451" customFormat="1" x14ac:dyDescent="0.25">
      <c r="A2014" s="925" t="s">
        <v>1400</v>
      </c>
      <c r="B2014" s="897" t="str">
        <f ca="1">IFERROR(_xlfn.CONCAT("C",MATCH(A2014,INDIRECT("'"&amp;E2014&amp;"'!C"&amp;$O$2013&amp;":C"&amp;$O$2015),0)+$O$2013-1),"")</f>
        <v/>
      </c>
      <c r="C2014" s="897" t="str">
        <f ca="1">IFERROR(_xlfn.CONCAT("D",MATCH(A2014,INDIRECT("'"&amp;E2014&amp;"'!C"&amp;$O$2013&amp;":C"&amp;$O$2015),0)+$O$2013-1),"")</f>
        <v/>
      </c>
      <c r="D2014" s="897" t="s">
        <v>1367</v>
      </c>
      <c r="E2014" s="897" t="s">
        <v>1535</v>
      </c>
      <c r="F2014" s="897" t="s">
        <v>1400</v>
      </c>
      <c r="G2014" s="1453" t="str">
        <f>IF(T2014&lt;&gt;"","B","")</f>
        <v/>
      </c>
      <c r="H2014" s="1453" t="s">
        <v>1926</v>
      </c>
      <c r="I2014" s="897"/>
      <c r="J2014" s="897"/>
      <c r="K2014" s="897"/>
      <c r="L2014" s="897"/>
      <c r="M2014" s="1460"/>
      <c r="N2014" s="897"/>
      <c r="O2014" s="1451" t="s">
        <v>727</v>
      </c>
      <c r="R2014" s="1453" t="s">
        <v>2090</v>
      </c>
      <c r="T2014" s="1453" t="str">
        <f t="shared" si="357"/>
        <v/>
      </c>
    </row>
    <row r="2015" spans="1:20" s="1451" customFormat="1" x14ac:dyDescent="0.25">
      <c r="A2015" s="925" t="s">
        <v>1398</v>
      </c>
      <c r="B2015" s="897"/>
      <c r="C2015" s="897"/>
      <c r="D2015" s="897" t="s">
        <v>1367</v>
      </c>
      <c r="E2015" s="897" t="s">
        <v>1535</v>
      </c>
      <c r="F2015" s="897" t="s">
        <v>1928</v>
      </c>
      <c r="G2015" s="1453" t="str">
        <f>IF(T2015&lt;&gt;"","I","")</f>
        <v/>
      </c>
      <c r="H2015" s="1453" t="s">
        <v>1926</v>
      </c>
      <c r="I2015" s="897"/>
      <c r="J2015" s="897"/>
      <c r="K2015" s="897"/>
      <c r="L2015" s="897"/>
      <c r="M2015" s="1460"/>
      <c r="N2015" s="897"/>
      <c r="O2015" s="1451">
        <v>544</v>
      </c>
      <c r="R2015" s="1453" t="s">
        <v>2090</v>
      </c>
      <c r="T2015" s="1453" t="str">
        <f t="shared" si="357"/>
        <v/>
      </c>
    </row>
    <row r="2016" spans="1:20" s="1451" customFormat="1" x14ac:dyDescent="0.25">
      <c r="A2016" s="925" t="s">
        <v>1399</v>
      </c>
      <c r="B2016" s="897"/>
      <c r="C2016" s="897"/>
      <c r="D2016" s="897" t="s">
        <v>1367</v>
      </c>
      <c r="E2016" s="897" t="s">
        <v>1535</v>
      </c>
      <c r="F2016" s="897" t="s">
        <v>1399</v>
      </c>
      <c r="G2016" s="1453" t="str">
        <f>IF(T2016&lt;&gt;"",IF(Q2015="Credit Memo","J",IF(Q2015="Check","K","")),"")</f>
        <v/>
      </c>
      <c r="H2016" s="1453" t="s">
        <v>1926</v>
      </c>
      <c r="I2016" s="897"/>
      <c r="J2016" s="897"/>
      <c r="K2016" s="897"/>
      <c r="L2016" s="897"/>
      <c r="M2016" s="1460"/>
      <c r="N2016" s="897"/>
      <c r="O2016" s="1451" t="s">
        <v>2091</v>
      </c>
      <c r="R2016" s="1453" t="s">
        <v>2090</v>
      </c>
      <c r="T2016" s="1453" t="str">
        <f t="shared" si="357"/>
        <v/>
      </c>
    </row>
    <row r="2017" spans="1:20" s="1451" customFormat="1" x14ac:dyDescent="0.25">
      <c r="A2017" s="925" t="s">
        <v>1402</v>
      </c>
      <c r="B2017" s="897" t="str">
        <f ca="1">IFERROR(_xlfn.CONCAT("C",MATCH(A2017,INDIRECT("'"&amp;E2017&amp;"'!C"&amp;$O$2013&amp;":C"&amp;$O$2015),0)+$O$2013-1),"")</f>
        <v/>
      </c>
      <c r="C2017" s="897" t="str">
        <f ca="1">IFERROR(_xlfn.CONCAT("D",MATCH(A2017,INDIRECT("'"&amp;E2017&amp;"'!C"&amp;$O$2013&amp;":C"&amp;$O$2015),0)+$O$2013-1),"")</f>
        <v/>
      </c>
      <c r="D2017" s="897" t="s">
        <v>1367</v>
      </c>
      <c r="E2017" s="897" t="s">
        <v>1535</v>
      </c>
      <c r="F2017" s="897" t="s">
        <v>1402</v>
      </c>
      <c r="G2017" s="1453" t="str">
        <f>IF(T2017&lt;&gt;"","C","")</f>
        <v/>
      </c>
      <c r="H2017" s="1453" t="s">
        <v>1926</v>
      </c>
      <c r="I2017" s="897"/>
      <c r="J2017" s="897"/>
      <c r="K2017" s="897"/>
      <c r="L2017" s="897"/>
      <c r="M2017" s="1460"/>
      <c r="N2017" s="897"/>
      <c r="R2017" s="1453" t="s">
        <v>2090</v>
      </c>
      <c r="T2017" s="1453" t="str">
        <f t="shared" si="357"/>
        <v/>
      </c>
    </row>
    <row r="2018" spans="1:20" s="1451" customFormat="1" ht="17.25" customHeight="1" x14ac:dyDescent="0.25">
      <c r="A2018" s="925" t="s">
        <v>1403</v>
      </c>
      <c r="B2018" s="897" t="str">
        <f ca="1">IFERROR(_xlfn.CONCAT("C",MATCH(A2018,INDIRECT("'"&amp;E2018&amp;"'!C"&amp;$O$2013&amp;":C"&amp;$O$2015),0)+$O$2013-1),"")</f>
        <v/>
      </c>
      <c r="C2018" s="897" t="str">
        <f ca="1">IFERROR(_xlfn.CONCAT("D",MATCH(A2018,INDIRECT("'"&amp;E2018&amp;"'!C"&amp;$O$2013&amp;":C"&amp;$O$2015),0)+$O$2013-1),"")</f>
        <v/>
      </c>
      <c r="D2018" s="897" t="s">
        <v>1367</v>
      </c>
      <c r="E2018" s="897" t="s">
        <v>1535</v>
      </c>
      <c r="F2018" s="897" t="s">
        <v>1403</v>
      </c>
      <c r="G2018" s="1453" t="str">
        <f>IF(T2018&lt;&gt;"","D","")</f>
        <v/>
      </c>
      <c r="H2018" s="1453" t="s">
        <v>1926</v>
      </c>
      <c r="I2018" s="897"/>
      <c r="J2018" s="897"/>
      <c r="K2018" s="897"/>
      <c r="L2018" s="897"/>
      <c r="M2018" s="1460"/>
      <c r="N2018" s="897"/>
      <c r="R2018" s="1453" t="s">
        <v>2090</v>
      </c>
      <c r="T2018" s="1453" t="str">
        <f t="shared" si="357"/>
        <v/>
      </c>
    </row>
    <row r="2019" spans="1:20" s="1451" customFormat="1" x14ac:dyDescent="0.25">
      <c r="A2019" s="925" t="s">
        <v>1413</v>
      </c>
      <c r="B2019" s="897"/>
      <c r="C2019" s="897"/>
      <c r="D2019" s="897" t="s">
        <v>1367</v>
      </c>
      <c r="E2019" s="897" t="s">
        <v>1535</v>
      </c>
      <c r="F2019" s="1453" t="s">
        <v>1413</v>
      </c>
      <c r="G2019" s="1453" t="str">
        <f t="shared" si="356"/>
        <v/>
      </c>
      <c r="H2019" s="1453" t="s">
        <v>1926</v>
      </c>
      <c r="I2019" s="897"/>
      <c r="J2019" s="897"/>
      <c r="K2019" s="897"/>
      <c r="L2019" s="897"/>
      <c r="M2019" s="1460"/>
      <c r="N2019" s="897"/>
      <c r="R2019" s="1453" t="s">
        <v>2090</v>
      </c>
      <c r="T2019" s="1453" t="str">
        <f t="shared" si="357"/>
        <v/>
      </c>
    </row>
    <row r="2020" spans="1:20" s="1451" customFormat="1" x14ac:dyDescent="0.25">
      <c r="A2020" s="925" t="s">
        <v>2086</v>
      </c>
      <c r="B2020" s="897"/>
      <c r="C2020" s="897"/>
      <c r="D2020" s="897" t="s">
        <v>1367</v>
      </c>
      <c r="E2020" s="897" t="s">
        <v>1535</v>
      </c>
      <c r="F2020" s="897" t="s">
        <v>2086</v>
      </c>
      <c r="G2020" s="1453" t="str">
        <f>IF(T2020&lt;&gt;"","AQ","")</f>
        <v/>
      </c>
      <c r="H2020" s="1453" t="s">
        <v>1926</v>
      </c>
      <c r="I2020" s="897"/>
      <c r="J2020" s="897"/>
      <c r="K2020" s="897"/>
      <c r="L2020" s="897"/>
      <c r="M2020" s="1460"/>
      <c r="N2020" s="897"/>
      <c r="R2020" s="1453" t="s">
        <v>2090</v>
      </c>
      <c r="T2020" s="1453" t="str">
        <f t="shared" si="357"/>
        <v/>
      </c>
    </row>
    <row r="2021" spans="1:20" s="1451" customFormat="1" x14ac:dyDescent="0.25">
      <c r="A2021" s="925" t="s">
        <v>1501</v>
      </c>
      <c r="B2021" s="897"/>
      <c r="C2021" s="897"/>
      <c r="D2021" s="897" t="s">
        <v>1367</v>
      </c>
      <c r="E2021" s="897" t="s">
        <v>1535</v>
      </c>
      <c r="F2021" s="897" t="s">
        <v>2087</v>
      </c>
      <c r="G2021" s="1453" t="str">
        <f>IF(T2021&lt;&gt;"","AA","")</f>
        <v/>
      </c>
      <c r="H2021" s="1453" t="s">
        <v>1926</v>
      </c>
      <c r="I2021" s="897"/>
      <c r="J2021" s="897"/>
      <c r="K2021" s="897"/>
      <c r="L2021" s="897"/>
      <c r="M2021" s="1460"/>
      <c r="N2021" s="897"/>
      <c r="R2021" s="1453" t="s">
        <v>2090</v>
      </c>
      <c r="T2021" s="1453" t="str">
        <f t="shared" si="357"/>
        <v/>
      </c>
    </row>
    <row r="2022" spans="1:20" s="1451" customFormat="1" x14ac:dyDescent="0.25">
      <c r="A2022" s="925" t="s">
        <v>1414</v>
      </c>
      <c r="B2022" s="897"/>
      <c r="C2022" s="897"/>
      <c r="D2022" s="897" t="s">
        <v>1367</v>
      </c>
      <c r="E2022" s="897" t="s">
        <v>1535</v>
      </c>
      <c r="F2022" s="897" t="s">
        <v>1929</v>
      </c>
      <c r="G2022" s="1453" t="str">
        <f>IF(T2022&lt;&gt;"","H","")</f>
        <v/>
      </c>
      <c r="H2022" s="1453" t="s">
        <v>1926</v>
      </c>
      <c r="I2022" s="897"/>
      <c r="J2022" s="897"/>
      <c r="K2022" s="897"/>
      <c r="L2022" s="897"/>
      <c r="M2022" s="1460"/>
      <c r="N2022" s="897"/>
      <c r="R2022" s="1453" t="s">
        <v>2090</v>
      </c>
      <c r="T2022" s="1453" t="str">
        <f t="shared" si="357"/>
        <v/>
      </c>
    </row>
    <row r="2023" spans="1:20" s="1451" customFormat="1" x14ac:dyDescent="0.25">
      <c r="A2023" s="928" t="s">
        <v>1510</v>
      </c>
      <c r="B2023" s="897" t="str">
        <f ca="1">IFERROR(_xlfn.CONCAT("C",MATCH(A2023,INDIRECT("'"&amp;E2023&amp;"'!C"&amp;$O$2024&amp;":C"&amp;$O$2026),0)+$O$2024-1),"")</f>
        <v/>
      </c>
      <c r="C2023" s="897" t="str">
        <f ca="1">IFERROR(_xlfn.CONCAT("D",MATCH(A2023,INDIRECT("'"&amp;E2023&amp;"'!C"&amp;$O$2024&amp;":C"&amp;$O$2026),0)+$O$2024-1),"")</f>
        <v/>
      </c>
      <c r="D2023" s="897" t="s">
        <v>1367</v>
      </c>
      <c r="E2023" s="897" t="s">
        <v>1535</v>
      </c>
      <c r="F2023" s="897" t="s">
        <v>1510</v>
      </c>
      <c r="G2023" s="1453" t="str">
        <f>IF(T2023&lt;&gt;"","A","")</f>
        <v/>
      </c>
      <c r="H2023" s="1453" t="s">
        <v>1926</v>
      </c>
      <c r="I2023" s="897"/>
      <c r="J2023" s="897"/>
      <c r="K2023" s="897"/>
      <c r="L2023" s="897"/>
      <c r="M2023" s="1460"/>
      <c r="N2023" s="897"/>
      <c r="O2023" s="1451" t="s">
        <v>726</v>
      </c>
      <c r="R2023" s="1453" t="s">
        <v>2092</v>
      </c>
      <c r="T2023" s="1453" t="str">
        <f>IF(Q$2024="Yes",39,"")</f>
        <v/>
      </c>
    </row>
    <row r="2024" spans="1:20" s="1451" customFormat="1" x14ac:dyDescent="0.25">
      <c r="A2024" s="928" t="s">
        <v>1724</v>
      </c>
      <c r="B2024" s="897"/>
      <c r="C2024" s="897"/>
      <c r="D2024" s="897" t="s">
        <v>1367</v>
      </c>
      <c r="E2024" s="897" t="s">
        <v>1535</v>
      </c>
      <c r="F2024" s="897"/>
      <c r="G2024" s="1453"/>
      <c r="H2024" s="1453"/>
      <c r="I2024" s="897"/>
      <c r="J2024" s="897"/>
      <c r="K2024" s="897"/>
      <c r="L2024" s="897"/>
      <c r="M2024" s="1460"/>
      <c r="N2024" s="897"/>
      <c r="O2024" s="1451">
        <v>545</v>
      </c>
      <c r="P2024" s="18">
        <f>'Configurable Tab'!J41</f>
        <v>0</v>
      </c>
      <c r="Q2024" s="1451" t="s">
        <v>649</v>
      </c>
      <c r="R2024" s="1453" t="s">
        <v>2092</v>
      </c>
      <c r="T2024" s="1453" t="str">
        <f t="shared" ref="T2024:T2033" si="358">IF(Q$2024="Yes",39,"")</f>
        <v/>
      </c>
    </row>
    <row r="2025" spans="1:20" s="1451" customFormat="1" x14ac:dyDescent="0.25">
      <c r="A2025" s="928" t="s">
        <v>1400</v>
      </c>
      <c r="B2025" s="897" t="str">
        <f ca="1">IFERROR(_xlfn.CONCAT("C",MATCH(A2025,INDIRECT("'"&amp;E2025&amp;"'!C"&amp;$O$2024&amp;":C"&amp;$O$2026),0)+$O$2024-1),"")</f>
        <v/>
      </c>
      <c r="C2025" s="897" t="str">
        <f ca="1">IFERROR(_xlfn.CONCAT("D",MATCH(A2025,INDIRECT("'"&amp;E2025&amp;"'!C"&amp;$O$2024&amp;":C"&amp;$O$2026),0)+$O$2024-1),"")</f>
        <v/>
      </c>
      <c r="D2025" s="897" t="s">
        <v>1367</v>
      </c>
      <c r="E2025" s="897" t="s">
        <v>1535</v>
      </c>
      <c r="F2025" s="897" t="s">
        <v>1400</v>
      </c>
      <c r="G2025" s="1453" t="str">
        <f>IF(T2025&lt;&gt;"","B","")</f>
        <v/>
      </c>
      <c r="H2025" s="1453" t="s">
        <v>1926</v>
      </c>
      <c r="I2025" s="897"/>
      <c r="J2025" s="897"/>
      <c r="K2025" s="897"/>
      <c r="L2025" s="897"/>
      <c r="M2025" s="1460"/>
      <c r="N2025" s="897"/>
      <c r="O2025" s="1451" t="s">
        <v>727</v>
      </c>
      <c r="R2025" s="1453" t="s">
        <v>2092</v>
      </c>
      <c r="T2025" s="1453" t="str">
        <f t="shared" si="358"/>
        <v/>
      </c>
    </row>
    <row r="2026" spans="1:20" s="1451" customFormat="1" x14ac:dyDescent="0.25">
      <c r="A2026" s="928" t="s">
        <v>1398</v>
      </c>
      <c r="B2026" s="897"/>
      <c r="C2026" s="897"/>
      <c r="D2026" s="897" t="s">
        <v>1367</v>
      </c>
      <c r="E2026" s="897" t="s">
        <v>1535</v>
      </c>
      <c r="F2026" s="897" t="s">
        <v>1928</v>
      </c>
      <c r="G2026" s="1453" t="str">
        <f>IF(T2026&lt;&gt;"","I","")</f>
        <v/>
      </c>
      <c r="H2026" s="1453" t="s">
        <v>1926</v>
      </c>
      <c r="I2026" s="897"/>
      <c r="J2026" s="897"/>
      <c r="K2026" s="897"/>
      <c r="L2026" s="897"/>
      <c r="M2026" s="1460"/>
      <c r="N2026" s="897"/>
      <c r="O2026" s="1451">
        <v>558</v>
      </c>
      <c r="R2026" s="1453" t="s">
        <v>2092</v>
      </c>
      <c r="T2026" s="1453" t="str">
        <f t="shared" si="358"/>
        <v/>
      </c>
    </row>
    <row r="2027" spans="1:20" s="1451" customFormat="1" x14ac:dyDescent="0.25">
      <c r="A2027" s="928" t="s">
        <v>1399</v>
      </c>
      <c r="B2027" s="897"/>
      <c r="C2027" s="897"/>
      <c r="D2027" s="897" t="s">
        <v>1367</v>
      </c>
      <c r="E2027" s="897" t="s">
        <v>1535</v>
      </c>
      <c r="F2027" s="897" t="s">
        <v>1399</v>
      </c>
      <c r="G2027" s="1453" t="str">
        <f>IF(T2027&lt;&gt;"",IF(Q2026="Credit Memo","J",IF(Q2026="Check","K","")),"")</f>
        <v/>
      </c>
      <c r="H2027" s="1453" t="s">
        <v>1926</v>
      </c>
      <c r="I2027" s="897"/>
      <c r="J2027" s="897"/>
      <c r="K2027" s="897"/>
      <c r="L2027" s="897"/>
      <c r="M2027" s="1460"/>
      <c r="N2027" s="897"/>
      <c r="O2027" s="1451" t="s">
        <v>2093</v>
      </c>
      <c r="R2027" s="1453" t="s">
        <v>2092</v>
      </c>
      <c r="T2027" s="1453" t="str">
        <f t="shared" si="358"/>
        <v/>
      </c>
    </row>
    <row r="2028" spans="1:20" s="1451" customFormat="1" x14ac:dyDescent="0.25">
      <c r="A2028" s="928" t="s">
        <v>1402</v>
      </c>
      <c r="B2028" s="897" t="str">
        <f ca="1">IFERROR(_xlfn.CONCAT("C",MATCH(A2028,INDIRECT("'"&amp;E2028&amp;"'!C"&amp;$O$2024&amp;":C"&amp;$O$2026),0)+$O$2024-1),"")</f>
        <v/>
      </c>
      <c r="C2028" s="897" t="str">
        <f ca="1">IFERROR(_xlfn.CONCAT("D",MATCH(A2028,INDIRECT("'"&amp;E2028&amp;"'!C"&amp;$O$2024&amp;":C"&amp;$O$2026),0)+$O$2024-1),"")</f>
        <v/>
      </c>
      <c r="D2028" s="897" t="s">
        <v>1367</v>
      </c>
      <c r="E2028" s="897" t="s">
        <v>1535</v>
      </c>
      <c r="F2028" s="897" t="s">
        <v>1402</v>
      </c>
      <c r="G2028" s="1453" t="str">
        <f>IF(T2028&lt;&gt;"","C","")</f>
        <v/>
      </c>
      <c r="H2028" s="1453" t="s">
        <v>1926</v>
      </c>
      <c r="I2028" s="897"/>
      <c r="J2028" s="897"/>
      <c r="K2028" s="897"/>
      <c r="L2028" s="897"/>
      <c r="M2028" s="1460"/>
      <c r="N2028" s="897"/>
      <c r="R2028" s="1453" t="s">
        <v>2092</v>
      </c>
      <c r="T2028" s="1453" t="str">
        <f t="shared" si="358"/>
        <v/>
      </c>
    </row>
    <row r="2029" spans="1:20" s="1451" customFormat="1" x14ac:dyDescent="0.25">
      <c r="A2029" s="928" t="s">
        <v>1403</v>
      </c>
      <c r="B2029" s="897" t="str">
        <f ca="1">IFERROR(_xlfn.CONCAT("C",MATCH(A2029,INDIRECT("'"&amp;E2029&amp;"'!C"&amp;$O$2024&amp;":C"&amp;$O$2026),0)+$O$2024-1),"")</f>
        <v/>
      </c>
      <c r="C2029" s="897" t="str">
        <f ca="1">IFERROR(_xlfn.CONCAT("D",MATCH(A2029,INDIRECT("'"&amp;E2029&amp;"'!C"&amp;$O$2024&amp;":C"&amp;$O$2026),0)+$O$2024-1),"")</f>
        <v/>
      </c>
      <c r="D2029" s="897" t="s">
        <v>1367</v>
      </c>
      <c r="E2029" s="897" t="s">
        <v>1535</v>
      </c>
      <c r="F2029" s="897" t="s">
        <v>1403</v>
      </c>
      <c r="G2029" s="1453" t="str">
        <f>IF(T2029&lt;&gt;"","D","")</f>
        <v/>
      </c>
      <c r="H2029" s="1453" t="s">
        <v>1926</v>
      </c>
      <c r="I2029" s="897"/>
      <c r="J2029" s="897"/>
      <c r="K2029" s="897"/>
      <c r="L2029" s="897"/>
      <c r="M2029" s="1460"/>
      <c r="N2029" s="897"/>
      <c r="R2029" s="1453" t="s">
        <v>2092</v>
      </c>
      <c r="T2029" s="1453" t="str">
        <f t="shared" si="358"/>
        <v/>
      </c>
    </row>
    <row r="2030" spans="1:20" s="1451" customFormat="1" x14ac:dyDescent="0.25">
      <c r="A2030" s="928" t="s">
        <v>1413</v>
      </c>
      <c r="B2030" s="897"/>
      <c r="C2030" s="897"/>
      <c r="D2030" s="897" t="s">
        <v>1367</v>
      </c>
      <c r="E2030" s="897" t="s">
        <v>1535</v>
      </c>
      <c r="F2030" s="1453" t="s">
        <v>1413</v>
      </c>
      <c r="G2030" s="1453" t="str">
        <f t="shared" si="356"/>
        <v/>
      </c>
      <c r="H2030" s="1453" t="s">
        <v>1926</v>
      </c>
      <c r="I2030" s="897"/>
      <c r="J2030" s="897"/>
      <c r="K2030" s="897"/>
      <c r="L2030" s="897"/>
      <c r="M2030" s="1460"/>
      <c r="N2030" s="897"/>
      <c r="R2030" s="1453" t="s">
        <v>2092</v>
      </c>
      <c r="T2030" s="1453" t="str">
        <f t="shared" si="358"/>
        <v/>
      </c>
    </row>
    <row r="2031" spans="1:20" s="1451" customFormat="1" x14ac:dyDescent="0.25">
      <c r="A2031" s="928" t="s">
        <v>2086</v>
      </c>
      <c r="B2031" s="897"/>
      <c r="C2031" s="897"/>
      <c r="D2031" s="897" t="s">
        <v>1367</v>
      </c>
      <c r="E2031" s="897" t="s">
        <v>1535</v>
      </c>
      <c r="F2031" s="897" t="s">
        <v>2086</v>
      </c>
      <c r="G2031" s="1453" t="str">
        <f>IF(T2031&lt;&gt;"","AQ","")</f>
        <v/>
      </c>
      <c r="H2031" s="1453" t="s">
        <v>1926</v>
      </c>
      <c r="I2031" s="897"/>
      <c r="J2031" s="897"/>
      <c r="K2031" s="897"/>
      <c r="L2031" s="897"/>
      <c r="M2031" s="1460"/>
      <c r="N2031" s="897"/>
      <c r="R2031" s="1453" t="s">
        <v>2092</v>
      </c>
      <c r="T2031" s="1453" t="str">
        <f t="shared" si="358"/>
        <v/>
      </c>
    </row>
    <row r="2032" spans="1:20" s="1451" customFormat="1" x14ac:dyDescent="0.25">
      <c r="A2032" s="928" t="s">
        <v>1501</v>
      </c>
      <c r="B2032" s="897"/>
      <c r="C2032" s="897"/>
      <c r="D2032" s="897" t="s">
        <v>1367</v>
      </c>
      <c r="E2032" s="897" t="s">
        <v>1535</v>
      </c>
      <c r="F2032" s="897" t="s">
        <v>2087</v>
      </c>
      <c r="G2032" s="1453" t="str">
        <f>IF(T2032&lt;&gt;"","AA","")</f>
        <v/>
      </c>
      <c r="H2032" s="1453" t="s">
        <v>1926</v>
      </c>
      <c r="I2032" s="897"/>
      <c r="J2032" s="897"/>
      <c r="K2032" s="897"/>
      <c r="L2032" s="897"/>
      <c r="M2032" s="1460"/>
      <c r="N2032" s="897"/>
      <c r="R2032" s="1453" t="s">
        <v>2092</v>
      </c>
      <c r="T2032" s="1453" t="str">
        <f t="shared" si="358"/>
        <v/>
      </c>
    </row>
    <row r="2033" spans="1:20" s="1451" customFormat="1" x14ac:dyDescent="0.25">
      <c r="A2033" s="928" t="s">
        <v>1414</v>
      </c>
      <c r="B2033" s="897"/>
      <c r="C2033" s="897"/>
      <c r="D2033" s="897" t="s">
        <v>1367</v>
      </c>
      <c r="E2033" s="897" t="s">
        <v>1535</v>
      </c>
      <c r="F2033" s="897" t="s">
        <v>1929</v>
      </c>
      <c r="G2033" s="1453" t="str">
        <f>IF(T2033&lt;&gt;"","H","")</f>
        <v/>
      </c>
      <c r="H2033" s="1453" t="s">
        <v>1926</v>
      </c>
      <c r="I2033" s="897"/>
      <c r="J2033" s="897"/>
      <c r="K2033" s="897"/>
      <c r="L2033" s="897"/>
      <c r="M2033" s="1460"/>
      <c r="N2033" s="897"/>
      <c r="R2033" s="1453" t="s">
        <v>2092</v>
      </c>
      <c r="T2033" s="1453" t="str">
        <f t="shared" si="358"/>
        <v/>
      </c>
    </row>
    <row r="2034" spans="1:20" s="1451" customFormat="1" x14ac:dyDescent="0.25">
      <c r="A2034" s="925" t="s">
        <v>1510</v>
      </c>
      <c r="B2034" s="897" t="str">
        <f ca="1">IFERROR(_xlfn.CONCAT("C",MATCH(A2034,INDIRECT("'"&amp;E2034&amp;"'!C"&amp;$O$2035&amp;":C"&amp;$O$2037),0)+$O$2035-1),"")</f>
        <v/>
      </c>
      <c r="C2034" s="897" t="str">
        <f ca="1">IFERROR(_xlfn.CONCAT("D",MATCH(A2034,INDIRECT("'"&amp;E2034&amp;"'!C"&amp;$O$2035&amp;":C"&amp;$O$2037),0)+$O$2035-1),"")</f>
        <v/>
      </c>
      <c r="D2034" s="897" t="s">
        <v>1367</v>
      </c>
      <c r="E2034" s="897" t="s">
        <v>1535</v>
      </c>
      <c r="F2034" s="897" t="s">
        <v>1510</v>
      </c>
      <c r="G2034" s="1453" t="str">
        <f>IF(T2034&lt;&gt;"","A","")</f>
        <v/>
      </c>
      <c r="H2034" s="1453" t="s">
        <v>1926</v>
      </c>
      <c r="I2034" s="897"/>
      <c r="J2034" s="897"/>
      <c r="K2034" s="897"/>
      <c r="L2034" s="897"/>
      <c r="M2034" s="1460"/>
      <c r="N2034" s="897"/>
      <c r="O2034" s="1451" t="s">
        <v>726</v>
      </c>
      <c r="R2034" s="1453" t="s">
        <v>2094</v>
      </c>
      <c r="T2034" s="1453" t="str">
        <f>IF(Q$2035="Yes",40,"")</f>
        <v/>
      </c>
    </row>
    <row r="2035" spans="1:20" s="1451" customFormat="1" x14ac:dyDescent="0.25">
      <c r="A2035" s="925" t="s">
        <v>1724</v>
      </c>
      <c r="B2035" s="897"/>
      <c r="C2035" s="897"/>
      <c r="D2035" s="897" t="s">
        <v>1367</v>
      </c>
      <c r="E2035" s="897" t="s">
        <v>1535</v>
      </c>
      <c r="F2035" s="897"/>
      <c r="G2035" s="1453"/>
      <c r="H2035" s="1453"/>
      <c r="I2035" s="897"/>
      <c r="J2035" s="897"/>
      <c r="K2035" s="897"/>
      <c r="L2035" s="897"/>
      <c r="M2035" s="1460"/>
      <c r="N2035" s="897"/>
      <c r="O2035" s="1451">
        <v>559</v>
      </c>
      <c r="P2035" s="18">
        <f>'Configurable Tab'!J42</f>
        <v>0</v>
      </c>
      <c r="Q2035" s="1451" t="s">
        <v>649</v>
      </c>
      <c r="R2035" s="1453" t="s">
        <v>2094</v>
      </c>
      <c r="T2035" s="1453" t="str">
        <f t="shared" ref="T2035:T2044" si="359">IF(Q$2035="Yes",40,"")</f>
        <v/>
      </c>
    </row>
    <row r="2036" spans="1:20" s="1451" customFormat="1" x14ac:dyDescent="0.25">
      <c r="A2036" s="925" t="s">
        <v>1400</v>
      </c>
      <c r="B2036" s="897" t="str">
        <f ca="1">IFERROR(_xlfn.CONCAT("C",MATCH(A2036,INDIRECT("'"&amp;E2036&amp;"'!C"&amp;$O$2035&amp;":C"&amp;$O$2037),0)+$O$2035-1),"")</f>
        <v/>
      </c>
      <c r="C2036" s="897" t="str">
        <f ca="1">IFERROR(_xlfn.CONCAT("D",MATCH(A2036,INDIRECT("'"&amp;E2036&amp;"'!C"&amp;$O$2035&amp;":C"&amp;$O$2037),0)+$O$2035-1),"")</f>
        <v/>
      </c>
      <c r="D2036" s="897" t="s">
        <v>1367</v>
      </c>
      <c r="E2036" s="897" t="s">
        <v>1535</v>
      </c>
      <c r="F2036" s="897" t="s">
        <v>1400</v>
      </c>
      <c r="G2036" s="1453" t="str">
        <f>IF(T2036&lt;&gt;"","B","")</f>
        <v/>
      </c>
      <c r="H2036" s="1453" t="s">
        <v>1926</v>
      </c>
      <c r="I2036" s="897"/>
      <c r="J2036" s="897"/>
      <c r="K2036" s="897"/>
      <c r="L2036" s="897"/>
      <c r="M2036" s="1460"/>
      <c r="N2036" s="897"/>
      <c r="O2036" s="1451" t="s">
        <v>727</v>
      </c>
      <c r="R2036" s="1453" t="s">
        <v>2094</v>
      </c>
      <c r="T2036" s="1453" t="str">
        <f t="shared" si="359"/>
        <v/>
      </c>
    </row>
    <row r="2037" spans="1:20" s="1451" customFormat="1" x14ac:dyDescent="0.25">
      <c r="A2037" s="925" t="s">
        <v>1398</v>
      </c>
      <c r="B2037" s="897"/>
      <c r="C2037" s="897"/>
      <c r="D2037" s="897" t="s">
        <v>1367</v>
      </c>
      <c r="E2037" s="897" t="s">
        <v>1535</v>
      </c>
      <c r="F2037" s="897" t="s">
        <v>1928</v>
      </c>
      <c r="G2037" s="1453" t="str">
        <f>IF(T2037&lt;&gt;"","I","")</f>
        <v/>
      </c>
      <c r="H2037" s="1453" t="s">
        <v>1926</v>
      </c>
      <c r="I2037" s="897"/>
      <c r="J2037" s="897"/>
      <c r="K2037" s="897"/>
      <c r="L2037" s="897"/>
      <c r="M2037" s="1460"/>
      <c r="N2037" s="897"/>
      <c r="O2037" s="1451">
        <v>572</v>
      </c>
      <c r="R2037" s="1453" t="s">
        <v>2094</v>
      </c>
      <c r="T2037" s="1453" t="str">
        <f t="shared" si="359"/>
        <v/>
      </c>
    </row>
    <row r="2038" spans="1:20" s="1451" customFormat="1" x14ac:dyDescent="0.25">
      <c r="A2038" s="925" t="s">
        <v>1399</v>
      </c>
      <c r="B2038" s="897"/>
      <c r="C2038" s="897"/>
      <c r="D2038" s="897" t="s">
        <v>1367</v>
      </c>
      <c r="E2038" s="897" t="s">
        <v>1535</v>
      </c>
      <c r="F2038" s="897" t="s">
        <v>1399</v>
      </c>
      <c r="G2038" s="1453" t="str">
        <f>IF(T2038&lt;&gt;"",IF(Q2037="Credit Memo","J",IF(Q2037="Check","K","")),"")</f>
        <v/>
      </c>
      <c r="H2038" s="1453" t="s">
        <v>1926</v>
      </c>
      <c r="I2038" s="897"/>
      <c r="J2038" s="897"/>
      <c r="K2038" s="897"/>
      <c r="L2038" s="897"/>
      <c r="M2038" s="1460"/>
      <c r="N2038" s="897"/>
      <c r="O2038" s="1451" t="s">
        <v>2095</v>
      </c>
      <c r="R2038" s="1453" t="s">
        <v>2094</v>
      </c>
      <c r="T2038" s="1453" t="str">
        <f t="shared" si="359"/>
        <v/>
      </c>
    </row>
    <row r="2039" spans="1:20" s="1451" customFormat="1" x14ac:dyDescent="0.25">
      <c r="A2039" s="925" t="s">
        <v>1402</v>
      </c>
      <c r="B2039" s="897" t="str">
        <f ca="1">IFERROR(_xlfn.CONCAT("C",MATCH(A2039,INDIRECT("'"&amp;E2039&amp;"'!C"&amp;$O$2035&amp;":C"&amp;$O$2037),0)+$O$2035-1),"")</f>
        <v/>
      </c>
      <c r="C2039" s="897" t="str">
        <f ca="1">IFERROR(_xlfn.CONCAT("D",MATCH(A2039,INDIRECT("'"&amp;E2039&amp;"'!C"&amp;$O$2035&amp;":C"&amp;$O$2037),0)+$O$2035-1),"")</f>
        <v/>
      </c>
      <c r="D2039" s="897" t="s">
        <v>1367</v>
      </c>
      <c r="E2039" s="897" t="s">
        <v>1535</v>
      </c>
      <c r="F2039" s="897" t="s">
        <v>1402</v>
      </c>
      <c r="G2039" s="1453" t="str">
        <f>IF(T2039&lt;&gt;"","C","")</f>
        <v/>
      </c>
      <c r="H2039" s="1453" t="s">
        <v>1926</v>
      </c>
      <c r="I2039" s="897"/>
      <c r="J2039" s="897"/>
      <c r="K2039" s="897"/>
      <c r="L2039" s="897"/>
      <c r="M2039" s="1460"/>
      <c r="N2039" s="897"/>
      <c r="R2039" s="1453" t="s">
        <v>2094</v>
      </c>
      <c r="T2039" s="1453" t="str">
        <f t="shared" si="359"/>
        <v/>
      </c>
    </row>
    <row r="2040" spans="1:20" s="1451" customFormat="1" x14ac:dyDescent="0.25">
      <c r="A2040" s="925" t="s">
        <v>1403</v>
      </c>
      <c r="B2040" s="897" t="str">
        <f ca="1">IFERROR(_xlfn.CONCAT("C",MATCH(A2040,INDIRECT("'"&amp;E2040&amp;"'!C"&amp;$O$2035&amp;":C"&amp;$O$2037),0)+$O$2035-1),"")</f>
        <v/>
      </c>
      <c r="C2040" s="897" t="str">
        <f ca="1">IFERROR(_xlfn.CONCAT("D",MATCH(A2040,INDIRECT("'"&amp;E2040&amp;"'!C"&amp;$O$2035&amp;":C"&amp;$O$2037),0)+$O$2035-1),"")</f>
        <v/>
      </c>
      <c r="D2040" s="897" t="s">
        <v>1367</v>
      </c>
      <c r="E2040" s="897" t="s">
        <v>1535</v>
      </c>
      <c r="F2040" s="897" t="s">
        <v>1403</v>
      </c>
      <c r="G2040" s="1453" t="str">
        <f>IF(T2040&lt;&gt;"","D","")</f>
        <v/>
      </c>
      <c r="H2040" s="1453" t="s">
        <v>1926</v>
      </c>
      <c r="I2040" s="897"/>
      <c r="J2040" s="897"/>
      <c r="K2040" s="897"/>
      <c r="L2040" s="897"/>
      <c r="M2040" s="1460"/>
      <c r="N2040" s="897"/>
      <c r="R2040" s="1453" t="s">
        <v>2094</v>
      </c>
      <c r="T2040" s="1453" t="str">
        <f t="shared" si="359"/>
        <v/>
      </c>
    </row>
    <row r="2041" spans="1:20" s="1451" customFormat="1" x14ac:dyDescent="0.25">
      <c r="A2041" s="925" t="s">
        <v>1413</v>
      </c>
      <c r="B2041" s="897"/>
      <c r="C2041" s="897"/>
      <c r="D2041" s="897" t="s">
        <v>1367</v>
      </c>
      <c r="E2041" s="897" t="s">
        <v>1535</v>
      </c>
      <c r="F2041" s="1453" t="s">
        <v>1413</v>
      </c>
      <c r="G2041" s="1453" t="str">
        <f t="shared" si="356"/>
        <v/>
      </c>
      <c r="H2041" s="1453" t="s">
        <v>1926</v>
      </c>
      <c r="I2041" s="897"/>
      <c r="J2041" s="897"/>
      <c r="K2041" s="897"/>
      <c r="L2041" s="897"/>
      <c r="M2041" s="1460"/>
      <c r="N2041" s="897"/>
      <c r="R2041" s="1453" t="s">
        <v>2094</v>
      </c>
      <c r="T2041" s="1453" t="str">
        <f t="shared" si="359"/>
        <v/>
      </c>
    </row>
    <row r="2042" spans="1:20" s="1451" customFormat="1" x14ac:dyDescent="0.25">
      <c r="A2042" s="925" t="s">
        <v>2086</v>
      </c>
      <c r="B2042" s="897"/>
      <c r="C2042" s="897"/>
      <c r="D2042" s="897" t="s">
        <v>1367</v>
      </c>
      <c r="E2042" s="897" t="s">
        <v>1535</v>
      </c>
      <c r="F2042" s="897" t="s">
        <v>2086</v>
      </c>
      <c r="G2042" s="1453" t="str">
        <f>IF(T2042&lt;&gt;"","AQ","")</f>
        <v/>
      </c>
      <c r="H2042" s="1453" t="s">
        <v>1926</v>
      </c>
      <c r="I2042" s="897"/>
      <c r="J2042" s="897"/>
      <c r="K2042" s="897"/>
      <c r="L2042" s="897"/>
      <c r="M2042" s="1460"/>
      <c r="N2042" s="897"/>
      <c r="R2042" s="1453" t="s">
        <v>2094</v>
      </c>
      <c r="T2042" s="1453" t="str">
        <f t="shared" si="359"/>
        <v/>
      </c>
    </row>
    <row r="2043" spans="1:20" s="1451" customFormat="1" x14ac:dyDescent="0.25">
      <c r="A2043" s="925" t="s">
        <v>1501</v>
      </c>
      <c r="B2043" s="897"/>
      <c r="C2043" s="897"/>
      <c r="D2043" s="897" t="s">
        <v>1367</v>
      </c>
      <c r="E2043" s="897" t="s">
        <v>1535</v>
      </c>
      <c r="F2043" s="897" t="s">
        <v>2087</v>
      </c>
      <c r="G2043" s="1453" t="str">
        <f>IF(T2043&lt;&gt;"","AA","")</f>
        <v/>
      </c>
      <c r="H2043" s="1453" t="s">
        <v>1926</v>
      </c>
      <c r="I2043" s="897"/>
      <c r="J2043" s="897"/>
      <c r="K2043" s="897"/>
      <c r="L2043" s="897"/>
      <c r="M2043" s="1460"/>
      <c r="N2043" s="897"/>
      <c r="R2043" s="1453" t="s">
        <v>2094</v>
      </c>
      <c r="T2043" s="1453" t="str">
        <f t="shared" si="359"/>
        <v/>
      </c>
    </row>
    <row r="2044" spans="1:20" s="1451" customFormat="1" x14ac:dyDescent="0.25">
      <c r="A2044" s="925" t="s">
        <v>1414</v>
      </c>
      <c r="B2044" s="897"/>
      <c r="C2044" s="897"/>
      <c r="D2044" s="897" t="s">
        <v>1367</v>
      </c>
      <c r="E2044" s="897" t="s">
        <v>1535</v>
      </c>
      <c r="F2044" s="897" t="s">
        <v>1929</v>
      </c>
      <c r="G2044" s="1453" t="str">
        <f>IF(T2044&lt;&gt;"","H","")</f>
        <v/>
      </c>
      <c r="H2044" s="1453" t="s">
        <v>1926</v>
      </c>
      <c r="I2044" s="897"/>
      <c r="J2044" s="897"/>
      <c r="K2044" s="897"/>
      <c r="L2044" s="897"/>
      <c r="M2044" s="1460"/>
      <c r="N2044" s="897"/>
      <c r="R2044" s="1453" t="s">
        <v>2094</v>
      </c>
      <c r="T2044" s="1453" t="str">
        <f t="shared" si="359"/>
        <v/>
      </c>
    </row>
    <row r="2045" spans="1:20" s="1451" customFormat="1" x14ac:dyDescent="0.25">
      <c r="A2045" s="928" t="s">
        <v>1510</v>
      </c>
      <c r="B2045" s="897" t="str">
        <f ca="1">IFERROR(_xlfn.CONCAT("C",MATCH(A2045,INDIRECT("'"&amp;E2045&amp;"'!C"&amp;$O$2046&amp;":C"&amp;$O$2048),0)+$O$2046-1),"")</f>
        <v/>
      </c>
      <c r="C2045" s="897" t="str">
        <f ca="1">IFERROR(_xlfn.CONCAT("D",MATCH(A2045,INDIRECT("'"&amp;E2045&amp;"'!C"&amp;$O$2046&amp;":C"&amp;$O$2048),0)+$O$2046-1),"")</f>
        <v/>
      </c>
      <c r="D2045" s="897" t="s">
        <v>1367</v>
      </c>
      <c r="E2045" s="897" t="s">
        <v>1535</v>
      </c>
      <c r="F2045" s="897" t="s">
        <v>1510</v>
      </c>
      <c r="G2045" s="1453" t="str">
        <f>IF(T2045&lt;&gt;"","A","")</f>
        <v/>
      </c>
      <c r="H2045" s="1453" t="s">
        <v>1926</v>
      </c>
      <c r="I2045" s="897"/>
      <c r="J2045" s="897"/>
      <c r="K2045" s="897"/>
      <c r="L2045" s="897"/>
      <c r="M2045" s="1460"/>
      <c r="N2045" s="897"/>
      <c r="O2045" s="1451" t="s">
        <v>726</v>
      </c>
      <c r="R2045" s="1453" t="s">
        <v>2096</v>
      </c>
      <c r="T2045" s="1453" t="str">
        <f>IF(Q$2046="Yes",41,"")</f>
        <v/>
      </c>
    </row>
    <row r="2046" spans="1:20" s="1451" customFormat="1" x14ac:dyDescent="0.25">
      <c r="A2046" s="928" t="s">
        <v>1724</v>
      </c>
      <c r="B2046" s="897"/>
      <c r="C2046" s="897"/>
      <c r="D2046" s="897" t="s">
        <v>1367</v>
      </c>
      <c r="E2046" s="897" t="s">
        <v>1535</v>
      </c>
      <c r="F2046" s="897"/>
      <c r="G2046" s="1453"/>
      <c r="H2046" s="1453"/>
      <c r="I2046" s="897"/>
      <c r="J2046" s="897"/>
      <c r="K2046" s="897"/>
      <c r="L2046" s="897"/>
      <c r="M2046" s="1460"/>
      <c r="N2046" s="897"/>
      <c r="O2046" s="1451">
        <v>573</v>
      </c>
      <c r="P2046" s="18">
        <f>'Configurable Tab'!J43</f>
        <v>0</v>
      </c>
      <c r="Q2046" s="1451" t="s">
        <v>649</v>
      </c>
      <c r="R2046" s="1453" t="s">
        <v>2096</v>
      </c>
      <c r="T2046" s="1453" t="str">
        <f t="shared" ref="T2046:T2055" si="360">IF(Q$2046="Yes",41,"")</f>
        <v/>
      </c>
    </row>
    <row r="2047" spans="1:20" s="1451" customFormat="1" x14ac:dyDescent="0.25">
      <c r="A2047" s="928" t="s">
        <v>1400</v>
      </c>
      <c r="B2047" s="897" t="str">
        <f ca="1">IFERROR(_xlfn.CONCAT("C",MATCH(A2047,INDIRECT("'"&amp;E2047&amp;"'!C"&amp;$O$2046&amp;":C"&amp;$O$2048),0)+$O$2046-1),"")</f>
        <v/>
      </c>
      <c r="C2047" s="897" t="str">
        <f ca="1">IFERROR(_xlfn.CONCAT("D",MATCH(A2047,INDIRECT("'"&amp;E2047&amp;"'!C"&amp;$O$2046&amp;":C"&amp;$O$2048),0)+$O$2046-1),"")</f>
        <v/>
      </c>
      <c r="D2047" s="897" t="s">
        <v>1367</v>
      </c>
      <c r="E2047" s="897" t="s">
        <v>1535</v>
      </c>
      <c r="F2047" s="897" t="s">
        <v>1400</v>
      </c>
      <c r="G2047" s="1453" t="str">
        <f>IF(T2047&lt;&gt;"","B","")</f>
        <v/>
      </c>
      <c r="H2047" s="1453" t="s">
        <v>1926</v>
      </c>
      <c r="I2047" s="897"/>
      <c r="J2047" s="897"/>
      <c r="K2047" s="897"/>
      <c r="L2047" s="897"/>
      <c r="M2047" s="1460"/>
      <c r="N2047" s="897"/>
      <c r="O2047" s="1451" t="s">
        <v>727</v>
      </c>
      <c r="R2047" s="1453" t="s">
        <v>2096</v>
      </c>
      <c r="T2047" s="1453" t="str">
        <f t="shared" si="360"/>
        <v/>
      </c>
    </row>
    <row r="2048" spans="1:20" s="1451" customFormat="1" x14ac:dyDescent="0.25">
      <c r="A2048" s="928" t="s">
        <v>1398</v>
      </c>
      <c r="B2048" s="897"/>
      <c r="C2048" s="897"/>
      <c r="D2048" s="897" t="s">
        <v>1367</v>
      </c>
      <c r="E2048" s="897" t="s">
        <v>1535</v>
      </c>
      <c r="F2048" s="897" t="s">
        <v>1928</v>
      </c>
      <c r="G2048" s="1453" t="str">
        <f>IF(T2048&lt;&gt;"","I","")</f>
        <v/>
      </c>
      <c r="H2048" s="1453" t="s">
        <v>1926</v>
      </c>
      <c r="I2048" s="897"/>
      <c r="J2048" s="897"/>
      <c r="K2048" s="897"/>
      <c r="L2048" s="897"/>
      <c r="M2048" s="1460"/>
      <c r="N2048" s="897"/>
      <c r="O2048" s="1451">
        <v>586</v>
      </c>
      <c r="R2048" s="1453" t="s">
        <v>2096</v>
      </c>
      <c r="T2048" s="1453" t="str">
        <f t="shared" si="360"/>
        <v/>
      </c>
    </row>
    <row r="2049" spans="1:20" s="1451" customFormat="1" x14ac:dyDescent="0.25">
      <c r="A2049" s="928" t="s">
        <v>1399</v>
      </c>
      <c r="B2049" s="897"/>
      <c r="C2049" s="897"/>
      <c r="D2049" s="897" t="s">
        <v>1367</v>
      </c>
      <c r="E2049" s="897" t="s">
        <v>1535</v>
      </c>
      <c r="F2049" s="897" t="s">
        <v>1399</v>
      </c>
      <c r="G2049" s="1453" t="str">
        <f>IF(T2049&lt;&gt;"",IF(Q2048="Credit Memo","J",IF(Q2048="Check","K","")),"")</f>
        <v/>
      </c>
      <c r="H2049" s="1453" t="s">
        <v>1926</v>
      </c>
      <c r="I2049" s="897"/>
      <c r="J2049" s="897"/>
      <c r="K2049" s="897"/>
      <c r="L2049" s="897"/>
      <c r="M2049" s="1460"/>
      <c r="N2049" s="897"/>
      <c r="O2049" s="1451" t="s">
        <v>2097</v>
      </c>
      <c r="R2049" s="1453" t="s">
        <v>2096</v>
      </c>
      <c r="T2049" s="1453" t="str">
        <f t="shared" si="360"/>
        <v/>
      </c>
    </row>
    <row r="2050" spans="1:20" s="1451" customFormat="1" x14ac:dyDescent="0.25">
      <c r="A2050" s="928" t="s">
        <v>1402</v>
      </c>
      <c r="B2050" s="897" t="str">
        <f ca="1">IFERROR(_xlfn.CONCAT("C",MATCH(A2050,INDIRECT("'"&amp;E2050&amp;"'!C"&amp;$O$2046&amp;":C"&amp;$O$2048),0)+$O$2046-1),"")</f>
        <v/>
      </c>
      <c r="C2050" s="897" t="str">
        <f ca="1">IFERROR(_xlfn.CONCAT("D",MATCH(A2050,INDIRECT("'"&amp;E2050&amp;"'!C"&amp;$O$2046&amp;":C"&amp;$O$2048),0)+$O$2046-1),"")</f>
        <v/>
      </c>
      <c r="D2050" s="897" t="s">
        <v>1367</v>
      </c>
      <c r="E2050" s="897" t="s">
        <v>1535</v>
      </c>
      <c r="F2050" s="897" t="s">
        <v>1402</v>
      </c>
      <c r="G2050" s="1453" t="str">
        <f>IF(T2050&lt;&gt;"","C","")</f>
        <v/>
      </c>
      <c r="H2050" s="1453" t="s">
        <v>1926</v>
      </c>
      <c r="I2050" s="897"/>
      <c r="J2050" s="897"/>
      <c r="K2050" s="897"/>
      <c r="L2050" s="897"/>
      <c r="M2050" s="1460"/>
      <c r="N2050" s="897"/>
      <c r="R2050" s="1453" t="s">
        <v>2096</v>
      </c>
      <c r="T2050" s="1453" t="str">
        <f t="shared" si="360"/>
        <v/>
      </c>
    </row>
    <row r="2051" spans="1:20" s="1451" customFormat="1" x14ac:dyDescent="0.25">
      <c r="A2051" s="928" t="s">
        <v>1403</v>
      </c>
      <c r="B2051" s="897" t="str">
        <f ca="1">IFERROR(_xlfn.CONCAT("C",MATCH(A2051,INDIRECT("'"&amp;E2051&amp;"'!C"&amp;$O$2046&amp;":C"&amp;$O$2048),0)+$O$2046-1),"")</f>
        <v/>
      </c>
      <c r="C2051" s="897" t="str">
        <f ca="1">IFERROR(_xlfn.CONCAT("D",MATCH(A2051,INDIRECT("'"&amp;E2051&amp;"'!C"&amp;$O$2046&amp;":C"&amp;$O$2048),0)+$O$2046-1),"")</f>
        <v/>
      </c>
      <c r="D2051" s="897" t="s">
        <v>1367</v>
      </c>
      <c r="E2051" s="897" t="s">
        <v>1535</v>
      </c>
      <c r="F2051" s="897" t="s">
        <v>1403</v>
      </c>
      <c r="G2051" s="1453" t="str">
        <f>IF(T2051&lt;&gt;"","D","")</f>
        <v/>
      </c>
      <c r="H2051" s="1453" t="s">
        <v>1926</v>
      </c>
      <c r="I2051" s="897"/>
      <c r="J2051" s="897"/>
      <c r="K2051" s="897"/>
      <c r="L2051" s="897"/>
      <c r="M2051" s="1460"/>
      <c r="N2051" s="897"/>
      <c r="R2051" s="1453" t="s">
        <v>2096</v>
      </c>
      <c r="T2051" s="1453" t="str">
        <f t="shared" si="360"/>
        <v/>
      </c>
    </row>
    <row r="2052" spans="1:20" s="1451" customFormat="1" x14ac:dyDescent="0.25">
      <c r="A2052" s="928" t="s">
        <v>1413</v>
      </c>
      <c r="B2052" s="897"/>
      <c r="C2052" s="897"/>
      <c r="D2052" s="897" t="s">
        <v>1367</v>
      </c>
      <c r="E2052" s="897" t="s">
        <v>1535</v>
      </c>
      <c r="F2052" s="1453" t="s">
        <v>1413</v>
      </c>
      <c r="G2052" s="1453" t="str">
        <f t="shared" si="356"/>
        <v/>
      </c>
      <c r="H2052" s="1453" t="s">
        <v>1926</v>
      </c>
      <c r="I2052" s="897"/>
      <c r="J2052" s="897"/>
      <c r="K2052" s="897"/>
      <c r="L2052" s="897"/>
      <c r="M2052" s="1460"/>
      <c r="N2052" s="897"/>
      <c r="R2052" s="1453" t="s">
        <v>2096</v>
      </c>
      <c r="T2052" s="1453" t="str">
        <f t="shared" si="360"/>
        <v/>
      </c>
    </row>
    <row r="2053" spans="1:20" s="1451" customFormat="1" x14ac:dyDescent="0.25">
      <c r="A2053" s="928" t="s">
        <v>2086</v>
      </c>
      <c r="B2053" s="897"/>
      <c r="C2053" s="897"/>
      <c r="D2053" s="897" t="s">
        <v>1367</v>
      </c>
      <c r="E2053" s="897" t="s">
        <v>1535</v>
      </c>
      <c r="F2053" s="897" t="s">
        <v>2086</v>
      </c>
      <c r="G2053" s="1453" t="str">
        <f>IF(T2053&lt;&gt;"","AQ","")</f>
        <v/>
      </c>
      <c r="H2053" s="1453" t="s">
        <v>1926</v>
      </c>
      <c r="I2053" s="897"/>
      <c r="J2053" s="897"/>
      <c r="K2053" s="897"/>
      <c r="L2053" s="897"/>
      <c r="M2053" s="1460"/>
      <c r="N2053" s="897"/>
      <c r="R2053" s="1453" t="s">
        <v>2096</v>
      </c>
      <c r="T2053" s="1453" t="str">
        <f t="shared" si="360"/>
        <v/>
      </c>
    </row>
    <row r="2054" spans="1:20" s="1451" customFormat="1" x14ac:dyDescent="0.25">
      <c r="A2054" s="928" t="s">
        <v>1501</v>
      </c>
      <c r="B2054" s="897"/>
      <c r="C2054" s="897"/>
      <c r="D2054" s="897" t="s">
        <v>1367</v>
      </c>
      <c r="E2054" s="897" t="s">
        <v>1535</v>
      </c>
      <c r="F2054" s="897" t="s">
        <v>2087</v>
      </c>
      <c r="G2054" s="1453" t="str">
        <f>IF(T2054&lt;&gt;"","AA","")</f>
        <v/>
      </c>
      <c r="H2054" s="1453" t="s">
        <v>1926</v>
      </c>
      <c r="I2054" s="897"/>
      <c r="J2054" s="897"/>
      <c r="K2054" s="897"/>
      <c r="L2054" s="897"/>
      <c r="M2054" s="1460"/>
      <c r="N2054" s="897"/>
      <c r="R2054" s="1453" t="s">
        <v>2096</v>
      </c>
      <c r="T2054" s="1453" t="str">
        <f t="shared" si="360"/>
        <v/>
      </c>
    </row>
    <row r="2055" spans="1:20" s="1451" customFormat="1" x14ac:dyDescent="0.25">
      <c r="A2055" s="928" t="s">
        <v>1414</v>
      </c>
      <c r="B2055" s="897"/>
      <c r="C2055" s="897"/>
      <c r="D2055" s="897" t="s">
        <v>1367</v>
      </c>
      <c r="E2055" s="897" t="s">
        <v>1535</v>
      </c>
      <c r="F2055" s="897" t="s">
        <v>1929</v>
      </c>
      <c r="G2055" s="1453" t="str">
        <f>IF(T2055&lt;&gt;"","H","")</f>
        <v/>
      </c>
      <c r="H2055" s="1453" t="s">
        <v>1926</v>
      </c>
      <c r="I2055" s="897"/>
      <c r="J2055" s="897"/>
      <c r="K2055" s="897"/>
      <c r="L2055" s="897"/>
      <c r="M2055" s="1460"/>
      <c r="N2055" s="897"/>
      <c r="R2055" s="1453" t="s">
        <v>2096</v>
      </c>
      <c r="T2055" s="1453" t="str">
        <f t="shared" si="360"/>
        <v/>
      </c>
    </row>
    <row r="2056" spans="1:20" s="1451" customFormat="1" x14ac:dyDescent="0.25">
      <c r="A2056" s="925" t="s">
        <v>1510</v>
      </c>
      <c r="B2056" s="897" t="str">
        <f ca="1">IFERROR(_xlfn.CONCAT("C",MATCH(A2056,INDIRECT("'"&amp;E2056&amp;"'!C"&amp;$O$2057&amp;":C"&amp;$O$2059),0)+$O$2057-1),"")</f>
        <v/>
      </c>
      <c r="C2056" s="897" t="str">
        <f ca="1">IFERROR(_xlfn.CONCAT("D",MATCH(A2056,INDIRECT("'"&amp;E2056&amp;"'!C"&amp;$O$2057&amp;":C"&amp;$O$2059),0)+$O$2057-1),"")</f>
        <v/>
      </c>
      <c r="D2056" s="897" t="s">
        <v>1367</v>
      </c>
      <c r="E2056" s="897" t="s">
        <v>1535</v>
      </c>
      <c r="F2056" s="897" t="s">
        <v>1510</v>
      </c>
      <c r="G2056" s="1453" t="str">
        <f>IF(T2056&lt;&gt;"","A","")</f>
        <v/>
      </c>
      <c r="H2056" s="1453" t="s">
        <v>1926</v>
      </c>
      <c r="I2056" s="897"/>
      <c r="J2056" s="897"/>
      <c r="K2056" s="897"/>
      <c r="L2056" s="897"/>
      <c r="M2056" s="1460"/>
      <c r="N2056" s="897"/>
      <c r="O2056" s="1451" t="s">
        <v>726</v>
      </c>
      <c r="R2056" s="1453" t="s">
        <v>2098</v>
      </c>
      <c r="T2056" s="1453" t="str">
        <f>IF(Q$2057="Yes",42,"")</f>
        <v/>
      </c>
    </row>
    <row r="2057" spans="1:20" s="1451" customFormat="1" x14ac:dyDescent="0.25">
      <c r="A2057" s="925" t="s">
        <v>1724</v>
      </c>
      <c r="B2057" s="897"/>
      <c r="C2057" s="897"/>
      <c r="D2057" s="897" t="s">
        <v>1367</v>
      </c>
      <c r="E2057" s="897" t="s">
        <v>1535</v>
      </c>
      <c r="F2057" s="897"/>
      <c r="G2057" s="1453"/>
      <c r="H2057" s="1453"/>
      <c r="I2057" s="897"/>
      <c r="J2057" s="897"/>
      <c r="K2057" s="897"/>
      <c r="L2057" s="897"/>
      <c r="M2057" s="1460"/>
      <c r="N2057" s="897"/>
      <c r="O2057" s="1451">
        <v>587</v>
      </c>
      <c r="P2057" s="18">
        <f>'Configurable Tab'!J44</f>
        <v>0</v>
      </c>
      <c r="Q2057" s="1451" t="s">
        <v>649</v>
      </c>
      <c r="R2057" s="1453" t="s">
        <v>2098</v>
      </c>
      <c r="T2057" s="1453" t="str">
        <f t="shared" ref="T2057:T2066" si="361">IF(Q$2057="Yes",42,"")</f>
        <v/>
      </c>
    </row>
    <row r="2058" spans="1:20" s="1451" customFormat="1" x14ac:dyDescent="0.25">
      <c r="A2058" s="925" t="s">
        <v>1400</v>
      </c>
      <c r="B2058" s="897" t="str">
        <f ca="1">IFERROR(_xlfn.CONCAT("C",MATCH(A2058,INDIRECT("'"&amp;E2058&amp;"'!C"&amp;$O$2057&amp;":C"&amp;$O$2059),0)+$O$2057-1),"")</f>
        <v/>
      </c>
      <c r="C2058" s="897" t="str">
        <f ca="1">IFERROR(_xlfn.CONCAT("D",MATCH(A2058,INDIRECT("'"&amp;E2058&amp;"'!C"&amp;$O$2057&amp;":C"&amp;$O$2059),0)+$O$2057-1),"")</f>
        <v/>
      </c>
      <c r="D2058" s="897" t="s">
        <v>1367</v>
      </c>
      <c r="E2058" s="897" t="s">
        <v>1535</v>
      </c>
      <c r="F2058" s="897" t="s">
        <v>1400</v>
      </c>
      <c r="G2058" s="1453" t="str">
        <f>IF(T2058&lt;&gt;"","B","")</f>
        <v/>
      </c>
      <c r="H2058" s="1453" t="s">
        <v>1926</v>
      </c>
      <c r="I2058" s="897"/>
      <c r="J2058" s="897"/>
      <c r="K2058" s="897"/>
      <c r="L2058" s="897"/>
      <c r="M2058" s="1460"/>
      <c r="N2058" s="897"/>
      <c r="O2058" s="1451" t="s">
        <v>727</v>
      </c>
      <c r="R2058" s="1453" t="s">
        <v>2098</v>
      </c>
      <c r="T2058" s="1453" t="str">
        <f t="shared" si="361"/>
        <v/>
      </c>
    </row>
    <row r="2059" spans="1:20" s="1451" customFormat="1" x14ac:dyDescent="0.25">
      <c r="A2059" s="925" t="s">
        <v>1398</v>
      </c>
      <c r="B2059" s="897"/>
      <c r="C2059" s="897"/>
      <c r="D2059" s="897" t="s">
        <v>1367</v>
      </c>
      <c r="E2059" s="897" t="s">
        <v>1535</v>
      </c>
      <c r="F2059" s="897" t="s">
        <v>1928</v>
      </c>
      <c r="G2059" s="1453" t="str">
        <f>IF(T2059&lt;&gt;"","I","")</f>
        <v/>
      </c>
      <c r="H2059" s="1453" t="s">
        <v>1926</v>
      </c>
      <c r="I2059" s="897"/>
      <c r="J2059" s="897"/>
      <c r="K2059" s="897"/>
      <c r="L2059" s="897"/>
      <c r="M2059" s="1460"/>
      <c r="N2059" s="897"/>
      <c r="O2059" s="1451">
        <v>614</v>
      </c>
      <c r="R2059" s="1453" t="s">
        <v>2098</v>
      </c>
      <c r="T2059" s="1453" t="str">
        <f t="shared" si="361"/>
        <v/>
      </c>
    </row>
    <row r="2060" spans="1:20" s="1451" customFormat="1" x14ac:dyDescent="0.25">
      <c r="A2060" s="925" t="s">
        <v>1399</v>
      </c>
      <c r="B2060" s="897"/>
      <c r="C2060" s="897"/>
      <c r="D2060" s="897" t="s">
        <v>1367</v>
      </c>
      <c r="E2060" s="897" t="s">
        <v>1535</v>
      </c>
      <c r="F2060" s="897" t="s">
        <v>1399</v>
      </c>
      <c r="G2060" s="1453" t="str">
        <f>IF(T2060&lt;&gt;"",IF(Q2059="Credit Memo","J",IF(Q2059="Check","K","")),"")</f>
        <v/>
      </c>
      <c r="H2060" s="1453" t="s">
        <v>1926</v>
      </c>
      <c r="I2060" s="897"/>
      <c r="J2060" s="897"/>
      <c r="K2060" s="897"/>
      <c r="L2060" s="897"/>
      <c r="M2060" s="1460"/>
      <c r="N2060" s="897"/>
      <c r="O2060" s="1451" t="s">
        <v>2099</v>
      </c>
      <c r="R2060" s="1453" t="s">
        <v>2098</v>
      </c>
      <c r="T2060" s="1453" t="str">
        <f t="shared" si="361"/>
        <v/>
      </c>
    </row>
    <row r="2061" spans="1:20" s="1451" customFormat="1" x14ac:dyDescent="0.25">
      <c r="A2061" s="925" t="s">
        <v>1402</v>
      </c>
      <c r="B2061" s="897" t="str">
        <f ca="1">IFERROR(_xlfn.CONCAT("C",MATCH(A2061,INDIRECT("'"&amp;E2061&amp;"'!C"&amp;$O$2057&amp;":C"&amp;$O$2059),0)+$O$2057-1),"")</f>
        <v/>
      </c>
      <c r="C2061" s="897" t="str">
        <f ca="1">IFERROR(_xlfn.CONCAT("D",MATCH(A2061,INDIRECT("'"&amp;E2061&amp;"'!C"&amp;$O$2057&amp;":C"&amp;$O$2059),0)+$O$2057-1),"")</f>
        <v/>
      </c>
      <c r="D2061" s="897" t="s">
        <v>1367</v>
      </c>
      <c r="E2061" s="897" t="s">
        <v>1535</v>
      </c>
      <c r="F2061" s="897" t="s">
        <v>1402</v>
      </c>
      <c r="G2061" s="1453" t="str">
        <f>IF(T2061&lt;&gt;"","C","")</f>
        <v/>
      </c>
      <c r="H2061" s="1453" t="s">
        <v>1926</v>
      </c>
      <c r="I2061" s="897"/>
      <c r="J2061" s="897"/>
      <c r="K2061" s="897"/>
      <c r="L2061" s="897"/>
      <c r="M2061" s="1460"/>
      <c r="N2061" s="897"/>
      <c r="R2061" s="1453" t="s">
        <v>2098</v>
      </c>
      <c r="T2061" s="1453" t="str">
        <f t="shared" si="361"/>
        <v/>
      </c>
    </row>
    <row r="2062" spans="1:20" s="1451" customFormat="1" x14ac:dyDescent="0.25">
      <c r="A2062" s="925" t="s">
        <v>1403</v>
      </c>
      <c r="B2062" s="897" t="str">
        <f ca="1">IFERROR(_xlfn.CONCAT("C",MATCH(A2062,INDIRECT("'"&amp;E2062&amp;"'!C"&amp;$O$2057&amp;":C"&amp;$O$2059),0)+$O$2057-1),"")</f>
        <v/>
      </c>
      <c r="C2062" s="897" t="str">
        <f ca="1">IFERROR(_xlfn.CONCAT("D",MATCH(A2062,INDIRECT("'"&amp;E2062&amp;"'!C"&amp;$O$2057&amp;":C"&amp;$O$2059),0)+$O$2057-1),"")</f>
        <v/>
      </c>
      <c r="D2062" s="897" t="s">
        <v>1367</v>
      </c>
      <c r="E2062" s="897" t="s">
        <v>1535</v>
      </c>
      <c r="F2062" s="897" t="s">
        <v>1403</v>
      </c>
      <c r="G2062" s="1453" t="str">
        <f>IF(T2062&lt;&gt;"","D","")</f>
        <v/>
      </c>
      <c r="H2062" s="1453" t="s">
        <v>1926</v>
      </c>
      <c r="I2062" s="897"/>
      <c r="J2062" s="897"/>
      <c r="K2062" s="897"/>
      <c r="L2062" s="897"/>
      <c r="M2062" s="1460"/>
      <c r="N2062" s="897"/>
      <c r="R2062" s="1453" t="s">
        <v>2098</v>
      </c>
      <c r="T2062" s="1453" t="str">
        <f t="shared" si="361"/>
        <v/>
      </c>
    </row>
    <row r="2063" spans="1:20" s="1451" customFormat="1" x14ac:dyDescent="0.25">
      <c r="A2063" s="925" t="s">
        <v>1413</v>
      </c>
      <c r="B2063" s="897"/>
      <c r="C2063" s="897"/>
      <c r="D2063" s="897" t="s">
        <v>1367</v>
      </c>
      <c r="E2063" s="897" t="s">
        <v>1535</v>
      </c>
      <c r="F2063" s="1453" t="s">
        <v>1413</v>
      </c>
      <c r="G2063" s="1453" t="str">
        <f t="shared" ref="G2063:G2085" si="362">IF(T2063&lt;&gt;"","S","")</f>
        <v/>
      </c>
      <c r="H2063" s="1453" t="s">
        <v>1926</v>
      </c>
      <c r="I2063" s="897"/>
      <c r="J2063" s="897"/>
      <c r="K2063" s="897"/>
      <c r="L2063" s="897"/>
      <c r="M2063" s="1460"/>
      <c r="N2063" s="897"/>
      <c r="R2063" s="1453" t="s">
        <v>2098</v>
      </c>
      <c r="T2063" s="1453" t="str">
        <f t="shared" si="361"/>
        <v/>
      </c>
    </row>
    <row r="2064" spans="1:20" s="1451" customFormat="1" x14ac:dyDescent="0.25">
      <c r="A2064" s="925" t="s">
        <v>2086</v>
      </c>
      <c r="B2064" s="897"/>
      <c r="C2064" s="897"/>
      <c r="D2064" s="897" t="s">
        <v>1367</v>
      </c>
      <c r="E2064" s="897" t="s">
        <v>1535</v>
      </c>
      <c r="F2064" s="897" t="s">
        <v>2086</v>
      </c>
      <c r="G2064" s="1453" t="str">
        <f>IF(T2064&lt;&gt;"","AQ","")</f>
        <v/>
      </c>
      <c r="H2064" s="1453" t="s">
        <v>1926</v>
      </c>
      <c r="I2064" s="897"/>
      <c r="J2064" s="897"/>
      <c r="K2064" s="897"/>
      <c r="L2064" s="897"/>
      <c r="M2064" s="1460"/>
      <c r="N2064" s="897"/>
      <c r="R2064" s="1453" t="s">
        <v>2098</v>
      </c>
      <c r="T2064" s="1453" t="str">
        <f t="shared" si="361"/>
        <v/>
      </c>
    </row>
    <row r="2065" spans="1:20" s="1451" customFormat="1" x14ac:dyDescent="0.25">
      <c r="A2065" s="925" t="s">
        <v>1501</v>
      </c>
      <c r="B2065" s="897"/>
      <c r="C2065" s="897"/>
      <c r="D2065" s="897" t="s">
        <v>1367</v>
      </c>
      <c r="E2065" s="897" t="s">
        <v>1535</v>
      </c>
      <c r="F2065" s="897" t="s">
        <v>2087</v>
      </c>
      <c r="G2065" s="1453" t="str">
        <f>IF(T2065&lt;&gt;"","AA","")</f>
        <v/>
      </c>
      <c r="H2065" s="1453" t="s">
        <v>1926</v>
      </c>
      <c r="I2065" s="897"/>
      <c r="J2065" s="897"/>
      <c r="K2065" s="897"/>
      <c r="L2065" s="897"/>
      <c r="M2065" s="1460"/>
      <c r="N2065" s="897"/>
      <c r="R2065" s="1453" t="s">
        <v>2098</v>
      </c>
      <c r="T2065" s="1453" t="str">
        <f t="shared" si="361"/>
        <v/>
      </c>
    </row>
    <row r="2066" spans="1:20" s="1451" customFormat="1" x14ac:dyDescent="0.25">
      <c r="A2066" s="925" t="s">
        <v>1414</v>
      </c>
      <c r="B2066" s="897"/>
      <c r="C2066" s="897"/>
      <c r="D2066" s="897" t="s">
        <v>1367</v>
      </c>
      <c r="E2066" s="897" t="s">
        <v>1535</v>
      </c>
      <c r="F2066" s="897" t="s">
        <v>1929</v>
      </c>
      <c r="G2066" s="1453" t="str">
        <f>IF(T2066&lt;&gt;"","H","")</f>
        <v/>
      </c>
      <c r="H2066" s="1453" t="s">
        <v>1926</v>
      </c>
      <c r="I2066" s="897"/>
      <c r="J2066" s="897"/>
      <c r="K2066" s="897"/>
      <c r="L2066" s="897"/>
      <c r="M2066" s="1460"/>
      <c r="N2066" s="897"/>
      <c r="R2066" s="1453" t="s">
        <v>2098</v>
      </c>
      <c r="T2066" s="1453" t="str">
        <f t="shared" si="361"/>
        <v/>
      </c>
    </row>
    <row r="2067" spans="1:20" s="1451" customFormat="1" x14ac:dyDescent="0.25">
      <c r="A2067" s="928" t="s">
        <v>1510</v>
      </c>
      <c r="B2067" s="897" t="str">
        <f ca="1">IFERROR(_xlfn.CONCAT("C",MATCH(A2067,INDIRECT("'"&amp;E2067&amp;"'!C"&amp;$O$2068&amp;":C"&amp;$O$2070),0)+$O$2068-1),"")</f>
        <v/>
      </c>
      <c r="C2067" s="897" t="str">
        <f ca="1">IFERROR(_xlfn.CONCAT("D",MATCH(A2067,INDIRECT("'"&amp;E2067&amp;"'!C"&amp;$O$2068&amp;":C"&amp;$O$2070),0)+$O$2068-1),"")</f>
        <v/>
      </c>
      <c r="D2067" s="897" t="s">
        <v>1367</v>
      </c>
      <c r="E2067" s="897" t="s">
        <v>1535</v>
      </c>
      <c r="F2067" s="897" t="s">
        <v>1510</v>
      </c>
      <c r="G2067" s="1453" t="str">
        <f>IF(T2067&lt;&gt;"","A","")</f>
        <v/>
      </c>
      <c r="H2067" s="1453" t="s">
        <v>1926</v>
      </c>
      <c r="I2067" s="897"/>
      <c r="J2067" s="897"/>
      <c r="K2067" s="897"/>
      <c r="L2067" s="897"/>
      <c r="M2067" s="1460"/>
      <c r="N2067" s="897"/>
      <c r="O2067" s="1451" t="s">
        <v>726</v>
      </c>
      <c r="R2067" s="1453" t="s">
        <v>2100</v>
      </c>
      <c r="T2067" s="1453" t="str">
        <f>IF(Q$2068="Yes",43,"")</f>
        <v/>
      </c>
    </row>
    <row r="2068" spans="1:20" s="1451" customFormat="1" x14ac:dyDescent="0.25">
      <c r="A2068" s="928" t="s">
        <v>1724</v>
      </c>
      <c r="B2068" s="897"/>
      <c r="C2068" s="897"/>
      <c r="D2068" s="897" t="s">
        <v>1367</v>
      </c>
      <c r="E2068" s="897" t="s">
        <v>1535</v>
      </c>
      <c r="F2068" s="897"/>
      <c r="G2068" s="1453"/>
      <c r="H2068" s="1453"/>
      <c r="I2068" s="897"/>
      <c r="J2068" s="897"/>
      <c r="K2068" s="897"/>
      <c r="L2068" s="897"/>
      <c r="M2068" s="1460"/>
      <c r="N2068" s="897"/>
      <c r="O2068" s="1451">
        <v>601</v>
      </c>
      <c r="P2068" s="18">
        <f>'Configurable Tab'!J45</f>
        <v>0</v>
      </c>
      <c r="Q2068" s="1451" t="s">
        <v>649</v>
      </c>
      <c r="R2068" s="1453" t="s">
        <v>2100</v>
      </c>
      <c r="T2068" s="1453" t="str">
        <f t="shared" ref="T2068:T2077" si="363">IF(Q$2068="Yes",43,"")</f>
        <v/>
      </c>
    </row>
    <row r="2069" spans="1:20" s="1451" customFormat="1" x14ac:dyDescent="0.25">
      <c r="A2069" s="928" t="s">
        <v>1400</v>
      </c>
      <c r="B2069" s="897" t="str">
        <f ca="1">IFERROR(_xlfn.CONCAT("C",MATCH(A2069,INDIRECT("'"&amp;E2069&amp;"'!C"&amp;$O$2068&amp;":C"&amp;$O$2070),0)+$O$2068-1),"")</f>
        <v/>
      </c>
      <c r="C2069" s="897" t="str">
        <f ca="1">IFERROR(_xlfn.CONCAT("D",MATCH(A2069,INDIRECT("'"&amp;E2069&amp;"'!C"&amp;$O$2068&amp;":C"&amp;$O$2070),0)+$O$2068-1),"")</f>
        <v/>
      </c>
      <c r="D2069" s="897" t="s">
        <v>1367</v>
      </c>
      <c r="E2069" s="897" t="s">
        <v>1535</v>
      </c>
      <c r="F2069" s="897" t="s">
        <v>1400</v>
      </c>
      <c r="G2069" s="1453" t="str">
        <f>IF(T2069&lt;&gt;"","B","")</f>
        <v/>
      </c>
      <c r="H2069" s="1453" t="s">
        <v>1926</v>
      </c>
      <c r="I2069" s="897"/>
      <c r="J2069" s="897"/>
      <c r="K2069" s="897"/>
      <c r="L2069" s="897"/>
      <c r="M2069" s="1460"/>
      <c r="N2069" s="897"/>
      <c r="O2069" s="1451" t="s">
        <v>727</v>
      </c>
      <c r="R2069" s="1453" t="s">
        <v>2100</v>
      </c>
      <c r="T2069" s="1453" t="str">
        <f t="shared" si="363"/>
        <v/>
      </c>
    </row>
    <row r="2070" spans="1:20" s="1451" customFormat="1" x14ac:dyDescent="0.25">
      <c r="A2070" s="928" t="s">
        <v>1398</v>
      </c>
      <c r="B2070" s="897"/>
      <c r="C2070" s="897"/>
      <c r="D2070" s="897" t="s">
        <v>1367</v>
      </c>
      <c r="E2070" s="897" t="s">
        <v>1535</v>
      </c>
      <c r="F2070" s="897" t="s">
        <v>1928</v>
      </c>
      <c r="G2070" s="1453" t="str">
        <f>IF(T2070&lt;&gt;"","I","")</f>
        <v/>
      </c>
      <c r="H2070" s="1453" t="s">
        <v>1926</v>
      </c>
      <c r="I2070" s="897"/>
      <c r="J2070" s="897"/>
      <c r="K2070" s="897"/>
      <c r="L2070" s="897"/>
      <c r="M2070" s="1460"/>
      <c r="N2070" s="897"/>
      <c r="O2070" s="1451">
        <v>614</v>
      </c>
      <c r="R2070" s="1453" t="s">
        <v>2100</v>
      </c>
      <c r="T2070" s="1453" t="str">
        <f t="shared" si="363"/>
        <v/>
      </c>
    </row>
    <row r="2071" spans="1:20" s="1451" customFormat="1" x14ac:dyDescent="0.25">
      <c r="A2071" s="928" t="s">
        <v>1399</v>
      </c>
      <c r="B2071" s="897"/>
      <c r="C2071" s="897"/>
      <c r="D2071" s="897" t="s">
        <v>1367</v>
      </c>
      <c r="E2071" s="897" t="s">
        <v>1535</v>
      </c>
      <c r="F2071" s="897" t="s">
        <v>1399</v>
      </c>
      <c r="G2071" s="1453" t="str">
        <f>IF(T2071&lt;&gt;"",IF(Q2070="Credit Memo","J",IF(Q2070="Check","K","")),"")</f>
        <v/>
      </c>
      <c r="H2071" s="1453" t="s">
        <v>1926</v>
      </c>
      <c r="I2071" s="897"/>
      <c r="J2071" s="897"/>
      <c r="K2071" s="897"/>
      <c r="L2071" s="897"/>
      <c r="M2071" s="1460"/>
      <c r="N2071" s="897"/>
      <c r="O2071" s="1451" t="s">
        <v>2101</v>
      </c>
      <c r="R2071" s="1453" t="s">
        <v>2100</v>
      </c>
      <c r="T2071" s="1453" t="str">
        <f t="shared" si="363"/>
        <v/>
      </c>
    </row>
    <row r="2072" spans="1:20" s="1451" customFormat="1" x14ac:dyDescent="0.25">
      <c r="A2072" s="928" t="s">
        <v>1402</v>
      </c>
      <c r="B2072" s="897" t="str">
        <f ca="1">IFERROR(_xlfn.CONCAT("C",MATCH(A2072,INDIRECT("'"&amp;E2072&amp;"'!C"&amp;$O$2068&amp;":C"&amp;$O$2070),0)+$O$2068-1),"")</f>
        <v/>
      </c>
      <c r="C2072" s="897" t="str">
        <f ca="1">IFERROR(_xlfn.CONCAT("D",MATCH(A2072,INDIRECT("'"&amp;E2072&amp;"'!C"&amp;$O$2068&amp;":C"&amp;$O$2070),0)+$O$2068-1),"")</f>
        <v/>
      </c>
      <c r="D2072" s="897" t="s">
        <v>1367</v>
      </c>
      <c r="E2072" s="897" t="s">
        <v>1535</v>
      </c>
      <c r="F2072" s="897" t="s">
        <v>1402</v>
      </c>
      <c r="G2072" s="1453" t="str">
        <f>IF(T2072&lt;&gt;"","C","")</f>
        <v/>
      </c>
      <c r="H2072" s="1453" t="s">
        <v>1926</v>
      </c>
      <c r="I2072" s="897"/>
      <c r="J2072" s="897"/>
      <c r="K2072" s="897"/>
      <c r="L2072" s="897"/>
      <c r="M2072" s="1460"/>
      <c r="N2072" s="897"/>
      <c r="R2072" s="1453" t="s">
        <v>2100</v>
      </c>
      <c r="T2072" s="1453" t="str">
        <f t="shared" si="363"/>
        <v/>
      </c>
    </row>
    <row r="2073" spans="1:20" s="1451" customFormat="1" x14ac:dyDescent="0.25">
      <c r="A2073" s="928" t="s">
        <v>1403</v>
      </c>
      <c r="B2073" s="897" t="str">
        <f ca="1">IFERROR(_xlfn.CONCAT("C",MATCH(A2073,INDIRECT("'"&amp;E2073&amp;"'!C"&amp;$O$2068&amp;":C"&amp;$O$2070),0)+$O$2068-1),"")</f>
        <v/>
      </c>
      <c r="C2073" s="897" t="str">
        <f ca="1">IFERROR(_xlfn.CONCAT("D",MATCH(A2073,INDIRECT("'"&amp;E2073&amp;"'!C"&amp;$O$2068&amp;":C"&amp;$O$2070),0)+$O$2068-1),"")</f>
        <v/>
      </c>
      <c r="D2073" s="897" t="s">
        <v>1367</v>
      </c>
      <c r="E2073" s="897" t="s">
        <v>1535</v>
      </c>
      <c r="F2073" s="897" t="s">
        <v>1403</v>
      </c>
      <c r="G2073" s="1453" t="str">
        <f>IF(T2073&lt;&gt;"","D","")</f>
        <v/>
      </c>
      <c r="H2073" s="1453" t="s">
        <v>1926</v>
      </c>
      <c r="I2073" s="897"/>
      <c r="J2073" s="897"/>
      <c r="K2073" s="897"/>
      <c r="L2073" s="897"/>
      <c r="M2073" s="1460"/>
      <c r="N2073" s="897"/>
      <c r="R2073" s="1453" t="s">
        <v>2100</v>
      </c>
      <c r="T2073" s="1453" t="str">
        <f t="shared" si="363"/>
        <v/>
      </c>
    </row>
    <row r="2074" spans="1:20" s="1451" customFormat="1" x14ac:dyDescent="0.25">
      <c r="A2074" s="928" t="s">
        <v>1413</v>
      </c>
      <c r="B2074" s="897"/>
      <c r="C2074" s="897"/>
      <c r="D2074" s="897" t="s">
        <v>1367</v>
      </c>
      <c r="E2074" s="897" t="s">
        <v>1535</v>
      </c>
      <c r="F2074" s="1453" t="s">
        <v>1413</v>
      </c>
      <c r="G2074" s="1453" t="str">
        <f t="shared" si="362"/>
        <v/>
      </c>
      <c r="H2074" s="1453" t="s">
        <v>1926</v>
      </c>
      <c r="I2074" s="897"/>
      <c r="J2074" s="897"/>
      <c r="K2074" s="897"/>
      <c r="L2074" s="897"/>
      <c r="M2074" s="1460"/>
      <c r="N2074" s="897"/>
      <c r="R2074" s="1453" t="s">
        <v>2100</v>
      </c>
      <c r="T2074" s="1453" t="str">
        <f t="shared" si="363"/>
        <v/>
      </c>
    </row>
    <row r="2075" spans="1:20" s="1451" customFormat="1" x14ac:dyDescent="0.25">
      <c r="A2075" s="928" t="s">
        <v>2086</v>
      </c>
      <c r="B2075" s="897"/>
      <c r="C2075" s="897"/>
      <c r="D2075" s="897" t="s">
        <v>1367</v>
      </c>
      <c r="E2075" s="897" t="s">
        <v>1535</v>
      </c>
      <c r="F2075" s="897" t="s">
        <v>2086</v>
      </c>
      <c r="G2075" s="1453" t="str">
        <f>IF(T2075&lt;&gt;"","AQ","")</f>
        <v/>
      </c>
      <c r="H2075" s="1453" t="s">
        <v>1926</v>
      </c>
      <c r="I2075" s="897"/>
      <c r="J2075" s="897"/>
      <c r="K2075" s="897"/>
      <c r="L2075" s="897"/>
      <c r="M2075" s="1460"/>
      <c r="N2075" s="897"/>
      <c r="R2075" s="1453" t="s">
        <v>2100</v>
      </c>
      <c r="T2075" s="1453" t="str">
        <f t="shared" si="363"/>
        <v/>
      </c>
    </row>
    <row r="2076" spans="1:20" s="1451" customFormat="1" x14ac:dyDescent="0.25">
      <c r="A2076" s="928" t="s">
        <v>1501</v>
      </c>
      <c r="B2076" s="897"/>
      <c r="C2076" s="897"/>
      <c r="D2076" s="897" t="s">
        <v>1367</v>
      </c>
      <c r="E2076" s="897" t="s">
        <v>1535</v>
      </c>
      <c r="F2076" s="897" t="s">
        <v>2087</v>
      </c>
      <c r="G2076" s="1453" t="str">
        <f>IF(T2076&lt;&gt;"","AA","")</f>
        <v/>
      </c>
      <c r="H2076" s="1453" t="s">
        <v>1926</v>
      </c>
      <c r="I2076" s="897"/>
      <c r="J2076" s="897"/>
      <c r="K2076" s="897"/>
      <c r="L2076" s="897"/>
      <c r="M2076" s="1460"/>
      <c r="N2076" s="897"/>
      <c r="R2076" s="1453" t="s">
        <v>2100</v>
      </c>
      <c r="T2076" s="1453" t="str">
        <f t="shared" si="363"/>
        <v/>
      </c>
    </row>
    <row r="2077" spans="1:20" s="1451" customFormat="1" x14ac:dyDescent="0.25">
      <c r="A2077" s="928" t="s">
        <v>1414</v>
      </c>
      <c r="B2077" s="897"/>
      <c r="C2077" s="897"/>
      <c r="D2077" s="897" t="s">
        <v>1367</v>
      </c>
      <c r="E2077" s="897" t="s">
        <v>1535</v>
      </c>
      <c r="F2077" s="897" t="s">
        <v>1929</v>
      </c>
      <c r="G2077" s="1453" t="str">
        <f>IF(T2077&lt;&gt;"","H","")</f>
        <v/>
      </c>
      <c r="H2077" s="1453" t="s">
        <v>1926</v>
      </c>
      <c r="I2077" s="897"/>
      <c r="J2077" s="897"/>
      <c r="K2077" s="897"/>
      <c r="L2077" s="897"/>
      <c r="M2077" s="1460"/>
      <c r="N2077" s="897"/>
      <c r="R2077" s="1453" t="s">
        <v>2100</v>
      </c>
      <c r="T2077" s="1453" t="str">
        <f t="shared" si="363"/>
        <v/>
      </c>
    </row>
    <row r="2078" spans="1:20" s="1451" customFormat="1" x14ac:dyDescent="0.25">
      <c r="A2078" s="925" t="s">
        <v>1510</v>
      </c>
      <c r="B2078" s="897" t="str">
        <f ca="1">IFERROR(_xlfn.CONCAT("C",MATCH(A2078,INDIRECT("'"&amp;E2078&amp;"'!C"&amp;$O$2079&amp;":C"&amp;$O$2081),0)+$O$2079-1),"")</f>
        <v/>
      </c>
      <c r="C2078" s="897" t="str">
        <f ca="1">IFERROR(_xlfn.CONCAT("D",MATCH(A2078,INDIRECT("'"&amp;E2078&amp;"'!C"&amp;$O$2079&amp;":C"&amp;$O$2081),0)+$O$2079-1),"")</f>
        <v/>
      </c>
      <c r="D2078" s="897" t="s">
        <v>1367</v>
      </c>
      <c r="E2078" s="897" t="s">
        <v>1535</v>
      </c>
      <c r="F2078" s="897" t="s">
        <v>1510</v>
      </c>
      <c r="G2078" s="1453" t="str">
        <f>IF(T2078&lt;&gt;"","A","")</f>
        <v/>
      </c>
      <c r="H2078" s="1453" t="s">
        <v>1926</v>
      </c>
      <c r="I2078" s="897"/>
      <c r="J2078" s="897"/>
      <c r="K2078" s="897"/>
      <c r="L2078" s="897"/>
      <c r="M2078" s="1460"/>
      <c r="N2078" s="897"/>
      <c r="O2078" s="1451" t="s">
        <v>726</v>
      </c>
      <c r="R2078" s="1453" t="s">
        <v>2102</v>
      </c>
      <c r="T2078" s="1453" t="str">
        <f>IF(Q$2079="Yes",44,"")</f>
        <v/>
      </c>
    </row>
    <row r="2079" spans="1:20" s="1451" customFormat="1" x14ac:dyDescent="0.25">
      <c r="A2079" s="925" t="s">
        <v>1724</v>
      </c>
      <c r="B2079" s="897"/>
      <c r="C2079" s="897"/>
      <c r="D2079" s="897" t="s">
        <v>1367</v>
      </c>
      <c r="E2079" s="897" t="s">
        <v>1535</v>
      </c>
      <c r="F2079" s="897"/>
      <c r="G2079" s="1453"/>
      <c r="H2079" s="1453"/>
      <c r="I2079" s="897"/>
      <c r="J2079" s="897"/>
      <c r="K2079" s="897"/>
      <c r="L2079" s="897"/>
      <c r="M2079" s="1460"/>
      <c r="N2079" s="897"/>
      <c r="O2079" s="1451">
        <v>615</v>
      </c>
      <c r="P2079" s="18">
        <f>'Configurable Tab'!J46</f>
        <v>0</v>
      </c>
      <c r="Q2079" s="1451" t="s">
        <v>649</v>
      </c>
      <c r="R2079" s="1453" t="s">
        <v>2102</v>
      </c>
      <c r="T2079" s="1453" t="str">
        <f t="shared" ref="T2079:T2088" si="364">IF(Q$2079="Yes",44,"")</f>
        <v/>
      </c>
    </row>
    <row r="2080" spans="1:20" s="1451" customFormat="1" x14ac:dyDescent="0.25">
      <c r="A2080" s="925" t="s">
        <v>1400</v>
      </c>
      <c r="B2080" s="897" t="str">
        <f ca="1">IFERROR(_xlfn.CONCAT("C",MATCH(A2080,INDIRECT("'"&amp;E2080&amp;"'!C"&amp;$O$2079&amp;":C"&amp;$O$2081),0)+$O$2079-1),"")</f>
        <v/>
      </c>
      <c r="C2080" s="897" t="str">
        <f ca="1">IFERROR(_xlfn.CONCAT("D",MATCH(A2080,INDIRECT("'"&amp;E2080&amp;"'!C"&amp;$O$2079&amp;":C"&amp;$O$2081),0)+$O$2079-1),"")</f>
        <v/>
      </c>
      <c r="D2080" s="897" t="s">
        <v>1367</v>
      </c>
      <c r="E2080" s="897" t="s">
        <v>1535</v>
      </c>
      <c r="F2080" s="897" t="s">
        <v>1400</v>
      </c>
      <c r="G2080" s="1453" t="str">
        <f>IF(T2080&lt;&gt;"","B","")</f>
        <v/>
      </c>
      <c r="H2080" s="1453" t="s">
        <v>1926</v>
      </c>
      <c r="I2080" s="897"/>
      <c r="J2080" s="897"/>
      <c r="K2080" s="897"/>
      <c r="L2080" s="897"/>
      <c r="M2080" s="1460"/>
      <c r="N2080" s="897"/>
      <c r="O2080" s="1451" t="s">
        <v>727</v>
      </c>
      <c r="R2080" s="1453" t="s">
        <v>2102</v>
      </c>
      <c r="T2080" s="1453" t="str">
        <f t="shared" si="364"/>
        <v/>
      </c>
    </row>
    <row r="2081" spans="1:20" s="1451" customFormat="1" x14ac:dyDescent="0.25">
      <c r="A2081" s="925" t="s">
        <v>1398</v>
      </c>
      <c r="B2081" s="897"/>
      <c r="C2081" s="897"/>
      <c r="D2081" s="897" t="s">
        <v>1367</v>
      </c>
      <c r="E2081" s="897" t="s">
        <v>1535</v>
      </c>
      <c r="F2081" s="897" t="s">
        <v>1928</v>
      </c>
      <c r="G2081" s="1453" t="str">
        <f>IF(T2081&lt;&gt;"","I","")</f>
        <v/>
      </c>
      <c r="H2081" s="1453" t="s">
        <v>1926</v>
      </c>
      <c r="I2081" s="897"/>
      <c r="J2081" s="897"/>
      <c r="K2081" s="897"/>
      <c r="L2081" s="897"/>
      <c r="M2081" s="1460"/>
      <c r="N2081" s="897"/>
      <c r="O2081" s="1451">
        <v>628</v>
      </c>
      <c r="R2081" s="1453" t="s">
        <v>2102</v>
      </c>
      <c r="T2081" s="1453" t="str">
        <f t="shared" si="364"/>
        <v/>
      </c>
    </row>
    <row r="2082" spans="1:20" s="1451" customFormat="1" x14ac:dyDescent="0.25">
      <c r="A2082" s="925" t="s">
        <v>1399</v>
      </c>
      <c r="B2082" s="897"/>
      <c r="C2082" s="897"/>
      <c r="D2082" s="897" t="s">
        <v>1367</v>
      </c>
      <c r="E2082" s="897" t="s">
        <v>1535</v>
      </c>
      <c r="F2082" s="897" t="s">
        <v>1399</v>
      </c>
      <c r="G2082" s="1453" t="str">
        <f>IF(T2082&lt;&gt;"",IF(Q2081="Credit Memo","J",IF(Q2081="Check","K","")),"")</f>
        <v/>
      </c>
      <c r="H2082" s="1453" t="s">
        <v>1926</v>
      </c>
      <c r="I2082" s="897"/>
      <c r="J2082" s="897"/>
      <c r="K2082" s="897"/>
      <c r="L2082" s="897"/>
      <c r="M2082" s="1460"/>
      <c r="N2082" s="897"/>
      <c r="O2082" s="1451" t="s">
        <v>2103</v>
      </c>
      <c r="R2082" s="1453" t="s">
        <v>2102</v>
      </c>
      <c r="T2082" s="1453" t="str">
        <f t="shared" si="364"/>
        <v/>
      </c>
    </row>
    <row r="2083" spans="1:20" s="1451" customFormat="1" x14ac:dyDescent="0.25">
      <c r="A2083" s="925" t="s">
        <v>1402</v>
      </c>
      <c r="B2083" s="897" t="str">
        <f ca="1">IFERROR(_xlfn.CONCAT("C",MATCH(A2083,INDIRECT("'"&amp;E2083&amp;"'!C"&amp;$O$2079&amp;":C"&amp;$O$2081),0)+$O$2079-1),"")</f>
        <v/>
      </c>
      <c r="C2083" s="897" t="str">
        <f ca="1">IFERROR(_xlfn.CONCAT("D",MATCH(A2083,INDIRECT("'"&amp;E2083&amp;"'!C"&amp;$O$2079&amp;":C"&amp;$O$2081),0)+$O$2079-1),"")</f>
        <v/>
      </c>
      <c r="D2083" s="897" t="s">
        <v>1367</v>
      </c>
      <c r="E2083" s="897" t="s">
        <v>1535</v>
      </c>
      <c r="F2083" s="897" t="s">
        <v>1402</v>
      </c>
      <c r="G2083" s="1453" t="str">
        <f>IF(T2083&lt;&gt;"","C","")</f>
        <v/>
      </c>
      <c r="H2083" s="1453" t="s">
        <v>1926</v>
      </c>
      <c r="I2083" s="897"/>
      <c r="J2083" s="897"/>
      <c r="K2083" s="897"/>
      <c r="L2083" s="897"/>
      <c r="M2083" s="1460"/>
      <c r="N2083" s="897"/>
      <c r="R2083" s="1453" t="s">
        <v>2102</v>
      </c>
      <c r="T2083" s="1453" t="str">
        <f t="shared" si="364"/>
        <v/>
      </c>
    </row>
    <row r="2084" spans="1:20" s="1451" customFormat="1" x14ac:dyDescent="0.25">
      <c r="A2084" s="925" t="s">
        <v>1403</v>
      </c>
      <c r="B2084" s="897" t="str">
        <f ca="1">IFERROR(_xlfn.CONCAT("C",MATCH(A2084,INDIRECT("'"&amp;E2084&amp;"'!C"&amp;$O$2079&amp;":C"&amp;$O$2081),0)+$O$2079-1),"")</f>
        <v/>
      </c>
      <c r="C2084" s="897" t="str">
        <f ca="1">IFERROR(_xlfn.CONCAT("D",MATCH(A2084,INDIRECT("'"&amp;E2084&amp;"'!C"&amp;$O$2079&amp;":C"&amp;$O$2081),0)+$O$2079-1),"")</f>
        <v/>
      </c>
      <c r="D2084" s="897" t="s">
        <v>1367</v>
      </c>
      <c r="E2084" s="897" t="s">
        <v>1535</v>
      </c>
      <c r="F2084" s="897" t="s">
        <v>1403</v>
      </c>
      <c r="G2084" s="1453" t="str">
        <f>IF(T2084&lt;&gt;"","D","")</f>
        <v/>
      </c>
      <c r="H2084" s="1453" t="s">
        <v>1926</v>
      </c>
      <c r="I2084" s="897"/>
      <c r="J2084" s="897"/>
      <c r="K2084" s="897"/>
      <c r="L2084" s="897"/>
      <c r="M2084" s="1460"/>
      <c r="N2084" s="897"/>
      <c r="R2084" s="1453" t="s">
        <v>2102</v>
      </c>
      <c r="T2084" s="1453" t="str">
        <f t="shared" si="364"/>
        <v/>
      </c>
    </row>
    <row r="2085" spans="1:20" s="1451" customFormat="1" x14ac:dyDescent="0.25">
      <c r="A2085" s="925" t="s">
        <v>1413</v>
      </c>
      <c r="B2085" s="897"/>
      <c r="C2085" s="897"/>
      <c r="D2085" s="897" t="s">
        <v>1367</v>
      </c>
      <c r="E2085" s="897" t="s">
        <v>1535</v>
      </c>
      <c r="F2085" s="1453" t="s">
        <v>1413</v>
      </c>
      <c r="G2085" s="1453" t="str">
        <f t="shared" si="362"/>
        <v/>
      </c>
      <c r="H2085" s="1453" t="s">
        <v>1926</v>
      </c>
      <c r="I2085" s="897"/>
      <c r="J2085" s="897"/>
      <c r="K2085" s="897"/>
      <c r="L2085" s="897"/>
      <c r="M2085" s="1460"/>
      <c r="N2085" s="897"/>
      <c r="R2085" s="1453" t="s">
        <v>2102</v>
      </c>
      <c r="T2085" s="1453" t="str">
        <f t="shared" si="364"/>
        <v/>
      </c>
    </row>
    <row r="2086" spans="1:20" s="1451" customFormat="1" x14ac:dyDescent="0.25">
      <c r="A2086" s="925" t="s">
        <v>2086</v>
      </c>
      <c r="B2086" s="897"/>
      <c r="C2086" s="897"/>
      <c r="D2086" s="897" t="s">
        <v>1367</v>
      </c>
      <c r="E2086" s="897" t="s">
        <v>1535</v>
      </c>
      <c r="F2086" s="897" t="s">
        <v>2086</v>
      </c>
      <c r="G2086" s="1453" t="str">
        <f>IF(T2086&lt;&gt;"","AQ","")</f>
        <v/>
      </c>
      <c r="H2086" s="1453" t="s">
        <v>1926</v>
      </c>
      <c r="I2086" s="897"/>
      <c r="J2086" s="897"/>
      <c r="K2086" s="897"/>
      <c r="L2086" s="897"/>
      <c r="M2086" s="1460"/>
      <c r="N2086" s="897"/>
      <c r="R2086" s="1453" t="s">
        <v>2102</v>
      </c>
      <c r="T2086" s="1453" t="str">
        <f t="shared" si="364"/>
        <v/>
      </c>
    </row>
    <row r="2087" spans="1:20" s="1451" customFormat="1" x14ac:dyDescent="0.25">
      <c r="A2087" s="925" t="s">
        <v>1501</v>
      </c>
      <c r="B2087" s="897"/>
      <c r="C2087" s="897"/>
      <c r="D2087" s="897" t="s">
        <v>1367</v>
      </c>
      <c r="E2087" s="897" t="s">
        <v>1535</v>
      </c>
      <c r="F2087" s="897" t="s">
        <v>2087</v>
      </c>
      <c r="G2087" s="1453" t="str">
        <f>IF(T2087&lt;&gt;"","AA","")</f>
        <v/>
      </c>
      <c r="H2087" s="1453" t="s">
        <v>1926</v>
      </c>
      <c r="I2087" s="897"/>
      <c r="J2087" s="897"/>
      <c r="K2087" s="897"/>
      <c r="L2087" s="897"/>
      <c r="M2087" s="1460"/>
      <c r="N2087" s="897"/>
      <c r="R2087" s="1453" t="s">
        <v>2102</v>
      </c>
      <c r="T2087" s="1453" t="str">
        <f t="shared" si="364"/>
        <v/>
      </c>
    </row>
    <row r="2088" spans="1:20" s="1451" customFormat="1" x14ac:dyDescent="0.25">
      <c r="A2088" s="925" t="s">
        <v>1414</v>
      </c>
      <c r="B2088" s="897"/>
      <c r="C2088" s="897"/>
      <c r="D2088" s="897" t="s">
        <v>1367</v>
      </c>
      <c r="E2088" s="897" t="s">
        <v>1535</v>
      </c>
      <c r="F2088" s="897" t="s">
        <v>1929</v>
      </c>
      <c r="G2088" s="1453" t="str">
        <f>IF(T2088&lt;&gt;"","H","")</f>
        <v/>
      </c>
      <c r="H2088" s="1453" t="s">
        <v>1926</v>
      </c>
      <c r="I2088" s="897"/>
      <c r="J2088" s="897"/>
      <c r="K2088" s="897"/>
      <c r="L2088" s="897"/>
      <c r="M2088" s="1460"/>
      <c r="N2088" s="897"/>
      <c r="R2088" s="1453" t="s">
        <v>2102</v>
      </c>
      <c r="T2088" s="1453" t="str">
        <f t="shared" si="364"/>
        <v/>
      </c>
    </row>
    <row r="2089" spans="1:20" s="1451" customFormat="1" x14ac:dyDescent="0.25">
      <c r="A2089" s="925" t="s">
        <v>1724</v>
      </c>
      <c r="B2089" s="857" t="str">
        <f>IFERROR(_xlfn.CONCAT("D",('Configurable Tab'!$C$23+1)),"")</f>
        <v>D1</v>
      </c>
      <c r="C2089" s="857" t="str">
        <f>IFERROR(_xlfn.CONCAT("E",('Configurable Tab'!$C$23+1)),"")</f>
        <v>E1</v>
      </c>
      <c r="D2089" s="897" t="s">
        <v>1367</v>
      </c>
      <c r="E2089" s="897" t="s">
        <v>1936</v>
      </c>
      <c r="F2089" s="1453"/>
      <c r="G2089" s="1453"/>
      <c r="H2089" s="1453"/>
      <c r="I2089" s="857" t="str">
        <f t="shared" ref="I2089:I2152" si="365">IF(J2089&lt;&gt;"",A2089,"")</f>
        <v>Offer This Incentive?</v>
      </c>
      <c r="J2089" s="1453" t="str">
        <f t="shared" ref="J2089:J2098" si="366">IFERROR(Q$1&amp;M1991,"")</f>
        <v>F</v>
      </c>
      <c r="K2089" s="1453" t="str">
        <f t="shared" ref="K2089:K2152" si="367">IF(J2089&lt;&gt;"",E2089,"")</f>
        <v>Incentives</v>
      </c>
      <c r="M2089" s="1452"/>
      <c r="Q2089" s="857" t="str">
        <f>IFERROR(_xlfn.CONCAT("C",('Configurable Tab'!$C23+1)),"")</f>
        <v>C1</v>
      </c>
      <c r="R2089" s="1453" t="s">
        <v>2084</v>
      </c>
    </row>
    <row r="2090" spans="1:20" s="1451" customFormat="1" x14ac:dyDescent="0.25">
      <c r="A2090" s="925" t="s">
        <v>1400</v>
      </c>
      <c r="B2090" s="857" t="str">
        <f>IFERROR(_xlfn.CONCAT("D",('Configurable Tab'!$C$23+2)),"")</f>
        <v>D2</v>
      </c>
      <c r="C2090" s="857" t="str">
        <f>IFERROR(_xlfn.CONCAT("E",('Configurable Tab'!$C$23+2)),"")</f>
        <v>E2</v>
      </c>
      <c r="D2090" s="897" t="s">
        <v>1367</v>
      </c>
      <c r="E2090" s="897" t="s">
        <v>1936</v>
      </c>
      <c r="F2090" s="1453"/>
      <c r="G2090" s="1453"/>
      <c r="H2090" s="1453"/>
      <c r="I2090" s="857" t="str">
        <f t="shared" si="365"/>
        <v>Incentive Type</v>
      </c>
      <c r="J2090" s="1453" t="str">
        <f t="shared" si="366"/>
        <v>F</v>
      </c>
      <c r="K2090" s="1453" t="str">
        <f t="shared" si="367"/>
        <v>Incentives</v>
      </c>
      <c r="M2090" s="1452"/>
      <c r="R2090" s="1453" t="s">
        <v>2084</v>
      </c>
    </row>
    <row r="2091" spans="1:20" s="1451" customFormat="1" x14ac:dyDescent="0.25">
      <c r="A2091" s="925" t="s">
        <v>1398</v>
      </c>
      <c r="B2091" s="857" t="str">
        <f>IFERROR(_xlfn.CONCAT("I",('Configurable Tab'!$C$23+1)),"")</f>
        <v>I1</v>
      </c>
      <c r="C2091" s="857" t="str">
        <f>IFERROR(_xlfn.CONCAT("I",('Configurable Tab'!$C$23+2)),"")</f>
        <v>I2</v>
      </c>
      <c r="D2091" s="897" t="s">
        <v>1367</v>
      </c>
      <c r="E2091" s="897" t="s">
        <v>1936</v>
      </c>
      <c r="F2091" s="1453"/>
      <c r="G2091" s="1453"/>
      <c r="H2091" s="1453"/>
      <c r="I2091" s="857" t="str">
        <f t="shared" si="365"/>
        <v>Payment Method</v>
      </c>
      <c r="J2091" s="1453" t="str">
        <f t="shared" si="366"/>
        <v>F</v>
      </c>
      <c r="K2091" s="1453" t="str">
        <f t="shared" si="367"/>
        <v>Incentives</v>
      </c>
      <c r="M2091" s="1452"/>
      <c r="R2091" s="1453" t="s">
        <v>2084</v>
      </c>
    </row>
    <row r="2092" spans="1:20" s="1451" customFormat="1" x14ac:dyDescent="0.25">
      <c r="A2092" s="925" t="s">
        <v>1399</v>
      </c>
      <c r="B2092" s="857" t="str">
        <f>IFERROR(_xlfn.CONCAT("M",('Configurable Tab'!$C$23+1)),"")</f>
        <v>M1</v>
      </c>
      <c r="C2092" s="857" t="str">
        <f>IFERROR(_xlfn.CONCAT("M",('Configurable Tab'!$C$23+2)),"")</f>
        <v>M2</v>
      </c>
      <c r="D2092" s="897" t="s">
        <v>1367</v>
      </c>
      <c r="E2092" s="897" t="s">
        <v>1936</v>
      </c>
      <c r="F2092" s="1453"/>
      <c r="G2092" s="1453"/>
      <c r="H2092" s="1453"/>
      <c r="I2092" s="857" t="str">
        <f t="shared" si="365"/>
        <v>AP/AR Vendor Number</v>
      </c>
      <c r="J2092" s="1453" t="str">
        <f t="shared" si="366"/>
        <v>F</v>
      </c>
      <c r="K2092" s="1453" t="str">
        <f t="shared" si="367"/>
        <v>Incentives</v>
      </c>
      <c r="M2092" s="1452"/>
      <c r="R2092" s="1453" t="s">
        <v>2084</v>
      </c>
    </row>
    <row r="2093" spans="1:20" s="1451" customFormat="1" x14ac:dyDescent="0.25">
      <c r="A2093" s="925" t="s">
        <v>1402</v>
      </c>
      <c r="B2093" s="857" t="str">
        <f>IFERROR(_xlfn.CONCAT("D",('Configurable Tab'!$C$23+4)),"")</f>
        <v>D4</v>
      </c>
      <c r="C2093" s="857" t="str">
        <f>IFERROR(_xlfn.CONCAT("E",('Configurable Tab'!$C$23+4)),"")</f>
        <v>E4</v>
      </c>
      <c r="D2093" s="897" t="s">
        <v>1367</v>
      </c>
      <c r="E2093" s="897" t="s">
        <v>1936</v>
      </c>
      <c r="F2093" s="1453"/>
      <c r="G2093" s="1453"/>
      <c r="H2093" s="1453"/>
      <c r="I2093" s="857" t="str">
        <f t="shared" si="365"/>
        <v>Incentive Effective Date</v>
      </c>
      <c r="J2093" s="1453" t="str">
        <f t="shared" si="366"/>
        <v>F</v>
      </c>
      <c r="K2093" s="1453" t="str">
        <f t="shared" si="367"/>
        <v>Incentives</v>
      </c>
      <c r="M2093" s="1452"/>
      <c r="R2093" s="1453" t="s">
        <v>2084</v>
      </c>
    </row>
    <row r="2094" spans="1:20" s="1451" customFormat="1" x14ac:dyDescent="0.25">
      <c r="A2094" s="925" t="s">
        <v>1403</v>
      </c>
      <c r="B2094" s="857" t="str">
        <f>IFERROR(_xlfn.CONCAT("D",('Configurable Tab'!$C$23+5)),"")</f>
        <v>D5</v>
      </c>
      <c r="C2094" s="857" t="str">
        <f>IFERROR(_xlfn.CONCAT("E",('Configurable Tab'!$C$23+5)),"")</f>
        <v>E5</v>
      </c>
      <c r="D2094" s="897" t="s">
        <v>1367</v>
      </c>
      <c r="E2094" s="897" t="s">
        <v>1936</v>
      </c>
      <c r="F2094" s="1453"/>
      <c r="G2094" s="1453"/>
      <c r="H2094" s="1453"/>
      <c r="I2094" s="857" t="str">
        <f t="shared" si="365"/>
        <v>Incentive Expiration Date</v>
      </c>
      <c r="J2094" s="1453" t="str">
        <f t="shared" si="366"/>
        <v>F</v>
      </c>
      <c r="K2094" s="1453" t="str">
        <f t="shared" si="367"/>
        <v>Incentives</v>
      </c>
      <c r="M2094" s="1452"/>
      <c r="R2094" s="1453" t="s">
        <v>2084</v>
      </c>
    </row>
    <row r="2095" spans="1:20" s="1451" customFormat="1" x14ac:dyDescent="0.25">
      <c r="A2095" s="925" t="s">
        <v>1413</v>
      </c>
      <c r="B2095" s="857" t="str">
        <f>IFERROR(_xlfn.CONCAT("G",('Configurable Tab'!$C$23+7)),"")</f>
        <v>G7</v>
      </c>
      <c r="C2095" s="857" t="str">
        <f>IFERROR(_xlfn.CONCAT("G",('Configurable Tab'!$C$23+8)),"")</f>
        <v>G8</v>
      </c>
      <c r="D2095" s="897" t="s">
        <v>1367</v>
      </c>
      <c r="E2095" s="897" t="s">
        <v>1936</v>
      </c>
      <c r="F2095" s="1453"/>
      <c r="G2095" s="1453"/>
      <c r="H2095" s="1453"/>
      <c r="I2095" s="857" t="str">
        <f t="shared" si="365"/>
        <v>FF Payment Amount</v>
      </c>
      <c r="J2095" s="1453" t="str">
        <f t="shared" si="366"/>
        <v>F</v>
      </c>
      <c r="K2095" s="1453" t="str">
        <f t="shared" si="367"/>
        <v>Incentives</v>
      </c>
      <c r="M2095" s="1452"/>
      <c r="R2095" s="1453" t="s">
        <v>2084</v>
      </c>
    </row>
    <row r="2096" spans="1:20" s="1451" customFormat="1" ht="30" x14ac:dyDescent="0.25">
      <c r="A2096" s="925" t="s">
        <v>2086</v>
      </c>
      <c r="B2096" s="857" t="str">
        <f>IFERROR(_xlfn.CONCAT("G",('Configurable Tab'!$C$23+7)),"")</f>
        <v>G7</v>
      </c>
      <c r="C2096" s="857" t="str">
        <f>IFERROR(_xlfn.CONCAT("G",('Configurable Tab'!$C$23+8)),"")</f>
        <v>G8</v>
      </c>
      <c r="D2096" s="897" t="s">
        <v>1367</v>
      </c>
      <c r="E2096" s="897" t="s">
        <v>1936</v>
      </c>
      <c r="F2096" s="1453"/>
      <c r="G2096" s="1453"/>
      <c r="H2096" s="1453"/>
      <c r="I2096" s="857" t="str">
        <f t="shared" si="365"/>
        <v>New Customer Location Customer Number</v>
      </c>
      <c r="J2096" s="1453" t="str">
        <f t="shared" si="366"/>
        <v>F</v>
      </c>
      <c r="K2096" s="1453" t="str">
        <f t="shared" si="367"/>
        <v>Incentives</v>
      </c>
      <c r="M2096" s="1452"/>
      <c r="R2096" s="1453" t="s">
        <v>2084</v>
      </c>
    </row>
    <row r="2097" spans="1:18" s="1451" customFormat="1" x14ac:dyDescent="0.25">
      <c r="A2097" s="925" t="s">
        <v>1501</v>
      </c>
      <c r="B2097" s="857" t="str">
        <f>IFERROR(_xlfn.CONCAT("K",('Configurable Tab'!$C$23+7)),"")</f>
        <v>K7</v>
      </c>
      <c r="C2097" s="857" t="str">
        <f>IFERROR(_xlfn.CONCAT("K",('Configurable Tab'!$C$23+8)),"")</f>
        <v>K8</v>
      </c>
      <c r="D2097" s="897" t="s">
        <v>1367</v>
      </c>
      <c r="E2097" s="897" t="s">
        <v>1936</v>
      </c>
      <c r="F2097" s="1453"/>
      <c r="G2097" s="1453"/>
      <c r="H2097" s="1453"/>
      <c r="I2097" s="857" t="str">
        <f t="shared" si="365"/>
        <v>Purchase Commitment</v>
      </c>
      <c r="J2097" s="1453" t="str">
        <f t="shared" si="366"/>
        <v>F</v>
      </c>
      <c r="K2097" s="1453" t="str">
        <f t="shared" si="367"/>
        <v>Incentives</v>
      </c>
      <c r="M2097" s="1452"/>
      <c r="R2097" s="1453" t="s">
        <v>2084</v>
      </c>
    </row>
    <row r="2098" spans="1:18" s="1451" customFormat="1" x14ac:dyDescent="0.25">
      <c r="A2098" s="925" t="s">
        <v>1414</v>
      </c>
      <c r="B2098" s="857" t="str">
        <f>IFERROR(_xlfn.CONCAT("K",('Configurable Tab'!$C$23+1)),"")</f>
        <v>K1</v>
      </c>
      <c r="C2098" s="857" t="str">
        <f>IFERROR(_xlfn.CONCAT("K",('Configurable Tab'!$C$23+2)),"")</f>
        <v>K2</v>
      </c>
      <c r="D2098" s="897" t="s">
        <v>1367</v>
      </c>
      <c r="E2098" s="897" t="s">
        <v>1936</v>
      </c>
      <c r="F2098" s="1453"/>
      <c r="G2098" s="1453"/>
      <c r="H2098" s="1453"/>
      <c r="I2098" s="857" t="str">
        <f t="shared" si="365"/>
        <v>Paid To</v>
      </c>
      <c r="J2098" s="1453" t="str">
        <f t="shared" si="366"/>
        <v>F</v>
      </c>
      <c r="K2098" s="1453" t="str">
        <f t="shared" si="367"/>
        <v>Incentives</v>
      </c>
      <c r="M2098" s="1452"/>
      <c r="R2098" s="1453" t="s">
        <v>2084</v>
      </c>
    </row>
    <row r="2099" spans="1:18" s="1451" customFormat="1" x14ac:dyDescent="0.25">
      <c r="A2099" s="928" t="s">
        <v>1724</v>
      </c>
      <c r="B2099" s="857" t="str">
        <f>IFERROR(_xlfn.CONCAT("D",('Configurable Tab'!$C$24+1)),"")</f>
        <v>D1</v>
      </c>
      <c r="C2099" s="857" t="str">
        <f>IFERROR(_xlfn.CONCAT("E",('Configurable Tab'!$C$24+1)),"")</f>
        <v>E1</v>
      </c>
      <c r="D2099" s="897" t="s">
        <v>1367</v>
      </c>
      <c r="E2099" s="897" t="s">
        <v>1936</v>
      </c>
      <c r="F2099" s="1453"/>
      <c r="G2099" s="1453"/>
      <c r="H2099" s="1453"/>
      <c r="I2099" s="857" t="str">
        <f t="shared" si="365"/>
        <v>Offer This Incentive?</v>
      </c>
      <c r="J2099" s="1453" t="str">
        <f t="shared" ref="J2099:J2108" si="368">IFERROR(Q$1&amp;M2002,"")</f>
        <v>F</v>
      </c>
      <c r="K2099" s="1453" t="str">
        <f t="shared" si="367"/>
        <v>Incentives</v>
      </c>
      <c r="M2099" s="1452"/>
      <c r="Q2099" s="857" t="str">
        <f>IFERROR(_xlfn.CONCAT("C",('Configurable Tab'!$C24+1)),"")</f>
        <v>C1</v>
      </c>
      <c r="R2099" s="1453" t="s">
        <v>2088</v>
      </c>
    </row>
    <row r="2100" spans="1:18" s="1451" customFormat="1" x14ac:dyDescent="0.25">
      <c r="A2100" s="928" t="s">
        <v>1400</v>
      </c>
      <c r="B2100" s="857" t="str">
        <f>IFERROR(_xlfn.CONCAT("D",('Configurable Tab'!$C$24+2)),"")</f>
        <v>D2</v>
      </c>
      <c r="C2100" s="857" t="str">
        <f>IFERROR(_xlfn.CONCAT("E",('Configurable Tab'!$C$24+2)),"")</f>
        <v>E2</v>
      </c>
      <c r="D2100" s="897" t="s">
        <v>1367</v>
      </c>
      <c r="E2100" s="897" t="s">
        <v>1936</v>
      </c>
      <c r="F2100" s="1453"/>
      <c r="G2100" s="1453"/>
      <c r="H2100" s="1453"/>
      <c r="I2100" s="857" t="str">
        <f t="shared" si="365"/>
        <v>Incentive Type</v>
      </c>
      <c r="J2100" s="1453" t="str">
        <f t="shared" si="368"/>
        <v>F</v>
      </c>
      <c r="K2100" s="1453" t="str">
        <f t="shared" si="367"/>
        <v>Incentives</v>
      </c>
      <c r="M2100" s="1452"/>
      <c r="R2100" s="1453" t="s">
        <v>2088</v>
      </c>
    </row>
    <row r="2101" spans="1:18" s="1451" customFormat="1" x14ac:dyDescent="0.25">
      <c r="A2101" s="928" t="s">
        <v>1398</v>
      </c>
      <c r="B2101" s="857" t="str">
        <f>IFERROR(_xlfn.CONCAT("I",('Configurable Tab'!$C$24+1)),"")</f>
        <v>I1</v>
      </c>
      <c r="C2101" s="857" t="str">
        <f>IFERROR(_xlfn.CONCAT("I",('Configurable Tab'!$C$24+2)),"")</f>
        <v>I2</v>
      </c>
      <c r="D2101" s="897" t="s">
        <v>1367</v>
      </c>
      <c r="E2101" s="897" t="s">
        <v>1936</v>
      </c>
      <c r="F2101" s="1453"/>
      <c r="G2101" s="1453"/>
      <c r="H2101" s="1453"/>
      <c r="I2101" s="857" t="str">
        <f t="shared" si="365"/>
        <v>Payment Method</v>
      </c>
      <c r="J2101" s="1453" t="str">
        <f t="shared" si="368"/>
        <v>F</v>
      </c>
      <c r="K2101" s="1453" t="str">
        <f t="shared" si="367"/>
        <v>Incentives</v>
      </c>
      <c r="M2101" s="1452"/>
      <c r="R2101" s="1453" t="s">
        <v>2088</v>
      </c>
    </row>
    <row r="2102" spans="1:18" s="1451" customFormat="1" x14ac:dyDescent="0.25">
      <c r="A2102" s="928" t="s">
        <v>1399</v>
      </c>
      <c r="B2102" s="857" t="str">
        <f>IFERROR(_xlfn.CONCAT("M",('Configurable Tab'!$C$24+1)),"")</f>
        <v>M1</v>
      </c>
      <c r="C2102" s="857" t="str">
        <f>IFERROR(_xlfn.CONCAT("M",('Configurable Tab'!$C$24+2)),"")</f>
        <v>M2</v>
      </c>
      <c r="D2102" s="897" t="s">
        <v>1367</v>
      </c>
      <c r="E2102" s="897" t="s">
        <v>1936</v>
      </c>
      <c r="F2102" s="1453"/>
      <c r="G2102" s="1453"/>
      <c r="H2102" s="1453"/>
      <c r="I2102" s="857" t="str">
        <f t="shared" si="365"/>
        <v>AP/AR Vendor Number</v>
      </c>
      <c r="J2102" s="1453" t="str">
        <f t="shared" si="368"/>
        <v>F</v>
      </c>
      <c r="K2102" s="1453" t="str">
        <f t="shared" si="367"/>
        <v>Incentives</v>
      </c>
      <c r="M2102" s="1452"/>
      <c r="R2102" s="1453" t="s">
        <v>2088</v>
      </c>
    </row>
    <row r="2103" spans="1:18" s="1451" customFormat="1" x14ac:dyDescent="0.25">
      <c r="A2103" s="928" t="s">
        <v>1402</v>
      </c>
      <c r="B2103" s="857" t="str">
        <f>IFERROR(_xlfn.CONCAT("D",('Configurable Tab'!$C$24+4)),"")</f>
        <v>D4</v>
      </c>
      <c r="C2103" s="857" t="str">
        <f>IFERROR(_xlfn.CONCAT("E",('Configurable Tab'!$C$24+4)),"")</f>
        <v>E4</v>
      </c>
      <c r="D2103" s="897" t="s">
        <v>1367</v>
      </c>
      <c r="E2103" s="897" t="s">
        <v>1936</v>
      </c>
      <c r="F2103" s="1453"/>
      <c r="G2103" s="1453"/>
      <c r="H2103" s="1453"/>
      <c r="I2103" s="857" t="str">
        <f t="shared" si="365"/>
        <v>Incentive Effective Date</v>
      </c>
      <c r="J2103" s="1453" t="str">
        <f t="shared" si="368"/>
        <v>F</v>
      </c>
      <c r="K2103" s="1453" t="str">
        <f t="shared" si="367"/>
        <v>Incentives</v>
      </c>
      <c r="M2103" s="1452"/>
      <c r="R2103" s="1453" t="s">
        <v>2088</v>
      </c>
    </row>
    <row r="2104" spans="1:18" s="1451" customFormat="1" x14ac:dyDescent="0.25">
      <c r="A2104" s="928" t="s">
        <v>1403</v>
      </c>
      <c r="B2104" s="857" t="str">
        <f>IFERROR(_xlfn.CONCAT("D",('Configurable Tab'!$C$24+5)),"")</f>
        <v>D5</v>
      </c>
      <c r="C2104" s="857" t="str">
        <f>IFERROR(_xlfn.CONCAT("E",('Configurable Tab'!$C$24+5)),"")</f>
        <v>E5</v>
      </c>
      <c r="D2104" s="897" t="s">
        <v>1367</v>
      </c>
      <c r="E2104" s="897" t="s">
        <v>1936</v>
      </c>
      <c r="F2104" s="1453"/>
      <c r="G2104" s="1453"/>
      <c r="H2104" s="1453"/>
      <c r="I2104" s="857" t="str">
        <f t="shared" si="365"/>
        <v>Incentive Expiration Date</v>
      </c>
      <c r="J2104" s="1453" t="str">
        <f t="shared" si="368"/>
        <v>F</v>
      </c>
      <c r="K2104" s="1453" t="str">
        <f t="shared" si="367"/>
        <v>Incentives</v>
      </c>
      <c r="M2104" s="1452"/>
      <c r="R2104" s="1453" t="s">
        <v>2088</v>
      </c>
    </row>
    <row r="2105" spans="1:18" s="1451" customFormat="1" x14ac:dyDescent="0.25">
      <c r="A2105" s="928" t="s">
        <v>1413</v>
      </c>
      <c r="B2105" s="857" t="str">
        <f>IFERROR(_xlfn.CONCAT("G",('Configurable Tab'!$C$24+7)),"")</f>
        <v>G7</v>
      </c>
      <c r="C2105" s="857" t="str">
        <f>IFERROR(_xlfn.CONCAT("G",('Configurable Tab'!$C$24+8)),"")</f>
        <v>G8</v>
      </c>
      <c r="D2105" s="897" t="s">
        <v>1367</v>
      </c>
      <c r="E2105" s="897" t="s">
        <v>1936</v>
      </c>
      <c r="F2105" s="1453"/>
      <c r="G2105" s="1453"/>
      <c r="H2105" s="1453"/>
      <c r="I2105" s="857" t="str">
        <f t="shared" si="365"/>
        <v>FF Payment Amount</v>
      </c>
      <c r="J2105" s="1453" t="str">
        <f t="shared" si="368"/>
        <v>F</v>
      </c>
      <c r="K2105" s="1453" t="str">
        <f t="shared" si="367"/>
        <v>Incentives</v>
      </c>
      <c r="M2105" s="1452"/>
      <c r="R2105" s="1453" t="s">
        <v>2088</v>
      </c>
    </row>
    <row r="2106" spans="1:18" s="1451" customFormat="1" ht="30" x14ac:dyDescent="0.25">
      <c r="A2106" s="928" t="s">
        <v>2086</v>
      </c>
      <c r="B2106" s="857" t="str">
        <f>IFERROR(_xlfn.CONCAT("G",('Configurable Tab'!$C$24+7)),"")</f>
        <v>G7</v>
      </c>
      <c r="C2106" s="857" t="str">
        <f>IFERROR(_xlfn.CONCAT("G",('Configurable Tab'!$C$24+8)),"")</f>
        <v>G8</v>
      </c>
      <c r="D2106" s="897" t="s">
        <v>1367</v>
      </c>
      <c r="E2106" s="897" t="s">
        <v>1936</v>
      </c>
      <c r="F2106" s="1453"/>
      <c r="G2106" s="1453"/>
      <c r="H2106" s="1453"/>
      <c r="I2106" s="857" t="str">
        <f t="shared" si="365"/>
        <v>New Customer Location Customer Number</v>
      </c>
      <c r="J2106" s="1453" t="str">
        <f t="shared" si="368"/>
        <v>F</v>
      </c>
      <c r="K2106" s="1453" t="str">
        <f t="shared" si="367"/>
        <v>Incentives</v>
      </c>
      <c r="M2106" s="1452"/>
      <c r="R2106" s="1453" t="s">
        <v>2088</v>
      </c>
    </row>
    <row r="2107" spans="1:18" s="1451" customFormat="1" x14ac:dyDescent="0.25">
      <c r="A2107" s="928" t="s">
        <v>1501</v>
      </c>
      <c r="B2107" s="857" t="str">
        <f>IFERROR(_xlfn.CONCAT("K",('Configurable Tab'!$C$24+7)),"")</f>
        <v>K7</v>
      </c>
      <c r="C2107" s="857" t="str">
        <f>IFERROR(_xlfn.CONCAT("K",('Configurable Tab'!$C$24+8)),"")</f>
        <v>K8</v>
      </c>
      <c r="D2107" s="897" t="s">
        <v>1367</v>
      </c>
      <c r="E2107" s="897" t="s">
        <v>1936</v>
      </c>
      <c r="F2107" s="1453"/>
      <c r="G2107" s="1453"/>
      <c r="H2107" s="1453"/>
      <c r="I2107" s="857" t="str">
        <f t="shared" si="365"/>
        <v>Purchase Commitment</v>
      </c>
      <c r="J2107" s="1453" t="str">
        <f t="shared" si="368"/>
        <v>F</v>
      </c>
      <c r="K2107" s="1453" t="str">
        <f t="shared" si="367"/>
        <v>Incentives</v>
      </c>
      <c r="M2107" s="1452"/>
      <c r="R2107" s="1453" t="s">
        <v>2088</v>
      </c>
    </row>
    <row r="2108" spans="1:18" s="1451" customFormat="1" x14ac:dyDescent="0.25">
      <c r="A2108" s="928" t="s">
        <v>1414</v>
      </c>
      <c r="B2108" s="857" t="str">
        <f>IFERROR(_xlfn.CONCAT("K",('Configurable Tab'!$C$24+1)),"")</f>
        <v>K1</v>
      </c>
      <c r="C2108" s="857" t="str">
        <f>IFERROR(_xlfn.CONCAT("K",('Configurable Tab'!$C$24+2)),"")</f>
        <v>K2</v>
      </c>
      <c r="D2108" s="897" t="s">
        <v>1367</v>
      </c>
      <c r="E2108" s="897" t="s">
        <v>1936</v>
      </c>
      <c r="F2108" s="1453"/>
      <c r="G2108" s="1453"/>
      <c r="H2108" s="1453"/>
      <c r="I2108" s="857" t="str">
        <f t="shared" si="365"/>
        <v>Paid To</v>
      </c>
      <c r="J2108" s="1453" t="str">
        <f t="shared" si="368"/>
        <v>F</v>
      </c>
      <c r="K2108" s="1453" t="str">
        <f t="shared" si="367"/>
        <v>Incentives</v>
      </c>
      <c r="M2108" s="1452"/>
      <c r="R2108" s="1453" t="s">
        <v>2088</v>
      </c>
    </row>
    <row r="2109" spans="1:18" s="1451" customFormat="1" x14ac:dyDescent="0.25">
      <c r="A2109" s="925" t="s">
        <v>1724</v>
      </c>
      <c r="B2109" s="857" t="str">
        <f>IFERROR(_xlfn.CONCAT("D",('Configurable Tab'!$C$25+1)),"")</f>
        <v>D1</v>
      </c>
      <c r="C2109" s="857" t="str">
        <f>IFERROR(_xlfn.CONCAT("E",('Configurable Tab'!$C$25+1)),"")</f>
        <v>E1</v>
      </c>
      <c r="D2109" s="897" t="s">
        <v>1367</v>
      </c>
      <c r="E2109" s="897" t="s">
        <v>1936</v>
      </c>
      <c r="F2109" s="1453"/>
      <c r="G2109" s="1453"/>
      <c r="H2109" s="1453"/>
      <c r="I2109" s="857" t="str">
        <f t="shared" si="365"/>
        <v>Offer This Incentive?</v>
      </c>
      <c r="J2109" s="1453" t="str">
        <f t="shared" ref="J2109:J2118" si="369">IFERROR(Q$1&amp;M2013,"")</f>
        <v>F</v>
      </c>
      <c r="K2109" s="1453" t="str">
        <f t="shared" si="367"/>
        <v>Incentives</v>
      </c>
      <c r="M2109" s="1452"/>
      <c r="Q2109" s="857" t="str">
        <f>IFERROR(_xlfn.CONCAT("C",('Configurable Tab'!$C25+1)),"")</f>
        <v>C1</v>
      </c>
      <c r="R2109" s="1453" t="s">
        <v>2090</v>
      </c>
    </row>
    <row r="2110" spans="1:18" s="1451" customFormat="1" x14ac:dyDescent="0.25">
      <c r="A2110" s="925" t="s">
        <v>1400</v>
      </c>
      <c r="B2110" s="857" t="str">
        <f>IFERROR(_xlfn.CONCAT("D",('Configurable Tab'!$C$25+2)),"")</f>
        <v>D2</v>
      </c>
      <c r="C2110" s="857" t="str">
        <f>IFERROR(_xlfn.CONCAT("E",('Configurable Tab'!$C$25+2)),"")</f>
        <v>E2</v>
      </c>
      <c r="D2110" s="897" t="s">
        <v>1367</v>
      </c>
      <c r="E2110" s="897" t="s">
        <v>1936</v>
      </c>
      <c r="F2110" s="1453"/>
      <c r="G2110" s="1453"/>
      <c r="H2110" s="1453"/>
      <c r="I2110" s="857" t="str">
        <f t="shared" si="365"/>
        <v>Incentive Type</v>
      </c>
      <c r="J2110" s="1453" t="str">
        <f t="shared" si="369"/>
        <v>F</v>
      </c>
      <c r="K2110" s="1453" t="str">
        <f t="shared" si="367"/>
        <v>Incentives</v>
      </c>
      <c r="M2110" s="1452"/>
      <c r="R2110" s="1453" t="s">
        <v>2090</v>
      </c>
    </row>
    <row r="2111" spans="1:18" s="1451" customFormat="1" x14ac:dyDescent="0.25">
      <c r="A2111" s="925" t="s">
        <v>1398</v>
      </c>
      <c r="B2111" s="857" t="str">
        <f>IFERROR(_xlfn.CONCAT("I",('Configurable Tab'!$C$25+1)),"")</f>
        <v>I1</v>
      </c>
      <c r="C2111" s="857" t="str">
        <f>IFERROR(_xlfn.CONCAT("I",('Configurable Tab'!$C$25+2)),"")</f>
        <v>I2</v>
      </c>
      <c r="D2111" s="897" t="s">
        <v>1367</v>
      </c>
      <c r="E2111" s="897" t="s">
        <v>1936</v>
      </c>
      <c r="F2111" s="1453"/>
      <c r="G2111" s="1453"/>
      <c r="H2111" s="1453"/>
      <c r="I2111" s="857" t="str">
        <f t="shared" si="365"/>
        <v>Payment Method</v>
      </c>
      <c r="J2111" s="1453" t="str">
        <f t="shared" si="369"/>
        <v>F</v>
      </c>
      <c r="K2111" s="1453" t="str">
        <f t="shared" si="367"/>
        <v>Incentives</v>
      </c>
      <c r="M2111" s="1452"/>
      <c r="R2111" s="1453" t="s">
        <v>2090</v>
      </c>
    </row>
    <row r="2112" spans="1:18" s="1451" customFormat="1" x14ac:dyDescent="0.25">
      <c r="A2112" s="925" t="s">
        <v>1399</v>
      </c>
      <c r="B2112" s="857" t="str">
        <f>IFERROR(_xlfn.CONCAT("M",('Configurable Tab'!$C$25+1)),"")</f>
        <v>M1</v>
      </c>
      <c r="C2112" s="857" t="str">
        <f>IFERROR(_xlfn.CONCAT("M",('Configurable Tab'!$C$25+2)),"")</f>
        <v>M2</v>
      </c>
      <c r="D2112" s="897" t="s">
        <v>1367</v>
      </c>
      <c r="E2112" s="897" t="s">
        <v>1936</v>
      </c>
      <c r="F2112" s="1453"/>
      <c r="G2112" s="1453"/>
      <c r="H2112" s="1453"/>
      <c r="I2112" s="857" t="str">
        <f t="shared" si="365"/>
        <v>AP/AR Vendor Number</v>
      </c>
      <c r="J2112" s="1453" t="str">
        <f t="shared" si="369"/>
        <v>F</v>
      </c>
      <c r="K2112" s="1453" t="str">
        <f t="shared" si="367"/>
        <v>Incentives</v>
      </c>
      <c r="M2112" s="1452"/>
      <c r="R2112" s="1453" t="s">
        <v>2090</v>
      </c>
    </row>
    <row r="2113" spans="1:18" s="1451" customFormat="1" x14ac:dyDescent="0.25">
      <c r="A2113" s="925" t="s">
        <v>1402</v>
      </c>
      <c r="B2113" s="857" t="str">
        <f>IFERROR(_xlfn.CONCAT("D",('Configurable Tab'!$C$25+4)),"")</f>
        <v>D4</v>
      </c>
      <c r="C2113" s="857" t="str">
        <f>IFERROR(_xlfn.CONCAT("E",('Configurable Tab'!$C$25+4)),"")</f>
        <v>E4</v>
      </c>
      <c r="D2113" s="897" t="s">
        <v>1367</v>
      </c>
      <c r="E2113" s="897" t="s">
        <v>1936</v>
      </c>
      <c r="F2113" s="1453"/>
      <c r="G2113" s="1453"/>
      <c r="H2113" s="1453"/>
      <c r="I2113" s="857" t="str">
        <f t="shared" si="365"/>
        <v>Incentive Effective Date</v>
      </c>
      <c r="J2113" s="1453" t="str">
        <f t="shared" si="369"/>
        <v>F</v>
      </c>
      <c r="K2113" s="1453" t="str">
        <f t="shared" si="367"/>
        <v>Incentives</v>
      </c>
      <c r="M2113" s="1452"/>
      <c r="R2113" s="1453" t="s">
        <v>2090</v>
      </c>
    </row>
    <row r="2114" spans="1:18" s="1451" customFormat="1" x14ac:dyDescent="0.25">
      <c r="A2114" s="925" t="s">
        <v>1403</v>
      </c>
      <c r="B2114" s="857" t="str">
        <f>IFERROR(_xlfn.CONCAT("D",('Configurable Tab'!$C$25+5)),"")</f>
        <v>D5</v>
      </c>
      <c r="C2114" s="857" t="str">
        <f>IFERROR(_xlfn.CONCAT("E",('Configurable Tab'!$C$25+5)),"")</f>
        <v>E5</v>
      </c>
      <c r="D2114" s="897" t="s">
        <v>1367</v>
      </c>
      <c r="E2114" s="897" t="s">
        <v>1936</v>
      </c>
      <c r="F2114" s="1453"/>
      <c r="G2114" s="1453"/>
      <c r="H2114" s="1453"/>
      <c r="I2114" s="857" t="str">
        <f t="shared" si="365"/>
        <v>Incentive Expiration Date</v>
      </c>
      <c r="J2114" s="1453" t="str">
        <f t="shared" si="369"/>
        <v>F</v>
      </c>
      <c r="K2114" s="1453" t="str">
        <f t="shared" si="367"/>
        <v>Incentives</v>
      </c>
      <c r="M2114" s="1452"/>
      <c r="R2114" s="1453" t="s">
        <v>2090</v>
      </c>
    </row>
    <row r="2115" spans="1:18" s="1451" customFormat="1" x14ac:dyDescent="0.25">
      <c r="A2115" s="925" t="s">
        <v>1413</v>
      </c>
      <c r="B2115" s="857" t="str">
        <f>IFERROR(_xlfn.CONCAT("G",('Configurable Tab'!$C$25+7)),"")</f>
        <v>G7</v>
      </c>
      <c r="C2115" s="857" t="str">
        <f>IFERROR(_xlfn.CONCAT("G",('Configurable Tab'!$C$25+8)),"")</f>
        <v>G8</v>
      </c>
      <c r="D2115" s="897" t="s">
        <v>1367</v>
      </c>
      <c r="E2115" s="897" t="s">
        <v>1936</v>
      </c>
      <c r="F2115" s="1453"/>
      <c r="G2115" s="1453"/>
      <c r="H2115" s="1453"/>
      <c r="I2115" s="857" t="str">
        <f t="shared" si="365"/>
        <v>FF Payment Amount</v>
      </c>
      <c r="J2115" s="1453" t="str">
        <f t="shared" si="369"/>
        <v>F</v>
      </c>
      <c r="K2115" s="1453" t="str">
        <f t="shared" si="367"/>
        <v>Incentives</v>
      </c>
      <c r="M2115" s="1452"/>
      <c r="R2115" s="1453" t="s">
        <v>2090</v>
      </c>
    </row>
    <row r="2116" spans="1:18" s="1451" customFormat="1" ht="30" x14ac:dyDescent="0.25">
      <c r="A2116" s="925" t="s">
        <v>2086</v>
      </c>
      <c r="B2116" s="857" t="str">
        <f>IFERROR(_xlfn.CONCAT("G",('Configurable Tab'!$C$25+7)),"")</f>
        <v>G7</v>
      </c>
      <c r="C2116" s="857" t="str">
        <f>IFERROR(_xlfn.CONCAT("G",('Configurable Tab'!$C$25+8)),"")</f>
        <v>G8</v>
      </c>
      <c r="D2116" s="897" t="s">
        <v>1367</v>
      </c>
      <c r="E2116" s="897" t="s">
        <v>1936</v>
      </c>
      <c r="F2116" s="1453"/>
      <c r="G2116" s="1453"/>
      <c r="H2116" s="1453"/>
      <c r="I2116" s="857" t="str">
        <f t="shared" si="365"/>
        <v>New Customer Location Customer Number</v>
      </c>
      <c r="J2116" s="1453" t="str">
        <f t="shared" si="369"/>
        <v>F</v>
      </c>
      <c r="K2116" s="1453" t="str">
        <f t="shared" si="367"/>
        <v>Incentives</v>
      </c>
      <c r="M2116" s="1452"/>
      <c r="R2116" s="1453" t="s">
        <v>2090</v>
      </c>
    </row>
    <row r="2117" spans="1:18" s="1451" customFormat="1" x14ac:dyDescent="0.25">
      <c r="A2117" s="925" t="s">
        <v>1501</v>
      </c>
      <c r="B2117" s="857" t="str">
        <f>IFERROR(_xlfn.CONCAT("K",('Configurable Tab'!$C$25+7)),"")</f>
        <v>K7</v>
      </c>
      <c r="C2117" s="857" t="str">
        <f>IFERROR(_xlfn.CONCAT("K",('Configurable Tab'!$C$25+8)),"")</f>
        <v>K8</v>
      </c>
      <c r="D2117" s="897" t="s">
        <v>1367</v>
      </c>
      <c r="E2117" s="897" t="s">
        <v>1936</v>
      </c>
      <c r="F2117" s="1453"/>
      <c r="G2117" s="1453"/>
      <c r="H2117" s="1453"/>
      <c r="I2117" s="857" t="str">
        <f t="shared" si="365"/>
        <v>Purchase Commitment</v>
      </c>
      <c r="J2117" s="1453" t="str">
        <f t="shared" si="369"/>
        <v>F</v>
      </c>
      <c r="K2117" s="1453" t="str">
        <f t="shared" si="367"/>
        <v>Incentives</v>
      </c>
      <c r="M2117" s="1452"/>
      <c r="R2117" s="1453" t="s">
        <v>2090</v>
      </c>
    </row>
    <row r="2118" spans="1:18" s="1451" customFormat="1" x14ac:dyDescent="0.25">
      <c r="A2118" s="925" t="s">
        <v>1414</v>
      </c>
      <c r="B2118" s="857" t="str">
        <f>IFERROR(_xlfn.CONCAT("K",('Configurable Tab'!$C$25+1)),"")</f>
        <v>K1</v>
      </c>
      <c r="C2118" s="857" t="str">
        <f>IFERROR(_xlfn.CONCAT("K",('Configurable Tab'!$C$25+2)),"")</f>
        <v>K2</v>
      </c>
      <c r="D2118" s="897" t="s">
        <v>1367</v>
      </c>
      <c r="E2118" s="897" t="s">
        <v>1936</v>
      </c>
      <c r="F2118" s="1453"/>
      <c r="G2118" s="1453"/>
      <c r="H2118" s="1453"/>
      <c r="I2118" s="857" t="str">
        <f t="shared" si="365"/>
        <v>Paid To</v>
      </c>
      <c r="J2118" s="1453" t="str">
        <f t="shared" si="369"/>
        <v>F</v>
      </c>
      <c r="K2118" s="1453" t="str">
        <f t="shared" si="367"/>
        <v>Incentives</v>
      </c>
      <c r="M2118" s="1452"/>
      <c r="R2118" s="1453" t="s">
        <v>2090</v>
      </c>
    </row>
    <row r="2119" spans="1:18" s="1451" customFormat="1" x14ac:dyDescent="0.25">
      <c r="A2119" s="928" t="s">
        <v>1724</v>
      </c>
      <c r="B2119" s="857" t="str">
        <f>IFERROR(_xlfn.CONCAT("D",('Configurable Tab'!$C$26+1)),"")</f>
        <v>D1</v>
      </c>
      <c r="C2119" s="857" t="str">
        <f>IFERROR(_xlfn.CONCAT("E",('Configurable Tab'!$C$26+1)),"")</f>
        <v>E1</v>
      </c>
      <c r="D2119" s="897" t="s">
        <v>1367</v>
      </c>
      <c r="E2119" s="897" t="s">
        <v>1936</v>
      </c>
      <c r="F2119" s="1453"/>
      <c r="G2119" s="1453"/>
      <c r="H2119" s="1453"/>
      <c r="I2119" s="857" t="str">
        <f t="shared" si="365"/>
        <v>Offer This Incentive?</v>
      </c>
      <c r="J2119" s="1453" t="str">
        <f t="shared" ref="J2119:J2128" si="370">IFERROR(Q$1&amp;M2024,"")</f>
        <v>F</v>
      </c>
      <c r="K2119" s="1453" t="str">
        <f t="shared" si="367"/>
        <v>Incentives</v>
      </c>
      <c r="M2119" s="1452"/>
      <c r="Q2119" s="857" t="str">
        <f>IFERROR(_xlfn.CONCAT("C",('Configurable Tab'!$C26+1)),"")</f>
        <v>C1</v>
      </c>
      <c r="R2119" s="1453" t="s">
        <v>2092</v>
      </c>
    </row>
    <row r="2120" spans="1:18" s="1451" customFormat="1" x14ac:dyDescent="0.25">
      <c r="A2120" s="928" t="s">
        <v>1400</v>
      </c>
      <c r="B2120" s="857" t="str">
        <f>IFERROR(_xlfn.CONCAT("D",('Configurable Tab'!$C$26+2)),"")</f>
        <v>D2</v>
      </c>
      <c r="C2120" s="857" t="str">
        <f>IFERROR(_xlfn.CONCAT("E",('Configurable Tab'!$C$26+2)),"")</f>
        <v>E2</v>
      </c>
      <c r="D2120" s="897" t="s">
        <v>1367</v>
      </c>
      <c r="E2120" s="897" t="s">
        <v>1936</v>
      </c>
      <c r="F2120" s="1453"/>
      <c r="G2120" s="1453"/>
      <c r="H2120" s="1453"/>
      <c r="I2120" s="857" t="str">
        <f t="shared" si="365"/>
        <v>Incentive Type</v>
      </c>
      <c r="J2120" s="1453" t="str">
        <f t="shared" si="370"/>
        <v>F</v>
      </c>
      <c r="K2120" s="1453" t="str">
        <f t="shared" si="367"/>
        <v>Incentives</v>
      </c>
      <c r="M2120" s="1452"/>
      <c r="R2120" s="1453" t="s">
        <v>2092</v>
      </c>
    </row>
    <row r="2121" spans="1:18" s="1451" customFormat="1" x14ac:dyDescent="0.25">
      <c r="A2121" s="928" t="s">
        <v>1398</v>
      </c>
      <c r="B2121" s="857" t="str">
        <f>IFERROR(_xlfn.CONCAT("I",('Configurable Tab'!$C$26+1)),"")</f>
        <v>I1</v>
      </c>
      <c r="C2121" s="857" t="str">
        <f>IFERROR(_xlfn.CONCAT("I",('Configurable Tab'!$C$26+2)),"")</f>
        <v>I2</v>
      </c>
      <c r="D2121" s="897" t="s">
        <v>1367</v>
      </c>
      <c r="E2121" s="897" t="s">
        <v>1936</v>
      </c>
      <c r="F2121" s="1453"/>
      <c r="G2121" s="1453"/>
      <c r="H2121" s="1453"/>
      <c r="I2121" s="857" t="str">
        <f t="shared" si="365"/>
        <v>Payment Method</v>
      </c>
      <c r="J2121" s="1453" t="str">
        <f t="shared" si="370"/>
        <v>F</v>
      </c>
      <c r="K2121" s="1453" t="str">
        <f t="shared" si="367"/>
        <v>Incentives</v>
      </c>
      <c r="M2121" s="1452"/>
      <c r="R2121" s="1453" t="s">
        <v>2092</v>
      </c>
    </row>
    <row r="2122" spans="1:18" s="1451" customFormat="1" x14ac:dyDescent="0.25">
      <c r="A2122" s="928" t="s">
        <v>1399</v>
      </c>
      <c r="B2122" s="857" t="str">
        <f>IFERROR(_xlfn.CONCAT("M",('Configurable Tab'!$C$26+1)),"")</f>
        <v>M1</v>
      </c>
      <c r="C2122" s="857" t="str">
        <f>IFERROR(_xlfn.CONCAT("M",('Configurable Tab'!$C$26+2)),"")</f>
        <v>M2</v>
      </c>
      <c r="D2122" s="897" t="s">
        <v>1367</v>
      </c>
      <c r="E2122" s="897" t="s">
        <v>1936</v>
      </c>
      <c r="F2122" s="1453"/>
      <c r="G2122" s="1453"/>
      <c r="H2122" s="1453"/>
      <c r="I2122" s="857" t="str">
        <f t="shared" si="365"/>
        <v>AP/AR Vendor Number</v>
      </c>
      <c r="J2122" s="1453" t="str">
        <f t="shared" si="370"/>
        <v>F</v>
      </c>
      <c r="K2122" s="1453" t="str">
        <f t="shared" si="367"/>
        <v>Incentives</v>
      </c>
      <c r="M2122" s="1452"/>
      <c r="R2122" s="1453" t="s">
        <v>2092</v>
      </c>
    </row>
    <row r="2123" spans="1:18" s="1451" customFormat="1" x14ac:dyDescent="0.25">
      <c r="A2123" s="928" t="s">
        <v>1402</v>
      </c>
      <c r="B2123" s="857" t="str">
        <f>IFERROR(_xlfn.CONCAT("D",('Configurable Tab'!$C$26+4)),"")</f>
        <v>D4</v>
      </c>
      <c r="C2123" s="857" t="str">
        <f>IFERROR(_xlfn.CONCAT("E",('Configurable Tab'!$C$26+4)),"")</f>
        <v>E4</v>
      </c>
      <c r="D2123" s="897" t="s">
        <v>1367</v>
      </c>
      <c r="E2123" s="897" t="s">
        <v>1936</v>
      </c>
      <c r="F2123" s="1453"/>
      <c r="G2123" s="1453"/>
      <c r="H2123" s="1453"/>
      <c r="I2123" s="857" t="str">
        <f t="shared" si="365"/>
        <v>Incentive Effective Date</v>
      </c>
      <c r="J2123" s="1453" t="str">
        <f t="shared" si="370"/>
        <v>F</v>
      </c>
      <c r="K2123" s="1453" t="str">
        <f t="shared" si="367"/>
        <v>Incentives</v>
      </c>
      <c r="M2123" s="1452"/>
      <c r="R2123" s="1453" t="s">
        <v>2092</v>
      </c>
    </row>
    <row r="2124" spans="1:18" s="1451" customFormat="1" x14ac:dyDescent="0.25">
      <c r="A2124" s="928" t="s">
        <v>1403</v>
      </c>
      <c r="B2124" s="857" t="str">
        <f>IFERROR(_xlfn.CONCAT("D",('Configurable Tab'!$C$26+5)),"")</f>
        <v>D5</v>
      </c>
      <c r="C2124" s="857" t="str">
        <f>IFERROR(_xlfn.CONCAT("E",('Configurable Tab'!$C$26+5)),"")</f>
        <v>E5</v>
      </c>
      <c r="D2124" s="897" t="s">
        <v>1367</v>
      </c>
      <c r="E2124" s="897" t="s">
        <v>1936</v>
      </c>
      <c r="F2124" s="1453"/>
      <c r="G2124" s="1453"/>
      <c r="H2124" s="1453"/>
      <c r="I2124" s="857" t="str">
        <f t="shared" si="365"/>
        <v>Incentive Expiration Date</v>
      </c>
      <c r="J2124" s="1453" t="str">
        <f t="shared" si="370"/>
        <v>F</v>
      </c>
      <c r="K2124" s="1453" t="str">
        <f t="shared" si="367"/>
        <v>Incentives</v>
      </c>
      <c r="M2124" s="1452"/>
      <c r="R2124" s="1453" t="s">
        <v>2092</v>
      </c>
    </row>
    <row r="2125" spans="1:18" s="1451" customFormat="1" x14ac:dyDescent="0.25">
      <c r="A2125" s="928" t="s">
        <v>1413</v>
      </c>
      <c r="B2125" s="857" t="str">
        <f>IFERROR(_xlfn.CONCAT("G",('Configurable Tab'!$C$26+7)),"")</f>
        <v>G7</v>
      </c>
      <c r="C2125" s="857" t="str">
        <f>IFERROR(_xlfn.CONCAT("G",('Configurable Tab'!$C$26+8)),"")</f>
        <v>G8</v>
      </c>
      <c r="D2125" s="897" t="s">
        <v>1367</v>
      </c>
      <c r="E2125" s="897" t="s">
        <v>1936</v>
      </c>
      <c r="F2125" s="1453"/>
      <c r="G2125" s="1453"/>
      <c r="H2125" s="1453"/>
      <c r="I2125" s="857" t="str">
        <f t="shared" si="365"/>
        <v>FF Payment Amount</v>
      </c>
      <c r="J2125" s="1453" t="str">
        <f t="shared" si="370"/>
        <v>F</v>
      </c>
      <c r="K2125" s="1453" t="str">
        <f t="shared" si="367"/>
        <v>Incentives</v>
      </c>
      <c r="M2125" s="1452"/>
      <c r="R2125" s="1453" t="s">
        <v>2092</v>
      </c>
    </row>
    <row r="2126" spans="1:18" s="1451" customFormat="1" ht="30" x14ac:dyDescent="0.25">
      <c r="A2126" s="928" t="s">
        <v>2086</v>
      </c>
      <c r="B2126" s="857" t="str">
        <f>IFERROR(_xlfn.CONCAT("G",('Configurable Tab'!$C$26+7)),"")</f>
        <v>G7</v>
      </c>
      <c r="C2126" s="857" t="str">
        <f>IFERROR(_xlfn.CONCAT("G",('Configurable Tab'!$C$26+8)),"")</f>
        <v>G8</v>
      </c>
      <c r="D2126" s="897" t="s">
        <v>1367</v>
      </c>
      <c r="E2126" s="897" t="s">
        <v>1936</v>
      </c>
      <c r="F2126" s="1453"/>
      <c r="G2126" s="1453"/>
      <c r="H2126" s="1453"/>
      <c r="I2126" s="857" t="str">
        <f t="shared" si="365"/>
        <v>New Customer Location Customer Number</v>
      </c>
      <c r="J2126" s="1453" t="str">
        <f t="shared" si="370"/>
        <v>F</v>
      </c>
      <c r="K2126" s="1453" t="str">
        <f t="shared" si="367"/>
        <v>Incentives</v>
      </c>
      <c r="M2126" s="1452"/>
      <c r="R2126" s="1453" t="s">
        <v>2092</v>
      </c>
    </row>
    <row r="2127" spans="1:18" s="1451" customFormat="1" x14ac:dyDescent="0.25">
      <c r="A2127" s="928" t="s">
        <v>1501</v>
      </c>
      <c r="B2127" s="857" t="str">
        <f>IFERROR(_xlfn.CONCAT("K",('Configurable Tab'!$C$26+7)),"")</f>
        <v>K7</v>
      </c>
      <c r="C2127" s="857" t="str">
        <f>IFERROR(_xlfn.CONCAT("K",('Configurable Tab'!$C$26+8)),"")</f>
        <v>K8</v>
      </c>
      <c r="D2127" s="897" t="s">
        <v>1367</v>
      </c>
      <c r="E2127" s="897" t="s">
        <v>1936</v>
      </c>
      <c r="F2127" s="1453"/>
      <c r="G2127" s="1453"/>
      <c r="H2127" s="1453"/>
      <c r="I2127" s="857" t="str">
        <f t="shared" si="365"/>
        <v>Purchase Commitment</v>
      </c>
      <c r="J2127" s="1453" t="str">
        <f t="shared" si="370"/>
        <v>F</v>
      </c>
      <c r="K2127" s="1453" t="str">
        <f t="shared" si="367"/>
        <v>Incentives</v>
      </c>
      <c r="M2127" s="1452"/>
      <c r="R2127" s="1453" t="s">
        <v>2092</v>
      </c>
    </row>
    <row r="2128" spans="1:18" s="1451" customFormat="1" x14ac:dyDescent="0.25">
      <c r="A2128" s="928" t="s">
        <v>1414</v>
      </c>
      <c r="B2128" s="857" t="str">
        <f>IFERROR(_xlfn.CONCAT("K",('Configurable Tab'!$C$26+1)),"")</f>
        <v>K1</v>
      </c>
      <c r="C2128" s="857" t="str">
        <f>IFERROR(_xlfn.CONCAT("K",('Configurable Tab'!$C$26+2)),"")</f>
        <v>K2</v>
      </c>
      <c r="D2128" s="897" t="s">
        <v>1367</v>
      </c>
      <c r="E2128" s="897" t="s">
        <v>1936</v>
      </c>
      <c r="F2128" s="1453"/>
      <c r="G2128" s="1453"/>
      <c r="H2128" s="1453"/>
      <c r="I2128" s="857" t="str">
        <f t="shared" si="365"/>
        <v>Paid To</v>
      </c>
      <c r="J2128" s="1453" t="str">
        <f t="shared" si="370"/>
        <v>F</v>
      </c>
      <c r="K2128" s="1453" t="str">
        <f t="shared" si="367"/>
        <v>Incentives</v>
      </c>
      <c r="M2128" s="1452"/>
      <c r="R2128" s="1453" t="s">
        <v>2092</v>
      </c>
    </row>
    <row r="2129" spans="1:18" s="1451" customFormat="1" x14ac:dyDescent="0.25">
      <c r="A2129" s="925" t="s">
        <v>1724</v>
      </c>
      <c r="B2129" s="857" t="str">
        <f>IFERROR(_xlfn.CONCAT("D",('Configurable Tab'!$C$27+1)),"")</f>
        <v>D1</v>
      </c>
      <c r="C2129" s="857" t="str">
        <f>IFERROR(_xlfn.CONCAT("E",('Configurable Tab'!$C$27+1)),"")</f>
        <v>E1</v>
      </c>
      <c r="D2129" s="897" t="s">
        <v>1367</v>
      </c>
      <c r="E2129" s="897" t="s">
        <v>1936</v>
      </c>
      <c r="F2129" s="1453"/>
      <c r="G2129" s="1453"/>
      <c r="H2129" s="1453"/>
      <c r="I2129" s="857" t="str">
        <f t="shared" si="365"/>
        <v>Offer This Incentive?</v>
      </c>
      <c r="J2129" s="1453" t="str">
        <f t="shared" ref="J2129:J2138" si="371">IFERROR(Q$1&amp;M2035,"")</f>
        <v>F</v>
      </c>
      <c r="K2129" s="1453" t="str">
        <f t="shared" si="367"/>
        <v>Incentives</v>
      </c>
      <c r="M2129" s="1452"/>
      <c r="Q2129" s="857" t="str">
        <f>IFERROR(_xlfn.CONCAT("C",('Configurable Tab'!$C27+1)),"")</f>
        <v>C1</v>
      </c>
      <c r="R2129" s="1453" t="s">
        <v>2094</v>
      </c>
    </row>
    <row r="2130" spans="1:18" s="1451" customFormat="1" x14ac:dyDescent="0.25">
      <c r="A2130" s="925" t="s">
        <v>1400</v>
      </c>
      <c r="B2130" s="857" t="str">
        <f>IFERROR(_xlfn.CONCAT("D",('Configurable Tab'!$C$27+2)),"")</f>
        <v>D2</v>
      </c>
      <c r="C2130" s="857" t="str">
        <f>IFERROR(_xlfn.CONCAT("E",('Configurable Tab'!$C$27+2)),"")</f>
        <v>E2</v>
      </c>
      <c r="D2130" s="897" t="s">
        <v>1367</v>
      </c>
      <c r="E2130" s="897" t="s">
        <v>1936</v>
      </c>
      <c r="F2130" s="1453"/>
      <c r="G2130" s="1453"/>
      <c r="H2130" s="1453"/>
      <c r="I2130" s="857" t="str">
        <f t="shared" si="365"/>
        <v>Incentive Type</v>
      </c>
      <c r="J2130" s="1453" t="str">
        <f t="shared" si="371"/>
        <v>F</v>
      </c>
      <c r="K2130" s="1453" t="str">
        <f t="shared" si="367"/>
        <v>Incentives</v>
      </c>
      <c r="M2130" s="1452"/>
      <c r="R2130" s="1453" t="s">
        <v>2094</v>
      </c>
    </row>
    <row r="2131" spans="1:18" s="1451" customFormat="1" x14ac:dyDescent="0.25">
      <c r="A2131" s="925" t="s">
        <v>1398</v>
      </c>
      <c r="B2131" s="857" t="str">
        <f>IFERROR(_xlfn.CONCAT("I",('Configurable Tab'!$C$27+1)),"")</f>
        <v>I1</v>
      </c>
      <c r="C2131" s="857" t="str">
        <f>IFERROR(_xlfn.CONCAT("I",('Configurable Tab'!$C$27+2)),"")</f>
        <v>I2</v>
      </c>
      <c r="D2131" s="897" t="s">
        <v>1367</v>
      </c>
      <c r="E2131" s="897" t="s">
        <v>1936</v>
      </c>
      <c r="F2131" s="1453"/>
      <c r="G2131" s="1453"/>
      <c r="H2131" s="1453"/>
      <c r="I2131" s="857" t="str">
        <f t="shared" si="365"/>
        <v>Payment Method</v>
      </c>
      <c r="J2131" s="1453" t="str">
        <f t="shared" si="371"/>
        <v>F</v>
      </c>
      <c r="K2131" s="1453" t="str">
        <f t="shared" si="367"/>
        <v>Incentives</v>
      </c>
      <c r="M2131" s="1452"/>
      <c r="R2131" s="1453" t="s">
        <v>2094</v>
      </c>
    </row>
    <row r="2132" spans="1:18" s="1451" customFormat="1" x14ac:dyDescent="0.25">
      <c r="A2132" s="925" t="s">
        <v>1399</v>
      </c>
      <c r="B2132" s="857" t="str">
        <f>IFERROR(_xlfn.CONCAT("M",('Configurable Tab'!$C$27+1)),"")</f>
        <v>M1</v>
      </c>
      <c r="C2132" s="857" t="str">
        <f>IFERROR(_xlfn.CONCAT("M",('Configurable Tab'!$C$27+2)),"")</f>
        <v>M2</v>
      </c>
      <c r="D2132" s="897" t="s">
        <v>1367</v>
      </c>
      <c r="E2132" s="897" t="s">
        <v>1936</v>
      </c>
      <c r="F2132" s="1453"/>
      <c r="G2132" s="1453"/>
      <c r="H2132" s="1453"/>
      <c r="I2132" s="857" t="str">
        <f t="shared" si="365"/>
        <v>AP/AR Vendor Number</v>
      </c>
      <c r="J2132" s="1453" t="str">
        <f t="shared" si="371"/>
        <v>F</v>
      </c>
      <c r="K2132" s="1453" t="str">
        <f t="shared" si="367"/>
        <v>Incentives</v>
      </c>
      <c r="M2132" s="1452"/>
      <c r="R2132" s="1453" t="s">
        <v>2094</v>
      </c>
    </row>
    <row r="2133" spans="1:18" s="1451" customFormat="1" x14ac:dyDescent="0.25">
      <c r="A2133" s="925" t="s">
        <v>1402</v>
      </c>
      <c r="B2133" s="857" t="str">
        <f>IFERROR(_xlfn.CONCAT("D",('Configurable Tab'!$C$27+4)),"")</f>
        <v>D4</v>
      </c>
      <c r="C2133" s="857" t="str">
        <f>IFERROR(_xlfn.CONCAT("E",('Configurable Tab'!$C$27+4)),"")</f>
        <v>E4</v>
      </c>
      <c r="D2133" s="897" t="s">
        <v>1367</v>
      </c>
      <c r="E2133" s="897" t="s">
        <v>1936</v>
      </c>
      <c r="F2133" s="1453"/>
      <c r="G2133" s="1453"/>
      <c r="H2133" s="1453"/>
      <c r="I2133" s="857" t="str">
        <f t="shared" si="365"/>
        <v>Incentive Effective Date</v>
      </c>
      <c r="J2133" s="1453" t="str">
        <f t="shared" si="371"/>
        <v>F</v>
      </c>
      <c r="K2133" s="1453" t="str">
        <f t="shared" si="367"/>
        <v>Incentives</v>
      </c>
      <c r="M2133" s="1452"/>
      <c r="R2133" s="1453" t="s">
        <v>2094</v>
      </c>
    </row>
    <row r="2134" spans="1:18" s="1451" customFormat="1" x14ac:dyDescent="0.25">
      <c r="A2134" s="925" t="s">
        <v>1403</v>
      </c>
      <c r="B2134" s="857" t="str">
        <f>IFERROR(_xlfn.CONCAT("D",('Configurable Tab'!$C$27+5)),"")</f>
        <v>D5</v>
      </c>
      <c r="C2134" s="857" t="str">
        <f>IFERROR(_xlfn.CONCAT("E",('Configurable Tab'!$C$27+5)),"")</f>
        <v>E5</v>
      </c>
      <c r="D2134" s="897" t="s">
        <v>1367</v>
      </c>
      <c r="E2134" s="897" t="s">
        <v>1936</v>
      </c>
      <c r="F2134" s="1453"/>
      <c r="G2134" s="1453"/>
      <c r="H2134" s="1453"/>
      <c r="I2134" s="857" t="str">
        <f t="shared" si="365"/>
        <v>Incentive Expiration Date</v>
      </c>
      <c r="J2134" s="1453" t="str">
        <f t="shared" si="371"/>
        <v>F</v>
      </c>
      <c r="K2134" s="1453" t="str">
        <f t="shared" si="367"/>
        <v>Incentives</v>
      </c>
      <c r="M2134" s="1452"/>
      <c r="R2134" s="1453" t="s">
        <v>2094</v>
      </c>
    </row>
    <row r="2135" spans="1:18" s="1451" customFormat="1" x14ac:dyDescent="0.25">
      <c r="A2135" s="925" t="s">
        <v>1413</v>
      </c>
      <c r="B2135" s="857" t="str">
        <f>IFERROR(_xlfn.CONCAT("G",('Configurable Tab'!$C$27+7)),"")</f>
        <v>G7</v>
      </c>
      <c r="C2135" s="857" t="str">
        <f>IFERROR(_xlfn.CONCAT("G",('Configurable Tab'!$C$27+8)),"")</f>
        <v>G8</v>
      </c>
      <c r="D2135" s="897" t="s">
        <v>1367</v>
      </c>
      <c r="E2135" s="897" t="s">
        <v>1936</v>
      </c>
      <c r="F2135" s="1453"/>
      <c r="G2135" s="1453"/>
      <c r="H2135" s="1453"/>
      <c r="I2135" s="857" t="str">
        <f t="shared" si="365"/>
        <v>FF Payment Amount</v>
      </c>
      <c r="J2135" s="1453" t="str">
        <f t="shared" si="371"/>
        <v>F</v>
      </c>
      <c r="K2135" s="1453" t="str">
        <f t="shared" si="367"/>
        <v>Incentives</v>
      </c>
      <c r="M2135" s="1452"/>
      <c r="R2135" s="1453" t="s">
        <v>2094</v>
      </c>
    </row>
    <row r="2136" spans="1:18" s="1451" customFormat="1" ht="30" x14ac:dyDescent="0.25">
      <c r="A2136" s="925" t="s">
        <v>2086</v>
      </c>
      <c r="B2136" s="857" t="str">
        <f>IFERROR(_xlfn.CONCAT("G",('Configurable Tab'!$C$27+7)),"")</f>
        <v>G7</v>
      </c>
      <c r="C2136" s="857" t="str">
        <f>IFERROR(_xlfn.CONCAT("G",('Configurable Tab'!$C$27+8)),"")</f>
        <v>G8</v>
      </c>
      <c r="D2136" s="897" t="s">
        <v>1367</v>
      </c>
      <c r="E2136" s="897" t="s">
        <v>1936</v>
      </c>
      <c r="F2136" s="1453"/>
      <c r="G2136" s="1453"/>
      <c r="H2136" s="1453"/>
      <c r="I2136" s="857" t="str">
        <f t="shared" si="365"/>
        <v>New Customer Location Customer Number</v>
      </c>
      <c r="J2136" s="1453" t="str">
        <f t="shared" si="371"/>
        <v>F</v>
      </c>
      <c r="K2136" s="1453" t="str">
        <f t="shared" si="367"/>
        <v>Incentives</v>
      </c>
      <c r="M2136" s="1452"/>
      <c r="R2136" s="1453" t="s">
        <v>2094</v>
      </c>
    </row>
    <row r="2137" spans="1:18" s="1451" customFormat="1" x14ac:dyDescent="0.25">
      <c r="A2137" s="925" t="s">
        <v>1501</v>
      </c>
      <c r="B2137" s="857" t="str">
        <f>IFERROR(_xlfn.CONCAT("K",('Configurable Tab'!$C$27+7)),"")</f>
        <v>K7</v>
      </c>
      <c r="C2137" s="857" t="str">
        <f>IFERROR(_xlfn.CONCAT("K",('Configurable Tab'!$C$27+8)),"")</f>
        <v>K8</v>
      </c>
      <c r="D2137" s="897" t="s">
        <v>1367</v>
      </c>
      <c r="E2137" s="897" t="s">
        <v>1936</v>
      </c>
      <c r="F2137" s="1453"/>
      <c r="G2137" s="1453"/>
      <c r="H2137" s="1453"/>
      <c r="I2137" s="857" t="str">
        <f t="shared" si="365"/>
        <v>Purchase Commitment</v>
      </c>
      <c r="J2137" s="1453" t="str">
        <f t="shared" si="371"/>
        <v>F</v>
      </c>
      <c r="K2137" s="1453" t="str">
        <f t="shared" si="367"/>
        <v>Incentives</v>
      </c>
      <c r="M2137" s="1452"/>
      <c r="R2137" s="1453" t="s">
        <v>2094</v>
      </c>
    </row>
    <row r="2138" spans="1:18" s="1451" customFormat="1" x14ac:dyDescent="0.25">
      <c r="A2138" s="925" t="s">
        <v>1414</v>
      </c>
      <c r="B2138" s="857" t="str">
        <f>IFERROR(_xlfn.CONCAT("K",('Configurable Tab'!$C$27+1)),"")</f>
        <v>K1</v>
      </c>
      <c r="C2138" s="857" t="str">
        <f>IFERROR(_xlfn.CONCAT("K",('Configurable Tab'!$C$27+2)),"")</f>
        <v>K2</v>
      </c>
      <c r="D2138" s="897" t="s">
        <v>1367</v>
      </c>
      <c r="E2138" s="897" t="s">
        <v>1936</v>
      </c>
      <c r="F2138" s="1453"/>
      <c r="G2138" s="1453"/>
      <c r="H2138" s="1453"/>
      <c r="I2138" s="857" t="str">
        <f t="shared" si="365"/>
        <v>Paid To</v>
      </c>
      <c r="J2138" s="1453" t="str">
        <f t="shared" si="371"/>
        <v>F</v>
      </c>
      <c r="K2138" s="1453" t="str">
        <f t="shared" si="367"/>
        <v>Incentives</v>
      </c>
      <c r="M2138" s="1452"/>
      <c r="R2138" s="1453" t="s">
        <v>2094</v>
      </c>
    </row>
    <row r="2139" spans="1:18" s="1451" customFormat="1" x14ac:dyDescent="0.25">
      <c r="A2139" s="928" t="s">
        <v>1724</v>
      </c>
      <c r="B2139" s="857" t="str">
        <f>IFERROR(_xlfn.CONCAT("D",('Configurable Tab'!$C$28+1)),"")</f>
        <v>D1</v>
      </c>
      <c r="C2139" s="857" t="str">
        <f>IFERROR(_xlfn.CONCAT("E",('Configurable Tab'!$C$28+1)),"")</f>
        <v>E1</v>
      </c>
      <c r="D2139" s="897" t="s">
        <v>1367</v>
      </c>
      <c r="E2139" s="897" t="s">
        <v>1936</v>
      </c>
      <c r="F2139" s="1453"/>
      <c r="G2139" s="1453"/>
      <c r="H2139" s="1453"/>
      <c r="I2139" s="857" t="str">
        <f t="shared" si="365"/>
        <v>Offer This Incentive?</v>
      </c>
      <c r="J2139" s="1453" t="str">
        <f t="shared" ref="J2139:J2148" si="372">IFERROR(Q$1&amp;M2046,"")</f>
        <v>F</v>
      </c>
      <c r="K2139" s="1453" t="str">
        <f t="shared" si="367"/>
        <v>Incentives</v>
      </c>
      <c r="M2139" s="1452"/>
      <c r="Q2139" s="857" t="str">
        <f>IFERROR(_xlfn.CONCAT("C",('Configurable Tab'!$C28+1)),"")</f>
        <v>C1</v>
      </c>
      <c r="R2139" s="1453" t="s">
        <v>2096</v>
      </c>
    </row>
    <row r="2140" spans="1:18" s="1451" customFormat="1" x14ac:dyDescent="0.25">
      <c r="A2140" s="928" t="s">
        <v>1400</v>
      </c>
      <c r="B2140" s="857" t="str">
        <f>IFERROR(_xlfn.CONCAT("D",('Configurable Tab'!$C$28+2)),"")</f>
        <v>D2</v>
      </c>
      <c r="C2140" s="857" t="str">
        <f>IFERROR(_xlfn.CONCAT("E",('Configurable Tab'!$C$28+2)),"")</f>
        <v>E2</v>
      </c>
      <c r="D2140" s="897" t="s">
        <v>1367</v>
      </c>
      <c r="E2140" s="897" t="s">
        <v>1936</v>
      </c>
      <c r="F2140" s="1453"/>
      <c r="G2140" s="1453"/>
      <c r="H2140" s="1453"/>
      <c r="I2140" s="857" t="str">
        <f t="shared" si="365"/>
        <v>Incentive Type</v>
      </c>
      <c r="J2140" s="1453" t="str">
        <f t="shared" si="372"/>
        <v>F</v>
      </c>
      <c r="K2140" s="1453" t="str">
        <f t="shared" si="367"/>
        <v>Incentives</v>
      </c>
      <c r="M2140" s="1452"/>
      <c r="R2140" s="1453" t="s">
        <v>2096</v>
      </c>
    </row>
    <row r="2141" spans="1:18" s="1451" customFormat="1" x14ac:dyDescent="0.25">
      <c r="A2141" s="928" t="s">
        <v>1398</v>
      </c>
      <c r="B2141" s="857" t="str">
        <f>IFERROR(_xlfn.CONCAT("I",('Configurable Tab'!$C$28+1)),"")</f>
        <v>I1</v>
      </c>
      <c r="C2141" s="857" t="str">
        <f>IFERROR(_xlfn.CONCAT("I",('Configurable Tab'!$C$28+2)),"")</f>
        <v>I2</v>
      </c>
      <c r="D2141" s="897" t="s">
        <v>1367</v>
      </c>
      <c r="E2141" s="897" t="s">
        <v>1936</v>
      </c>
      <c r="F2141" s="1453"/>
      <c r="G2141" s="1453"/>
      <c r="H2141" s="1453"/>
      <c r="I2141" s="857" t="str">
        <f t="shared" si="365"/>
        <v>Payment Method</v>
      </c>
      <c r="J2141" s="1453" t="str">
        <f t="shared" si="372"/>
        <v>F</v>
      </c>
      <c r="K2141" s="1453" t="str">
        <f t="shared" si="367"/>
        <v>Incentives</v>
      </c>
      <c r="M2141" s="1452"/>
      <c r="R2141" s="1453" t="s">
        <v>2096</v>
      </c>
    </row>
    <row r="2142" spans="1:18" s="1451" customFormat="1" x14ac:dyDescent="0.25">
      <c r="A2142" s="928" t="s">
        <v>1399</v>
      </c>
      <c r="B2142" s="857" t="str">
        <f>IFERROR(_xlfn.CONCAT("M",('Configurable Tab'!$C$28+1)),"")</f>
        <v>M1</v>
      </c>
      <c r="C2142" s="857" t="str">
        <f>IFERROR(_xlfn.CONCAT("M",('Configurable Tab'!$C$28+2)),"")</f>
        <v>M2</v>
      </c>
      <c r="D2142" s="897" t="s">
        <v>1367</v>
      </c>
      <c r="E2142" s="897" t="s">
        <v>1936</v>
      </c>
      <c r="F2142" s="1453"/>
      <c r="G2142" s="1453"/>
      <c r="H2142" s="1453"/>
      <c r="I2142" s="857" t="str">
        <f t="shared" si="365"/>
        <v>AP/AR Vendor Number</v>
      </c>
      <c r="J2142" s="1453" t="str">
        <f t="shared" si="372"/>
        <v>F</v>
      </c>
      <c r="K2142" s="1453" t="str">
        <f t="shared" si="367"/>
        <v>Incentives</v>
      </c>
      <c r="M2142" s="1452"/>
      <c r="R2142" s="1453" t="s">
        <v>2096</v>
      </c>
    </row>
    <row r="2143" spans="1:18" s="1451" customFormat="1" x14ac:dyDescent="0.25">
      <c r="A2143" s="928" t="s">
        <v>1402</v>
      </c>
      <c r="B2143" s="857" t="str">
        <f>IFERROR(_xlfn.CONCAT("D",('Configurable Tab'!$C$28+4)),"")</f>
        <v>D4</v>
      </c>
      <c r="C2143" s="857" t="str">
        <f>IFERROR(_xlfn.CONCAT("E",('Configurable Tab'!$C$28+4)),"")</f>
        <v>E4</v>
      </c>
      <c r="D2143" s="897" t="s">
        <v>1367</v>
      </c>
      <c r="E2143" s="897" t="s">
        <v>1936</v>
      </c>
      <c r="F2143" s="1453"/>
      <c r="G2143" s="1453"/>
      <c r="H2143" s="1453"/>
      <c r="I2143" s="857" t="str">
        <f t="shared" si="365"/>
        <v>Incentive Effective Date</v>
      </c>
      <c r="J2143" s="1453" t="str">
        <f t="shared" si="372"/>
        <v>F</v>
      </c>
      <c r="K2143" s="1453" t="str">
        <f t="shared" si="367"/>
        <v>Incentives</v>
      </c>
      <c r="M2143" s="1452"/>
      <c r="R2143" s="1453" t="s">
        <v>2096</v>
      </c>
    </row>
    <row r="2144" spans="1:18" s="1451" customFormat="1" x14ac:dyDescent="0.25">
      <c r="A2144" s="928" t="s">
        <v>1403</v>
      </c>
      <c r="B2144" s="857" t="str">
        <f>IFERROR(_xlfn.CONCAT("D",('Configurable Tab'!$C$28+5)),"")</f>
        <v>D5</v>
      </c>
      <c r="C2144" s="857" t="str">
        <f>IFERROR(_xlfn.CONCAT("E",('Configurable Tab'!$C$28+5)),"")</f>
        <v>E5</v>
      </c>
      <c r="D2144" s="897" t="s">
        <v>1367</v>
      </c>
      <c r="E2144" s="897" t="s">
        <v>1936</v>
      </c>
      <c r="F2144" s="1453"/>
      <c r="G2144" s="1453"/>
      <c r="H2144" s="1453"/>
      <c r="I2144" s="857" t="str">
        <f t="shared" si="365"/>
        <v>Incentive Expiration Date</v>
      </c>
      <c r="J2144" s="1453" t="str">
        <f t="shared" si="372"/>
        <v>F</v>
      </c>
      <c r="K2144" s="1453" t="str">
        <f t="shared" si="367"/>
        <v>Incentives</v>
      </c>
      <c r="M2144" s="1452"/>
      <c r="R2144" s="1453" t="s">
        <v>2096</v>
      </c>
    </row>
    <row r="2145" spans="1:18" s="1451" customFormat="1" x14ac:dyDescent="0.25">
      <c r="A2145" s="928" t="s">
        <v>1413</v>
      </c>
      <c r="B2145" s="857" t="str">
        <f>IFERROR(_xlfn.CONCAT("G",('Configurable Tab'!$C$28+7)),"")</f>
        <v>G7</v>
      </c>
      <c r="C2145" s="857" t="str">
        <f>IFERROR(_xlfn.CONCAT("G",('Configurable Tab'!$C$28+8)),"")</f>
        <v>G8</v>
      </c>
      <c r="D2145" s="897" t="s">
        <v>1367</v>
      </c>
      <c r="E2145" s="897" t="s">
        <v>1936</v>
      </c>
      <c r="F2145" s="1453"/>
      <c r="G2145" s="1453"/>
      <c r="H2145" s="1453"/>
      <c r="I2145" s="857" t="str">
        <f t="shared" si="365"/>
        <v>FF Payment Amount</v>
      </c>
      <c r="J2145" s="1453" t="str">
        <f t="shared" si="372"/>
        <v>F</v>
      </c>
      <c r="K2145" s="1453" t="str">
        <f t="shared" si="367"/>
        <v>Incentives</v>
      </c>
      <c r="M2145" s="1452"/>
      <c r="R2145" s="1453" t="s">
        <v>2096</v>
      </c>
    </row>
    <row r="2146" spans="1:18" s="1451" customFormat="1" ht="30" x14ac:dyDescent="0.25">
      <c r="A2146" s="928" t="s">
        <v>2086</v>
      </c>
      <c r="B2146" s="857" t="str">
        <f>IFERROR(_xlfn.CONCAT("G",('Configurable Tab'!$C$28+7)),"")</f>
        <v>G7</v>
      </c>
      <c r="C2146" s="857" t="str">
        <f>IFERROR(_xlfn.CONCAT("G",('Configurable Tab'!$C$28+8)),"")</f>
        <v>G8</v>
      </c>
      <c r="D2146" s="897" t="s">
        <v>1367</v>
      </c>
      <c r="E2146" s="897" t="s">
        <v>1936</v>
      </c>
      <c r="F2146" s="1453"/>
      <c r="G2146" s="1453"/>
      <c r="H2146" s="1453"/>
      <c r="I2146" s="857" t="str">
        <f t="shared" si="365"/>
        <v>New Customer Location Customer Number</v>
      </c>
      <c r="J2146" s="1453" t="str">
        <f t="shared" si="372"/>
        <v>F</v>
      </c>
      <c r="K2146" s="1453" t="str">
        <f t="shared" si="367"/>
        <v>Incentives</v>
      </c>
      <c r="M2146" s="1452"/>
      <c r="R2146" s="1453" t="s">
        <v>2096</v>
      </c>
    </row>
    <row r="2147" spans="1:18" s="1451" customFormat="1" x14ac:dyDescent="0.25">
      <c r="A2147" s="928" t="s">
        <v>1501</v>
      </c>
      <c r="B2147" s="857" t="str">
        <f>IFERROR(_xlfn.CONCAT("K",('Configurable Tab'!$C$28+7)),"")</f>
        <v>K7</v>
      </c>
      <c r="C2147" s="857" t="str">
        <f>IFERROR(_xlfn.CONCAT("K",('Configurable Tab'!$C$28+8)),"")</f>
        <v>K8</v>
      </c>
      <c r="D2147" s="897" t="s">
        <v>1367</v>
      </c>
      <c r="E2147" s="897" t="s">
        <v>1936</v>
      </c>
      <c r="F2147" s="1453"/>
      <c r="G2147" s="1453"/>
      <c r="H2147" s="1453"/>
      <c r="I2147" s="857" t="str">
        <f t="shared" si="365"/>
        <v>Purchase Commitment</v>
      </c>
      <c r="J2147" s="1453" t="str">
        <f t="shared" si="372"/>
        <v>F</v>
      </c>
      <c r="K2147" s="1453" t="str">
        <f t="shared" si="367"/>
        <v>Incentives</v>
      </c>
      <c r="M2147" s="1452"/>
      <c r="R2147" s="1453" t="s">
        <v>2096</v>
      </c>
    </row>
    <row r="2148" spans="1:18" s="1451" customFormat="1" x14ac:dyDescent="0.25">
      <c r="A2148" s="928" t="s">
        <v>1414</v>
      </c>
      <c r="B2148" s="857" t="str">
        <f>IFERROR(_xlfn.CONCAT("K",('Configurable Tab'!$C$28+1)),"")</f>
        <v>K1</v>
      </c>
      <c r="C2148" s="857" t="str">
        <f>IFERROR(_xlfn.CONCAT("K",('Configurable Tab'!$C$28+2)),"")</f>
        <v>K2</v>
      </c>
      <c r="D2148" s="897" t="s">
        <v>1367</v>
      </c>
      <c r="E2148" s="897" t="s">
        <v>1936</v>
      </c>
      <c r="F2148" s="1453"/>
      <c r="G2148" s="1453"/>
      <c r="H2148" s="1453"/>
      <c r="I2148" s="857" t="str">
        <f t="shared" si="365"/>
        <v>Paid To</v>
      </c>
      <c r="J2148" s="1453" t="str">
        <f t="shared" si="372"/>
        <v>F</v>
      </c>
      <c r="K2148" s="1453" t="str">
        <f t="shared" si="367"/>
        <v>Incentives</v>
      </c>
      <c r="M2148" s="1452"/>
      <c r="R2148" s="1453" t="s">
        <v>2096</v>
      </c>
    </row>
    <row r="2149" spans="1:18" s="1451" customFormat="1" x14ac:dyDescent="0.25">
      <c r="A2149" s="925" t="s">
        <v>1724</v>
      </c>
      <c r="B2149" s="857" t="str">
        <f>IFERROR(_xlfn.CONCAT("D",('Configurable Tab'!$C$29+1)),"")</f>
        <v>D1</v>
      </c>
      <c r="C2149" s="857" t="str">
        <f>IFERROR(_xlfn.CONCAT("E",('Configurable Tab'!$C$29+1)),"")</f>
        <v>E1</v>
      </c>
      <c r="D2149" s="897" t="s">
        <v>1367</v>
      </c>
      <c r="E2149" s="897" t="s">
        <v>1936</v>
      </c>
      <c r="F2149" s="1453"/>
      <c r="G2149" s="1453"/>
      <c r="H2149" s="1453"/>
      <c r="I2149" s="857" t="str">
        <f t="shared" si="365"/>
        <v>Offer This Incentive?</v>
      </c>
      <c r="J2149" s="1453" t="str">
        <f t="shared" ref="J2149:J2158" si="373">IFERROR(Q$1&amp;M2057,"")</f>
        <v>F</v>
      </c>
      <c r="K2149" s="1453" t="str">
        <f t="shared" si="367"/>
        <v>Incentives</v>
      </c>
      <c r="M2149" s="1452"/>
      <c r="Q2149" s="857" t="str">
        <f>IFERROR(_xlfn.CONCAT("C",('Configurable Tab'!$C29+1)),"")</f>
        <v>C1</v>
      </c>
      <c r="R2149" s="1453" t="s">
        <v>2098</v>
      </c>
    </row>
    <row r="2150" spans="1:18" s="1451" customFormat="1" x14ac:dyDescent="0.25">
      <c r="A2150" s="925" t="s">
        <v>1400</v>
      </c>
      <c r="B2150" s="857" t="str">
        <f>IFERROR(_xlfn.CONCAT("D",('Configurable Tab'!$C$29+2)),"")</f>
        <v>D2</v>
      </c>
      <c r="C2150" s="857" t="str">
        <f>IFERROR(_xlfn.CONCAT("E",('Configurable Tab'!$C$29+2)),"")</f>
        <v>E2</v>
      </c>
      <c r="D2150" s="897" t="s">
        <v>1367</v>
      </c>
      <c r="E2150" s="897" t="s">
        <v>1936</v>
      </c>
      <c r="F2150" s="1453"/>
      <c r="G2150" s="1453"/>
      <c r="H2150" s="1453"/>
      <c r="I2150" s="857" t="str">
        <f t="shared" si="365"/>
        <v>Incentive Type</v>
      </c>
      <c r="J2150" s="1453" t="str">
        <f t="shared" si="373"/>
        <v>F</v>
      </c>
      <c r="K2150" s="1453" t="str">
        <f t="shared" si="367"/>
        <v>Incentives</v>
      </c>
      <c r="M2150" s="1452"/>
      <c r="R2150" s="1453" t="s">
        <v>2098</v>
      </c>
    </row>
    <row r="2151" spans="1:18" s="1451" customFormat="1" x14ac:dyDescent="0.25">
      <c r="A2151" s="925" t="s">
        <v>1398</v>
      </c>
      <c r="B2151" s="857" t="str">
        <f>IFERROR(_xlfn.CONCAT("I",('Configurable Tab'!$C$29+1)),"")</f>
        <v>I1</v>
      </c>
      <c r="C2151" s="857" t="str">
        <f>IFERROR(_xlfn.CONCAT("I",('Configurable Tab'!$C$29+2)),"")</f>
        <v>I2</v>
      </c>
      <c r="D2151" s="897" t="s">
        <v>1367</v>
      </c>
      <c r="E2151" s="897" t="s">
        <v>1936</v>
      </c>
      <c r="F2151" s="1453"/>
      <c r="G2151" s="1453"/>
      <c r="H2151" s="1453"/>
      <c r="I2151" s="857" t="str">
        <f t="shared" si="365"/>
        <v>Payment Method</v>
      </c>
      <c r="J2151" s="1453" t="str">
        <f t="shared" si="373"/>
        <v>F</v>
      </c>
      <c r="K2151" s="1453" t="str">
        <f t="shared" si="367"/>
        <v>Incentives</v>
      </c>
      <c r="M2151" s="1452"/>
      <c r="R2151" s="1453" t="s">
        <v>2098</v>
      </c>
    </row>
    <row r="2152" spans="1:18" s="1451" customFormat="1" x14ac:dyDescent="0.25">
      <c r="A2152" s="925" t="s">
        <v>1399</v>
      </c>
      <c r="B2152" s="857" t="str">
        <f>IFERROR(_xlfn.CONCAT("M",('Configurable Tab'!$C$29+1)),"")</f>
        <v>M1</v>
      </c>
      <c r="C2152" s="857" t="str">
        <f>IFERROR(_xlfn.CONCAT("M",('Configurable Tab'!$C$29+2)),"")</f>
        <v>M2</v>
      </c>
      <c r="D2152" s="897" t="s">
        <v>1367</v>
      </c>
      <c r="E2152" s="897" t="s">
        <v>1936</v>
      </c>
      <c r="F2152" s="1453"/>
      <c r="G2152" s="1453"/>
      <c r="H2152" s="1453"/>
      <c r="I2152" s="857" t="str">
        <f t="shared" si="365"/>
        <v>AP/AR Vendor Number</v>
      </c>
      <c r="J2152" s="1453" t="str">
        <f t="shared" si="373"/>
        <v>F</v>
      </c>
      <c r="K2152" s="1453" t="str">
        <f t="shared" si="367"/>
        <v>Incentives</v>
      </c>
      <c r="M2152" s="1452"/>
      <c r="R2152" s="1453" t="s">
        <v>2098</v>
      </c>
    </row>
    <row r="2153" spans="1:18" s="1451" customFormat="1" x14ac:dyDescent="0.25">
      <c r="A2153" s="925" t="s">
        <v>1402</v>
      </c>
      <c r="B2153" s="857" t="str">
        <f>IFERROR(_xlfn.CONCAT("D",('Configurable Tab'!$C$29+4)),"")</f>
        <v>D4</v>
      </c>
      <c r="C2153" s="857" t="str">
        <f>IFERROR(_xlfn.CONCAT("E",('Configurable Tab'!$C$29+4)),"")</f>
        <v>E4</v>
      </c>
      <c r="D2153" s="897" t="s">
        <v>1367</v>
      </c>
      <c r="E2153" s="897" t="s">
        <v>1936</v>
      </c>
      <c r="F2153" s="1453"/>
      <c r="G2153" s="1453"/>
      <c r="H2153" s="1453"/>
      <c r="I2153" s="857" t="str">
        <f t="shared" ref="I2153:I2178" si="374">IF(J2153&lt;&gt;"",A2153,"")</f>
        <v>Incentive Effective Date</v>
      </c>
      <c r="J2153" s="1453" t="str">
        <f t="shared" si="373"/>
        <v>F</v>
      </c>
      <c r="K2153" s="1453" t="str">
        <f t="shared" ref="K2153:K2178" si="375">IF(J2153&lt;&gt;"",E2153,"")</f>
        <v>Incentives</v>
      </c>
      <c r="M2153" s="1452"/>
      <c r="R2153" s="1453" t="s">
        <v>2098</v>
      </c>
    </row>
    <row r="2154" spans="1:18" s="1451" customFormat="1" x14ac:dyDescent="0.25">
      <c r="A2154" s="925" t="s">
        <v>1403</v>
      </c>
      <c r="B2154" s="857" t="str">
        <f>IFERROR(_xlfn.CONCAT("D",('Configurable Tab'!$C$29+5)),"")</f>
        <v>D5</v>
      </c>
      <c r="C2154" s="857" t="str">
        <f>IFERROR(_xlfn.CONCAT("E",('Configurable Tab'!$C$29+5)),"")</f>
        <v>E5</v>
      </c>
      <c r="D2154" s="897" t="s">
        <v>1367</v>
      </c>
      <c r="E2154" s="897" t="s">
        <v>1936</v>
      </c>
      <c r="F2154" s="1453"/>
      <c r="G2154" s="1453"/>
      <c r="H2154" s="1453"/>
      <c r="I2154" s="857" t="str">
        <f t="shared" si="374"/>
        <v>Incentive Expiration Date</v>
      </c>
      <c r="J2154" s="1453" t="str">
        <f t="shared" si="373"/>
        <v>F</v>
      </c>
      <c r="K2154" s="1453" t="str">
        <f t="shared" si="375"/>
        <v>Incentives</v>
      </c>
      <c r="M2154" s="1452"/>
      <c r="R2154" s="1453" t="s">
        <v>2098</v>
      </c>
    </row>
    <row r="2155" spans="1:18" s="1451" customFormat="1" x14ac:dyDescent="0.25">
      <c r="A2155" s="925" t="s">
        <v>1413</v>
      </c>
      <c r="B2155" s="857" t="str">
        <f>IFERROR(_xlfn.CONCAT("G",('Configurable Tab'!$C$29+7)),"")</f>
        <v>G7</v>
      </c>
      <c r="C2155" s="857" t="str">
        <f>IFERROR(_xlfn.CONCAT("G",('Configurable Tab'!$C$29+8)),"")</f>
        <v>G8</v>
      </c>
      <c r="D2155" s="897" t="s">
        <v>1367</v>
      </c>
      <c r="E2155" s="897" t="s">
        <v>1936</v>
      </c>
      <c r="F2155" s="1453"/>
      <c r="G2155" s="1453"/>
      <c r="H2155" s="1453"/>
      <c r="I2155" s="857" t="str">
        <f t="shared" si="374"/>
        <v>FF Payment Amount</v>
      </c>
      <c r="J2155" s="1453" t="str">
        <f t="shared" si="373"/>
        <v>F</v>
      </c>
      <c r="K2155" s="1453" t="str">
        <f t="shared" si="375"/>
        <v>Incentives</v>
      </c>
      <c r="M2155" s="1452"/>
      <c r="R2155" s="1453" t="s">
        <v>2098</v>
      </c>
    </row>
    <row r="2156" spans="1:18" s="1451" customFormat="1" ht="30" x14ac:dyDescent="0.25">
      <c r="A2156" s="925" t="s">
        <v>2086</v>
      </c>
      <c r="B2156" s="857" t="str">
        <f>IFERROR(_xlfn.CONCAT("G",('Configurable Tab'!$C$29+7)),"")</f>
        <v>G7</v>
      </c>
      <c r="C2156" s="857" t="str">
        <f>IFERROR(_xlfn.CONCAT("G",('Configurable Tab'!$C$29+8)),"")</f>
        <v>G8</v>
      </c>
      <c r="D2156" s="897" t="s">
        <v>1367</v>
      </c>
      <c r="E2156" s="897" t="s">
        <v>1936</v>
      </c>
      <c r="F2156" s="1453"/>
      <c r="G2156" s="1453"/>
      <c r="H2156" s="1453"/>
      <c r="I2156" s="857" t="str">
        <f t="shared" si="374"/>
        <v>New Customer Location Customer Number</v>
      </c>
      <c r="J2156" s="1453" t="str">
        <f t="shared" si="373"/>
        <v>F</v>
      </c>
      <c r="K2156" s="1453" t="str">
        <f t="shared" si="375"/>
        <v>Incentives</v>
      </c>
      <c r="M2156" s="1452"/>
      <c r="R2156" s="1453" t="s">
        <v>2098</v>
      </c>
    </row>
    <row r="2157" spans="1:18" s="1451" customFormat="1" x14ac:dyDescent="0.25">
      <c r="A2157" s="925" t="s">
        <v>1501</v>
      </c>
      <c r="B2157" s="857" t="str">
        <f>IFERROR(_xlfn.CONCAT("K",('Configurable Tab'!$C$29+7)),"")</f>
        <v>K7</v>
      </c>
      <c r="C2157" s="857" t="str">
        <f>IFERROR(_xlfn.CONCAT("K",('Configurable Tab'!$C$29+8)),"")</f>
        <v>K8</v>
      </c>
      <c r="D2157" s="897" t="s">
        <v>1367</v>
      </c>
      <c r="E2157" s="897" t="s">
        <v>1936</v>
      </c>
      <c r="F2157" s="1453"/>
      <c r="G2157" s="1453"/>
      <c r="H2157" s="1453"/>
      <c r="I2157" s="857" t="str">
        <f t="shared" si="374"/>
        <v>Purchase Commitment</v>
      </c>
      <c r="J2157" s="1453" t="str">
        <f t="shared" si="373"/>
        <v>F</v>
      </c>
      <c r="K2157" s="1453" t="str">
        <f t="shared" si="375"/>
        <v>Incentives</v>
      </c>
      <c r="M2157" s="1452"/>
      <c r="R2157" s="1453" t="s">
        <v>2098</v>
      </c>
    </row>
    <row r="2158" spans="1:18" s="1451" customFormat="1" x14ac:dyDescent="0.25">
      <c r="A2158" s="925" t="s">
        <v>1414</v>
      </c>
      <c r="B2158" s="857" t="str">
        <f>IFERROR(_xlfn.CONCAT("K",('Configurable Tab'!$C$29+1)),"")</f>
        <v>K1</v>
      </c>
      <c r="C2158" s="857" t="str">
        <f>IFERROR(_xlfn.CONCAT("K",('Configurable Tab'!$C$29+2)),"")</f>
        <v>K2</v>
      </c>
      <c r="D2158" s="897" t="s">
        <v>1367</v>
      </c>
      <c r="E2158" s="897" t="s">
        <v>1936</v>
      </c>
      <c r="F2158" s="1453"/>
      <c r="G2158" s="1453"/>
      <c r="H2158" s="1453"/>
      <c r="I2158" s="857" t="str">
        <f t="shared" si="374"/>
        <v>Paid To</v>
      </c>
      <c r="J2158" s="1453" t="str">
        <f t="shared" si="373"/>
        <v>F</v>
      </c>
      <c r="K2158" s="1453" t="str">
        <f t="shared" si="375"/>
        <v>Incentives</v>
      </c>
      <c r="M2158" s="1452"/>
      <c r="R2158" s="1453" t="s">
        <v>2098</v>
      </c>
    </row>
    <row r="2159" spans="1:18" s="1451" customFormat="1" x14ac:dyDescent="0.25">
      <c r="A2159" s="928" t="s">
        <v>1724</v>
      </c>
      <c r="B2159" s="857" t="str">
        <f>IFERROR(_xlfn.CONCAT("D",('Configurable Tab'!$C$30+1)),"")</f>
        <v>D1</v>
      </c>
      <c r="C2159" s="857" t="str">
        <f>IFERROR(_xlfn.CONCAT("E",('Configurable Tab'!$C$30+1)),"")</f>
        <v>E1</v>
      </c>
      <c r="D2159" s="897" t="s">
        <v>1367</v>
      </c>
      <c r="E2159" s="897" t="s">
        <v>1936</v>
      </c>
      <c r="F2159" s="1453"/>
      <c r="G2159" s="1453"/>
      <c r="H2159" s="1453"/>
      <c r="I2159" s="857" t="str">
        <f t="shared" si="374"/>
        <v>Offer This Incentive?</v>
      </c>
      <c r="J2159" s="1453" t="str">
        <f t="shared" ref="J2159:J2168" si="376">IFERROR(Q$1&amp;M2068,"")</f>
        <v>F</v>
      </c>
      <c r="K2159" s="1453" t="str">
        <f t="shared" si="375"/>
        <v>Incentives</v>
      </c>
      <c r="M2159" s="1452"/>
      <c r="Q2159" s="857" t="str">
        <f>IFERROR(_xlfn.CONCAT("C",('Configurable Tab'!$C30+1)),"")</f>
        <v>C1</v>
      </c>
      <c r="R2159" s="1453" t="s">
        <v>2100</v>
      </c>
    </row>
    <row r="2160" spans="1:18" s="1451" customFormat="1" x14ac:dyDescent="0.25">
      <c r="A2160" s="928" t="s">
        <v>1400</v>
      </c>
      <c r="B2160" s="857" t="str">
        <f>IFERROR(_xlfn.CONCAT("D",('Configurable Tab'!$C$30+2)),"")</f>
        <v>D2</v>
      </c>
      <c r="C2160" s="857" t="str">
        <f>IFERROR(_xlfn.CONCAT("E",('Configurable Tab'!$C$30+2)),"")</f>
        <v>E2</v>
      </c>
      <c r="D2160" s="897" t="s">
        <v>1367</v>
      </c>
      <c r="E2160" s="897" t="s">
        <v>1936</v>
      </c>
      <c r="F2160" s="1453"/>
      <c r="G2160" s="1453"/>
      <c r="H2160" s="1453"/>
      <c r="I2160" s="857" t="str">
        <f t="shared" si="374"/>
        <v>Incentive Type</v>
      </c>
      <c r="J2160" s="1453" t="str">
        <f t="shared" si="376"/>
        <v>F</v>
      </c>
      <c r="K2160" s="1453" t="str">
        <f t="shared" si="375"/>
        <v>Incentives</v>
      </c>
      <c r="M2160" s="1452"/>
      <c r="R2160" s="1453" t="s">
        <v>2100</v>
      </c>
    </row>
    <row r="2161" spans="1:18" s="1451" customFormat="1" x14ac:dyDescent="0.25">
      <c r="A2161" s="928" t="s">
        <v>1398</v>
      </c>
      <c r="B2161" s="857" t="str">
        <f>IFERROR(_xlfn.CONCAT("I",('Configurable Tab'!$C$30+1)),"")</f>
        <v>I1</v>
      </c>
      <c r="C2161" s="857" t="str">
        <f>IFERROR(_xlfn.CONCAT("I",('Configurable Tab'!$C$30+2)),"")</f>
        <v>I2</v>
      </c>
      <c r="D2161" s="897" t="s">
        <v>1367</v>
      </c>
      <c r="E2161" s="897" t="s">
        <v>1936</v>
      </c>
      <c r="F2161" s="1453"/>
      <c r="G2161" s="1453"/>
      <c r="H2161" s="1453"/>
      <c r="I2161" s="857" t="str">
        <f t="shared" si="374"/>
        <v>Payment Method</v>
      </c>
      <c r="J2161" s="1453" t="str">
        <f t="shared" si="376"/>
        <v>F</v>
      </c>
      <c r="K2161" s="1453" t="str">
        <f t="shared" si="375"/>
        <v>Incentives</v>
      </c>
      <c r="M2161" s="1452"/>
      <c r="R2161" s="1453" t="s">
        <v>2100</v>
      </c>
    </row>
    <row r="2162" spans="1:18" s="1451" customFormat="1" x14ac:dyDescent="0.25">
      <c r="A2162" s="928" t="s">
        <v>1399</v>
      </c>
      <c r="B2162" s="857" t="str">
        <f>IFERROR(_xlfn.CONCAT("M",('Configurable Tab'!$C$30+1)),"")</f>
        <v>M1</v>
      </c>
      <c r="C2162" s="857" t="str">
        <f>IFERROR(_xlfn.CONCAT("M",('Configurable Tab'!$C$30+2)),"")</f>
        <v>M2</v>
      </c>
      <c r="D2162" s="897" t="s">
        <v>1367</v>
      </c>
      <c r="E2162" s="897" t="s">
        <v>1936</v>
      </c>
      <c r="F2162" s="1453"/>
      <c r="G2162" s="1453"/>
      <c r="H2162" s="1453"/>
      <c r="I2162" s="857" t="str">
        <f t="shared" si="374"/>
        <v>AP/AR Vendor Number</v>
      </c>
      <c r="J2162" s="1453" t="str">
        <f t="shared" si="376"/>
        <v>F</v>
      </c>
      <c r="K2162" s="1453" t="str">
        <f t="shared" si="375"/>
        <v>Incentives</v>
      </c>
      <c r="M2162" s="1452"/>
      <c r="R2162" s="1453" t="s">
        <v>2100</v>
      </c>
    </row>
    <row r="2163" spans="1:18" s="1451" customFormat="1" x14ac:dyDescent="0.25">
      <c r="A2163" s="928" t="s">
        <v>1402</v>
      </c>
      <c r="B2163" s="857" t="str">
        <f>IFERROR(_xlfn.CONCAT("D",('Configurable Tab'!$C$30+4)),"")</f>
        <v>D4</v>
      </c>
      <c r="C2163" s="857" t="str">
        <f>IFERROR(_xlfn.CONCAT("E",('Configurable Tab'!$C$30+4)),"")</f>
        <v>E4</v>
      </c>
      <c r="D2163" s="897" t="s">
        <v>1367</v>
      </c>
      <c r="E2163" s="897" t="s">
        <v>1936</v>
      </c>
      <c r="F2163" s="1453"/>
      <c r="G2163" s="1453"/>
      <c r="H2163" s="1453"/>
      <c r="I2163" s="857" t="str">
        <f t="shared" si="374"/>
        <v>Incentive Effective Date</v>
      </c>
      <c r="J2163" s="1453" t="str">
        <f t="shared" si="376"/>
        <v>F</v>
      </c>
      <c r="K2163" s="1453" t="str">
        <f t="shared" si="375"/>
        <v>Incentives</v>
      </c>
      <c r="M2163" s="1452"/>
      <c r="R2163" s="1453" t="s">
        <v>2100</v>
      </c>
    </row>
    <row r="2164" spans="1:18" s="1451" customFormat="1" x14ac:dyDescent="0.25">
      <c r="A2164" s="928" t="s">
        <v>1403</v>
      </c>
      <c r="B2164" s="857" t="str">
        <f>IFERROR(_xlfn.CONCAT("D",('Configurable Tab'!$C$30+5)),"")</f>
        <v>D5</v>
      </c>
      <c r="C2164" s="857" t="str">
        <f>IFERROR(_xlfn.CONCAT("E",('Configurable Tab'!$C$30+5)),"")</f>
        <v>E5</v>
      </c>
      <c r="D2164" s="897" t="s">
        <v>1367</v>
      </c>
      <c r="E2164" s="897" t="s">
        <v>1936</v>
      </c>
      <c r="F2164" s="1453"/>
      <c r="G2164" s="1453"/>
      <c r="H2164" s="1453"/>
      <c r="I2164" s="857" t="str">
        <f t="shared" si="374"/>
        <v>Incentive Expiration Date</v>
      </c>
      <c r="J2164" s="1453" t="str">
        <f t="shared" si="376"/>
        <v>F</v>
      </c>
      <c r="K2164" s="1453" t="str">
        <f t="shared" si="375"/>
        <v>Incentives</v>
      </c>
      <c r="M2164" s="1452"/>
      <c r="R2164" s="1453" t="s">
        <v>2100</v>
      </c>
    </row>
    <row r="2165" spans="1:18" s="1451" customFormat="1" x14ac:dyDescent="0.25">
      <c r="A2165" s="928" t="s">
        <v>1413</v>
      </c>
      <c r="B2165" s="857" t="str">
        <f>IFERROR(_xlfn.CONCAT("G",('Configurable Tab'!$C$30+7)),"")</f>
        <v>G7</v>
      </c>
      <c r="C2165" s="857" t="str">
        <f>IFERROR(_xlfn.CONCAT("G",('Configurable Tab'!$C$30+8)),"")</f>
        <v>G8</v>
      </c>
      <c r="D2165" s="897" t="s">
        <v>1367</v>
      </c>
      <c r="E2165" s="897" t="s">
        <v>1936</v>
      </c>
      <c r="F2165" s="1453"/>
      <c r="G2165" s="1453"/>
      <c r="H2165" s="1453"/>
      <c r="I2165" s="857" t="str">
        <f t="shared" si="374"/>
        <v>FF Payment Amount</v>
      </c>
      <c r="J2165" s="1453" t="str">
        <f t="shared" si="376"/>
        <v>F</v>
      </c>
      <c r="K2165" s="1453" t="str">
        <f t="shared" si="375"/>
        <v>Incentives</v>
      </c>
      <c r="M2165" s="1452"/>
      <c r="R2165" s="1453" t="s">
        <v>2100</v>
      </c>
    </row>
    <row r="2166" spans="1:18" s="1451" customFormat="1" ht="30" x14ac:dyDescent="0.25">
      <c r="A2166" s="928" t="s">
        <v>2086</v>
      </c>
      <c r="B2166" s="857" t="str">
        <f>IFERROR(_xlfn.CONCAT("G",('Configurable Tab'!$C$30+7)),"")</f>
        <v>G7</v>
      </c>
      <c r="C2166" s="857" t="str">
        <f>IFERROR(_xlfn.CONCAT("G",('Configurable Tab'!$C$30+8)),"")</f>
        <v>G8</v>
      </c>
      <c r="D2166" s="897" t="s">
        <v>1367</v>
      </c>
      <c r="E2166" s="897" t="s">
        <v>1936</v>
      </c>
      <c r="F2166" s="1453"/>
      <c r="G2166" s="1453"/>
      <c r="H2166" s="1453"/>
      <c r="I2166" s="857" t="str">
        <f t="shared" si="374"/>
        <v>New Customer Location Customer Number</v>
      </c>
      <c r="J2166" s="1453" t="str">
        <f t="shared" si="376"/>
        <v>F</v>
      </c>
      <c r="K2166" s="1453" t="str">
        <f t="shared" si="375"/>
        <v>Incentives</v>
      </c>
      <c r="M2166" s="1452"/>
      <c r="R2166" s="1453" t="s">
        <v>2100</v>
      </c>
    </row>
    <row r="2167" spans="1:18" s="1451" customFormat="1" x14ac:dyDescent="0.25">
      <c r="A2167" s="928" t="s">
        <v>1501</v>
      </c>
      <c r="B2167" s="857" t="str">
        <f>IFERROR(_xlfn.CONCAT("K",('Configurable Tab'!$C$30+7)),"")</f>
        <v>K7</v>
      </c>
      <c r="C2167" s="857" t="str">
        <f>IFERROR(_xlfn.CONCAT("K",('Configurable Tab'!$C$30+8)),"")</f>
        <v>K8</v>
      </c>
      <c r="D2167" s="897" t="s">
        <v>1367</v>
      </c>
      <c r="E2167" s="897" t="s">
        <v>1936</v>
      </c>
      <c r="F2167" s="1453"/>
      <c r="G2167" s="1453"/>
      <c r="H2167" s="1453"/>
      <c r="I2167" s="857" t="str">
        <f t="shared" si="374"/>
        <v>Purchase Commitment</v>
      </c>
      <c r="J2167" s="1453" t="str">
        <f t="shared" si="376"/>
        <v>F</v>
      </c>
      <c r="K2167" s="1453" t="str">
        <f t="shared" si="375"/>
        <v>Incentives</v>
      </c>
      <c r="M2167" s="1452"/>
      <c r="R2167" s="1453" t="s">
        <v>2100</v>
      </c>
    </row>
    <row r="2168" spans="1:18" s="1451" customFormat="1" x14ac:dyDescent="0.25">
      <c r="A2168" s="928" t="s">
        <v>1414</v>
      </c>
      <c r="B2168" s="857" t="str">
        <f>IFERROR(_xlfn.CONCAT("K",('Configurable Tab'!$C$30+1)),"")</f>
        <v>K1</v>
      </c>
      <c r="C2168" s="857" t="str">
        <f>IFERROR(_xlfn.CONCAT("K",('Configurable Tab'!$C$30+2)),"")</f>
        <v>K2</v>
      </c>
      <c r="D2168" s="897" t="s">
        <v>1367</v>
      </c>
      <c r="E2168" s="897" t="s">
        <v>1936</v>
      </c>
      <c r="F2168" s="1453"/>
      <c r="G2168" s="1453"/>
      <c r="H2168" s="1453"/>
      <c r="I2168" s="857" t="str">
        <f t="shared" si="374"/>
        <v>Paid To</v>
      </c>
      <c r="J2168" s="1453" t="str">
        <f t="shared" si="376"/>
        <v>F</v>
      </c>
      <c r="K2168" s="1453" t="str">
        <f t="shared" si="375"/>
        <v>Incentives</v>
      </c>
      <c r="M2168" s="1452"/>
      <c r="R2168" s="1453" t="s">
        <v>2100</v>
      </c>
    </row>
    <row r="2169" spans="1:18" s="1451" customFormat="1" x14ac:dyDescent="0.25">
      <c r="A2169" s="925" t="s">
        <v>1724</v>
      </c>
      <c r="B2169" s="857" t="str">
        <f>IFERROR(_xlfn.CONCAT("D",('Configurable Tab'!$C$31+1)),"")</f>
        <v>D1</v>
      </c>
      <c r="C2169" s="857" t="str">
        <f>IFERROR(_xlfn.CONCAT("E",('Configurable Tab'!$C$31+1)),"")</f>
        <v>E1</v>
      </c>
      <c r="D2169" s="897" t="s">
        <v>1367</v>
      </c>
      <c r="E2169" s="897" t="s">
        <v>1936</v>
      </c>
      <c r="F2169" s="1453"/>
      <c r="G2169" s="1453"/>
      <c r="H2169" s="1453"/>
      <c r="I2169" s="857" t="str">
        <f t="shared" si="374"/>
        <v>Offer This Incentive?</v>
      </c>
      <c r="J2169" s="1453" t="str">
        <f t="shared" ref="J2169:J2178" si="377">IFERROR(Q$1&amp;M2079,"")</f>
        <v>F</v>
      </c>
      <c r="K2169" s="1453" t="str">
        <f t="shared" si="375"/>
        <v>Incentives</v>
      </c>
      <c r="M2169" s="1452"/>
      <c r="Q2169" s="857" t="str">
        <f>IFERROR(_xlfn.CONCAT("C",('Configurable Tab'!$C31+1)),"")</f>
        <v>C1</v>
      </c>
      <c r="R2169" s="1453" t="s">
        <v>2102</v>
      </c>
    </row>
    <row r="2170" spans="1:18" s="1451" customFormat="1" x14ac:dyDescent="0.25">
      <c r="A2170" s="925" t="s">
        <v>1400</v>
      </c>
      <c r="B2170" s="857" t="str">
        <f>IFERROR(_xlfn.CONCAT("D",('Configurable Tab'!$C$31+2)),"")</f>
        <v>D2</v>
      </c>
      <c r="C2170" s="857" t="str">
        <f>IFERROR(_xlfn.CONCAT("E",('Configurable Tab'!$C$31+2)),"")</f>
        <v>E2</v>
      </c>
      <c r="D2170" s="897" t="s">
        <v>1367</v>
      </c>
      <c r="E2170" s="897" t="s">
        <v>1936</v>
      </c>
      <c r="F2170" s="1453"/>
      <c r="G2170" s="1453"/>
      <c r="H2170" s="1453"/>
      <c r="I2170" s="857" t="str">
        <f t="shared" si="374"/>
        <v>Incentive Type</v>
      </c>
      <c r="J2170" s="1453" t="str">
        <f t="shared" si="377"/>
        <v>F</v>
      </c>
      <c r="K2170" s="1453" t="str">
        <f t="shared" si="375"/>
        <v>Incentives</v>
      </c>
      <c r="M2170" s="1452"/>
      <c r="R2170" s="1453" t="s">
        <v>2102</v>
      </c>
    </row>
    <row r="2171" spans="1:18" s="1451" customFormat="1" x14ac:dyDescent="0.25">
      <c r="A2171" s="925" t="s">
        <v>1398</v>
      </c>
      <c r="B2171" s="857" t="str">
        <f>IFERROR(_xlfn.CONCAT("I",('Configurable Tab'!$C$31+1)),"")</f>
        <v>I1</v>
      </c>
      <c r="C2171" s="857" t="str">
        <f>IFERROR(_xlfn.CONCAT("I",('Configurable Tab'!$C$31+2)),"")</f>
        <v>I2</v>
      </c>
      <c r="D2171" s="897" t="s">
        <v>1367</v>
      </c>
      <c r="E2171" s="897" t="s">
        <v>1936</v>
      </c>
      <c r="F2171" s="1453"/>
      <c r="G2171" s="1453"/>
      <c r="H2171" s="1453"/>
      <c r="I2171" s="857" t="str">
        <f t="shared" si="374"/>
        <v>Payment Method</v>
      </c>
      <c r="J2171" s="1453" t="str">
        <f t="shared" si="377"/>
        <v>F</v>
      </c>
      <c r="K2171" s="1453" t="str">
        <f t="shared" si="375"/>
        <v>Incentives</v>
      </c>
      <c r="M2171" s="1452"/>
      <c r="R2171" s="1453" t="s">
        <v>2102</v>
      </c>
    </row>
    <row r="2172" spans="1:18" s="1451" customFormat="1" x14ac:dyDescent="0.25">
      <c r="A2172" s="925" t="s">
        <v>1399</v>
      </c>
      <c r="B2172" s="857" t="str">
        <f>IFERROR(_xlfn.CONCAT("M",('Configurable Tab'!$C$31+1)),"")</f>
        <v>M1</v>
      </c>
      <c r="C2172" s="857" t="str">
        <f>IFERROR(_xlfn.CONCAT("M",('Configurable Tab'!$C$31+2)),"")</f>
        <v>M2</v>
      </c>
      <c r="D2172" s="897" t="s">
        <v>1367</v>
      </c>
      <c r="E2172" s="897" t="s">
        <v>1936</v>
      </c>
      <c r="F2172" s="1453"/>
      <c r="G2172" s="1453"/>
      <c r="H2172" s="1453"/>
      <c r="I2172" s="857" t="str">
        <f t="shared" si="374"/>
        <v>AP/AR Vendor Number</v>
      </c>
      <c r="J2172" s="1453" t="str">
        <f t="shared" si="377"/>
        <v>F</v>
      </c>
      <c r="K2172" s="1453" t="str">
        <f t="shared" si="375"/>
        <v>Incentives</v>
      </c>
      <c r="M2172" s="1452"/>
      <c r="R2172" s="1453" t="s">
        <v>2102</v>
      </c>
    </row>
    <row r="2173" spans="1:18" s="1451" customFormat="1" x14ac:dyDescent="0.25">
      <c r="A2173" s="925" t="s">
        <v>1402</v>
      </c>
      <c r="B2173" s="857" t="str">
        <f>IFERROR(_xlfn.CONCAT("D",('Configurable Tab'!$C$31+4)),"")</f>
        <v>D4</v>
      </c>
      <c r="C2173" s="857" t="str">
        <f>IFERROR(_xlfn.CONCAT("E",('Configurable Tab'!$C$31+4)),"")</f>
        <v>E4</v>
      </c>
      <c r="D2173" s="897" t="s">
        <v>1367</v>
      </c>
      <c r="E2173" s="897" t="s">
        <v>1936</v>
      </c>
      <c r="F2173" s="1453"/>
      <c r="G2173" s="1453"/>
      <c r="H2173" s="1453"/>
      <c r="I2173" s="857" t="str">
        <f t="shared" si="374"/>
        <v>Incentive Effective Date</v>
      </c>
      <c r="J2173" s="1453" t="str">
        <f t="shared" si="377"/>
        <v>F</v>
      </c>
      <c r="K2173" s="1453" t="str">
        <f t="shared" si="375"/>
        <v>Incentives</v>
      </c>
      <c r="M2173" s="1452"/>
      <c r="R2173" s="1453" t="s">
        <v>2102</v>
      </c>
    </row>
    <row r="2174" spans="1:18" s="1451" customFormat="1" x14ac:dyDescent="0.25">
      <c r="A2174" s="925" t="s">
        <v>1403</v>
      </c>
      <c r="B2174" s="857" t="str">
        <f>IFERROR(_xlfn.CONCAT("D",('Configurable Tab'!$C$31+5)),"")</f>
        <v>D5</v>
      </c>
      <c r="C2174" s="857" t="str">
        <f>IFERROR(_xlfn.CONCAT("E",('Configurable Tab'!$C$31+5)),"")</f>
        <v>E5</v>
      </c>
      <c r="D2174" s="897" t="s">
        <v>1367</v>
      </c>
      <c r="E2174" s="897" t="s">
        <v>1936</v>
      </c>
      <c r="F2174" s="1453"/>
      <c r="G2174" s="1453"/>
      <c r="H2174" s="1453"/>
      <c r="I2174" s="857" t="str">
        <f t="shared" si="374"/>
        <v>Incentive Expiration Date</v>
      </c>
      <c r="J2174" s="1453" t="str">
        <f t="shared" si="377"/>
        <v>F</v>
      </c>
      <c r="K2174" s="1453" t="str">
        <f t="shared" si="375"/>
        <v>Incentives</v>
      </c>
      <c r="M2174" s="1452"/>
      <c r="R2174" s="1453" t="s">
        <v>2102</v>
      </c>
    </row>
    <row r="2175" spans="1:18" s="1451" customFormat="1" x14ac:dyDescent="0.25">
      <c r="A2175" s="925" t="s">
        <v>1413</v>
      </c>
      <c r="B2175" s="857" t="str">
        <f>IFERROR(_xlfn.CONCAT("G",('Configurable Tab'!$C$31+7)),"")</f>
        <v>G7</v>
      </c>
      <c r="C2175" s="857" t="str">
        <f>IFERROR(_xlfn.CONCAT("G",('Configurable Tab'!$C$31+8)),"")</f>
        <v>G8</v>
      </c>
      <c r="D2175" s="897" t="s">
        <v>1367</v>
      </c>
      <c r="E2175" s="897" t="s">
        <v>1936</v>
      </c>
      <c r="F2175" s="1453"/>
      <c r="G2175" s="1453"/>
      <c r="H2175" s="1453"/>
      <c r="I2175" s="857" t="str">
        <f t="shared" si="374"/>
        <v>FF Payment Amount</v>
      </c>
      <c r="J2175" s="1453" t="str">
        <f t="shared" si="377"/>
        <v>F</v>
      </c>
      <c r="K2175" s="1453" t="str">
        <f t="shared" si="375"/>
        <v>Incentives</v>
      </c>
      <c r="M2175" s="1452"/>
      <c r="R2175" s="1453" t="s">
        <v>2102</v>
      </c>
    </row>
    <row r="2176" spans="1:18" s="1451" customFormat="1" ht="30" x14ac:dyDescent="0.25">
      <c r="A2176" s="925" t="s">
        <v>2086</v>
      </c>
      <c r="B2176" s="857" t="str">
        <f>IFERROR(_xlfn.CONCAT("G",('Configurable Tab'!$C$31+7)),"")</f>
        <v>G7</v>
      </c>
      <c r="C2176" s="857" t="str">
        <f>IFERROR(_xlfn.CONCAT("G",('Configurable Tab'!$C$31+8)),"")</f>
        <v>G8</v>
      </c>
      <c r="D2176" s="897" t="s">
        <v>1367</v>
      </c>
      <c r="E2176" s="897" t="s">
        <v>1936</v>
      </c>
      <c r="F2176" s="1453"/>
      <c r="G2176" s="1453"/>
      <c r="H2176" s="1453"/>
      <c r="I2176" s="857" t="str">
        <f t="shared" si="374"/>
        <v>New Customer Location Customer Number</v>
      </c>
      <c r="J2176" s="1453" t="str">
        <f t="shared" si="377"/>
        <v>F</v>
      </c>
      <c r="K2176" s="1453" t="str">
        <f t="shared" si="375"/>
        <v>Incentives</v>
      </c>
      <c r="M2176" s="1452"/>
      <c r="R2176" s="1453" t="s">
        <v>2102</v>
      </c>
    </row>
    <row r="2177" spans="1:20" s="1451" customFormat="1" x14ac:dyDescent="0.25">
      <c r="A2177" s="925" t="s">
        <v>1501</v>
      </c>
      <c r="B2177" s="857" t="str">
        <f>IFERROR(_xlfn.CONCAT("K",('Configurable Tab'!$C$31+7)),"")</f>
        <v>K7</v>
      </c>
      <c r="C2177" s="857" t="str">
        <f>IFERROR(_xlfn.CONCAT("K",('Configurable Tab'!$C$31+8)),"")</f>
        <v>K8</v>
      </c>
      <c r="D2177" s="897" t="s">
        <v>1367</v>
      </c>
      <c r="E2177" s="897" t="s">
        <v>1936</v>
      </c>
      <c r="F2177" s="1453"/>
      <c r="G2177" s="1453"/>
      <c r="H2177" s="1453"/>
      <c r="I2177" s="857" t="str">
        <f t="shared" si="374"/>
        <v>Purchase Commitment</v>
      </c>
      <c r="J2177" s="1453" t="str">
        <f t="shared" si="377"/>
        <v>F</v>
      </c>
      <c r="K2177" s="1453" t="str">
        <f t="shared" si="375"/>
        <v>Incentives</v>
      </c>
      <c r="M2177" s="1452"/>
      <c r="R2177" s="1453" t="s">
        <v>2102</v>
      </c>
    </row>
    <row r="2178" spans="1:20" s="1451" customFormat="1" x14ac:dyDescent="0.25">
      <c r="A2178" s="925" t="s">
        <v>1414</v>
      </c>
      <c r="B2178" s="857" t="str">
        <f>IFERROR(_xlfn.CONCAT("K",('Configurable Tab'!$C$31+1)),"")</f>
        <v>K1</v>
      </c>
      <c r="C2178" s="857" t="str">
        <f>IFERROR(_xlfn.CONCAT("K",('Configurable Tab'!$C$31+2)),"")</f>
        <v>K2</v>
      </c>
      <c r="D2178" s="897" t="s">
        <v>1367</v>
      </c>
      <c r="E2178" s="897" t="s">
        <v>1936</v>
      </c>
      <c r="F2178" s="1453"/>
      <c r="G2178" s="1453"/>
      <c r="H2178" s="1453"/>
      <c r="I2178" s="857" t="str">
        <f t="shared" si="374"/>
        <v>Paid To</v>
      </c>
      <c r="J2178" s="1453" t="str">
        <f t="shared" si="377"/>
        <v>F</v>
      </c>
      <c r="K2178" s="1453" t="str">
        <f t="shared" si="375"/>
        <v>Incentives</v>
      </c>
      <c r="M2178" s="1452"/>
      <c r="R2178" s="1453" t="s">
        <v>2102</v>
      </c>
    </row>
    <row r="2179" spans="1:20" s="1451" customFormat="1" x14ac:dyDescent="0.25">
      <c r="A2179" s="859" t="s">
        <v>1169</v>
      </c>
      <c r="B2179" s="859" t="str">
        <f ca="1">_xlfn.CONCAT(IFERROR(SUBSTITUTE(ADDRESS(1,MATCH(A2179,INDIRECT("'"&amp;E2179&amp;"'"&amp;"!A29:Z29"),0),4),1,""),""),29)</f>
        <v>B29</v>
      </c>
      <c r="C2179" s="859" t="str">
        <f ca="1">_xlfn.CONCAT(IFERROR(SUBSTITUTE(ADDRESS(1,MATCH(A2179,INDIRECT("'"&amp;E2179&amp;"'"&amp;"!A29:Z29"),0),4),1,""),""),30)</f>
        <v>B30</v>
      </c>
      <c r="D2179" s="859" t="s">
        <v>1367</v>
      </c>
      <c r="E2179" s="859" t="s">
        <v>1391</v>
      </c>
      <c r="F2179" s="859" t="str">
        <f>IF(G2179&lt;&gt;"","Amendment Recap","")</f>
        <v/>
      </c>
      <c r="G2179" s="859" t="str">
        <f>IF(Welcome!D$6="Amendment","P","")</f>
        <v/>
      </c>
      <c r="H2179" s="52" t="str">
        <f>IF(G2179&lt;&gt;"","General","")</f>
        <v/>
      </c>
      <c r="M2179" s="1452"/>
    </row>
    <row r="2180" spans="1:20" s="1451" customFormat="1" x14ac:dyDescent="0.25">
      <c r="A2180" s="926" t="s">
        <v>1507</v>
      </c>
      <c r="B2180" s="897" t="str">
        <f ca="1">_xlfn.CONCAT(IFERROR(SUBSTITUTE(ADDRESS(1,MATCH(A2180,INDIRECT("'"&amp;E2180&amp;"'"&amp;"!A" &amp; $O$1005 + 2 &amp; ":Z" &amp; $O$1005 + 2),0),4),1,""),""),$O$1005 + 2)</f>
        <v>T325</v>
      </c>
      <c r="C2180" s="897" t="str">
        <f ca="1">_xlfn.CONCAT(IFERROR(SUBSTITUTE(ADDRESS(1,MATCH(A2180,INDIRECT("'"&amp;E2180&amp;"'"&amp;"!A" &amp; $O$1005 + 2 &amp; ":Z" &amp; $O$1005 + 2),0),4),1,""),""),$O$1005 + 3)</f>
        <v>T326</v>
      </c>
      <c r="D2180" s="897" t="s">
        <v>1367</v>
      </c>
      <c r="E2180" s="897" t="s">
        <v>1535</v>
      </c>
      <c r="F2180" s="1453" t="s">
        <v>1507</v>
      </c>
      <c r="G2180" s="1453" t="str">
        <f>IF(T2180&lt;&gt;"","AW","")</f>
        <v/>
      </c>
      <c r="H2180" s="1453" t="s">
        <v>1926</v>
      </c>
      <c r="I2180" s="857"/>
      <c r="J2180" s="1453"/>
      <c r="K2180" s="1453"/>
      <c r="L2180" s="897"/>
      <c r="M2180" s="1454"/>
      <c r="N2180" s="1453"/>
      <c r="R2180" s="1453" t="s">
        <v>481</v>
      </c>
      <c r="T2180" s="1453" t="str">
        <f t="shared" ref="T2180" si="378">IF(Q$1005="Yes",23,"")</f>
        <v/>
      </c>
    </row>
    <row r="2181" spans="1:20" s="1451" customFormat="1" x14ac:dyDescent="0.25">
      <c r="A2181" s="1102" t="s">
        <v>1507</v>
      </c>
      <c r="B2181" s="897" t="str">
        <f ca="1">_xlfn.CONCAT(IFERROR(SUBSTITUTE(ADDRESS(1,MATCH(A2181,INDIRECT("'"&amp;E2181&amp;"'"&amp;"!A" &amp; $O$1016 + 2 &amp; ":Z" &amp; $O$1016 + 2),0),4),1,""),""),$O$1016 + 2)</f>
        <v>T339</v>
      </c>
      <c r="C2181" s="897" t="str">
        <f ca="1">_xlfn.CONCAT(IFERROR(SUBSTITUTE(ADDRESS(1,MATCH(A2181,INDIRECT("'"&amp;E2181&amp;"'"&amp;"!A" &amp; $O$1016 + 2 &amp; ":Z" &amp; $O$1016 + 2),0),4),1,""),""),$O$1016 + 3)</f>
        <v>T340</v>
      </c>
      <c r="D2181" s="897" t="s">
        <v>1367</v>
      </c>
      <c r="E2181" s="897" t="s">
        <v>1535</v>
      </c>
      <c r="F2181" s="1453" t="s">
        <v>1507</v>
      </c>
      <c r="G2181" s="1453" t="str">
        <f t="shared" ref="G2181:G2184" si="379">IF(T2181&lt;&gt;"","AW","")</f>
        <v/>
      </c>
      <c r="H2181" s="1453" t="s">
        <v>1926</v>
      </c>
      <c r="I2181" s="857"/>
      <c r="J2181" s="1453"/>
      <c r="K2181" s="1453"/>
      <c r="L2181" s="897"/>
      <c r="M2181" s="1454"/>
      <c r="N2181" s="1453"/>
      <c r="R2181" s="1453" t="s">
        <v>481</v>
      </c>
      <c r="T2181" s="1453" t="str">
        <f t="shared" ref="T2181" si="380">IF(Q$1016="Yes",24,"")</f>
        <v/>
      </c>
    </row>
    <row r="2182" spans="1:20" s="1451" customFormat="1" x14ac:dyDescent="0.25">
      <c r="A2182" s="926" t="s">
        <v>1507</v>
      </c>
      <c r="B2182" s="897" t="str">
        <f ca="1">_xlfn.CONCAT(IFERROR(SUBSTITUTE(ADDRESS(1,MATCH(A2182,INDIRECT("'"&amp;E2182&amp;"'"&amp;"!A" &amp; $O$1027 + 2 &amp; ":Z" &amp; $O$1027 + 2),0),4),1,""),""),$O$1027+ 2)</f>
        <v>T353</v>
      </c>
      <c r="C2182" s="897" t="str">
        <f ca="1">_xlfn.CONCAT(IFERROR(SUBSTITUTE(ADDRESS(1,MATCH(A2182,INDIRECT("'"&amp;E2182&amp;"'"&amp;"!A" &amp; $O$1027 + 2 &amp; ":Z" &amp; $O$1027 + 2),0),4),1,""),""),$O$1027+ 3)</f>
        <v>T354</v>
      </c>
      <c r="D2182" s="897" t="s">
        <v>1367</v>
      </c>
      <c r="E2182" s="897" t="s">
        <v>1535</v>
      </c>
      <c r="F2182" s="1453" t="s">
        <v>1507</v>
      </c>
      <c r="G2182" s="1453" t="str">
        <f t="shared" si="379"/>
        <v/>
      </c>
      <c r="H2182" s="1453" t="s">
        <v>1926</v>
      </c>
      <c r="I2182" s="857"/>
      <c r="J2182" s="1453"/>
      <c r="K2182" s="1453"/>
      <c r="L2182" s="897"/>
      <c r="M2182" s="1454"/>
      <c r="N2182" s="1453"/>
      <c r="R2182" s="1453" t="s">
        <v>481</v>
      </c>
      <c r="T2182" s="1453" t="str">
        <f>IF(Q$1027="Yes",25,"")</f>
        <v/>
      </c>
    </row>
    <row r="2183" spans="1:20" s="1451" customFormat="1" x14ac:dyDescent="0.25">
      <c r="A2183" s="926" t="s">
        <v>1507</v>
      </c>
      <c r="B2183" s="897" t="str">
        <f ca="1">_xlfn.CONCAT(IFERROR(SUBSTITUTE(ADDRESS(1,MATCH(A2183,INDIRECT("'"&amp;E2183&amp;"'"&amp;"!A" &amp; $O$1052 + 2 &amp; ":Z" &amp; $O$1052 + 2),0),4),1,""),""),$O$1052+ 2)</f>
        <v>T381</v>
      </c>
      <c r="C2183" s="897" t="str">
        <f ca="1">_xlfn.CONCAT(IFERROR(SUBSTITUTE(ADDRESS(1,MATCH(A2183,INDIRECT("'"&amp;E2183&amp;"'"&amp;"!A" &amp; $O$1052 + 2 &amp; ":Z" &amp; $O$1052 + 2),0),4),1,""),""),$O$1052+ 3)</f>
        <v>T382</v>
      </c>
      <c r="D2183" s="897" t="s">
        <v>1367</v>
      </c>
      <c r="E2183" s="897" t="s">
        <v>1535</v>
      </c>
      <c r="F2183" s="1453" t="s">
        <v>1507</v>
      </c>
      <c r="G2183" s="1453" t="str">
        <f t="shared" si="379"/>
        <v/>
      </c>
      <c r="H2183" s="1453" t="s">
        <v>1926</v>
      </c>
      <c r="I2183" s="857"/>
      <c r="J2183" s="1453"/>
      <c r="K2183" s="1453"/>
      <c r="L2183" s="897"/>
      <c r="M2183" s="1454"/>
      <c r="N2183" s="1453"/>
      <c r="R2183" s="1453" t="s">
        <v>1719</v>
      </c>
      <c r="T2183" s="1453" t="str">
        <f t="shared" ref="T2183" si="381">IF(Q$1052="Yes",27,"")</f>
        <v/>
      </c>
    </row>
    <row r="2184" spans="1:20" s="1451" customFormat="1" x14ac:dyDescent="0.25">
      <c r="A2184" s="1102" t="s">
        <v>1507</v>
      </c>
      <c r="B2184" s="897" t="str">
        <f ca="1">_xlfn.CONCAT(IFERROR(SUBSTITUTE(ADDRESS(1,MATCH(A2184,INDIRECT("'"&amp;E2184&amp;"'"&amp;"!A" &amp; $O$1069 + 2 &amp; ":Z" &amp; $O$1069 + 2),0),4),1,""),""),$O$1069+ 2)</f>
        <v>T395</v>
      </c>
      <c r="C2184" s="897" t="str">
        <f ca="1">_xlfn.CONCAT(IFERROR(SUBSTITUTE(ADDRESS(1,MATCH(A2184,INDIRECT("'"&amp;E2184&amp;"'"&amp;"!A" &amp; $O$1069 + 2 &amp; ":Z" &amp; $O$1069 + 2),0),4),1,""),""),$O$1069+ 3)</f>
        <v>T396</v>
      </c>
      <c r="D2184" s="897" t="s">
        <v>1367</v>
      </c>
      <c r="E2184" s="897" t="s">
        <v>1535</v>
      </c>
      <c r="F2184" s="1453" t="s">
        <v>1507</v>
      </c>
      <c r="G2184" s="1453" t="str">
        <f t="shared" si="379"/>
        <v/>
      </c>
      <c r="H2184" s="1453" t="s">
        <v>1926</v>
      </c>
      <c r="I2184" s="857"/>
      <c r="J2184" s="1453"/>
      <c r="K2184" s="1453"/>
      <c r="L2184" s="897"/>
      <c r="M2184" s="1454"/>
      <c r="N2184" s="1453"/>
      <c r="R2184" s="1453" t="s">
        <v>1719</v>
      </c>
      <c r="T2184" s="1453" t="str">
        <f t="shared" ref="T2184" si="382">IF(Q$1069="Yes",28,"")</f>
        <v/>
      </c>
    </row>
    <row r="2185" spans="1:20" s="1451" customFormat="1" x14ac:dyDescent="0.25">
      <c r="A2185" s="1453" t="s">
        <v>2080</v>
      </c>
      <c r="B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59" t="s">
        <v>1367</v>
      </c>
      <c r="E2185" s="859" t="s">
        <v>1368</v>
      </c>
      <c r="F2185" s="1453"/>
      <c r="G2185" s="1453"/>
      <c r="H2185" s="1453"/>
      <c r="I2185" s="857" t="str">
        <f t="shared" ref="I2185" si="383">IF(J2185&lt;&gt;"",A2185,"")</f>
        <v>Initial Terms Expiration Date</v>
      </c>
      <c r="J2185" s="1453" t="str">
        <f t="shared" ref="J2185" si="384">IF(M2185&lt;&gt;"",Q$1&amp;M2185,"")</f>
        <v>F1208</v>
      </c>
      <c r="K2185" s="1453" t="str">
        <f t="shared" ref="K2185" si="385">IF(J2185&lt;&gt;"",E2185,"")</f>
        <v>Agreement Worksheet</v>
      </c>
      <c r="L2185" s="1453" t="s">
        <v>2080</v>
      </c>
      <c r="M2185" s="1454">
        <v>1208</v>
      </c>
      <c r="N2185" s="1455"/>
    </row>
    <row r="2186" spans="1:20" s="1451" customFormat="1" ht="30" x14ac:dyDescent="0.25">
      <c r="A2186" s="1453" t="s">
        <v>2104</v>
      </c>
      <c r="B2186" s="52" t="str">
        <f>IFERROR(_xlfn.CONCAT("D",MATCH(A2186,'Tracking &amp; Profitability'!D$1:D$62,0)),"")</f>
        <v/>
      </c>
      <c r="C2186" s="52" t="str">
        <f>IFERROR(_xlfn.CONCAT("E",MATCH(A2186,'Tracking &amp; Profitability'!D$1:D$62,0)),"")</f>
        <v/>
      </c>
      <c r="D2186" s="859" t="s">
        <v>1367</v>
      </c>
      <c r="E2186" s="52" t="s">
        <v>129</v>
      </c>
      <c r="F2186" s="1444" t="s">
        <v>2105</v>
      </c>
      <c r="G2186" s="1444" t="s">
        <v>2106</v>
      </c>
      <c r="H2186" s="1422" t="s">
        <v>1918</v>
      </c>
      <c r="I2186" s="1453"/>
      <c r="J2186" s="1453"/>
      <c r="K2186" s="1453"/>
      <c r="L2186" s="1453"/>
      <c r="M2186" s="1454"/>
      <c r="N2186" s="1453"/>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0" customWidth="1"/>
    <col min="2" max="2" width="25.28515625" style="1130" customWidth="1"/>
    <col min="3" max="3" width="8" style="1130" customWidth="1"/>
    <col min="4" max="5" width="9.140625" style="1130"/>
    <col min="6" max="6" width="42.28515625" style="1130" customWidth="1"/>
    <col min="7" max="7" width="27.28515625" style="1130" customWidth="1"/>
    <col min="8" max="8" width="19.28515625" style="1130" customWidth="1"/>
    <col min="9" max="16384" width="9.140625" style="1130"/>
  </cols>
  <sheetData>
    <row r="1" spans="1:10" x14ac:dyDescent="0.25">
      <c r="A1" s="1866" t="s">
        <v>1747</v>
      </c>
      <c r="B1" s="1867"/>
      <c r="C1" s="1867"/>
      <c r="D1" s="1868"/>
      <c r="F1" s="1869" t="s">
        <v>1748</v>
      </c>
      <c r="G1" s="1870"/>
      <c r="H1" s="1870"/>
      <c r="I1" s="1871"/>
    </row>
    <row r="2" spans="1:10" x14ac:dyDescent="0.25">
      <c r="A2" s="1136" t="s">
        <v>1747</v>
      </c>
      <c r="B2" s="1137" t="s">
        <v>1752</v>
      </c>
      <c r="C2" s="1137" t="s">
        <v>1749</v>
      </c>
      <c r="D2" s="1138" t="s">
        <v>1750</v>
      </c>
      <c r="F2" s="1136" t="s">
        <v>1400</v>
      </c>
      <c r="G2" s="1139" t="s">
        <v>1751</v>
      </c>
      <c r="H2" s="1137" t="s">
        <v>1749</v>
      </c>
      <c r="I2" s="1138" t="s">
        <v>1750</v>
      </c>
    </row>
    <row r="3" spans="1:10" ht="35.25" customHeight="1" x14ac:dyDescent="0.25">
      <c r="A3" s="1133" t="s">
        <v>855</v>
      </c>
      <c r="B3" s="1131">
        <v>1</v>
      </c>
      <c r="C3" s="1131">
        <v>12</v>
      </c>
      <c r="D3" s="1134">
        <v>24</v>
      </c>
      <c r="F3" s="1133" t="s">
        <v>1504</v>
      </c>
      <c r="G3" s="1131">
        <v>1201</v>
      </c>
      <c r="H3" s="1131">
        <v>3</v>
      </c>
      <c r="I3" s="1134">
        <v>16</v>
      </c>
    </row>
    <row r="4" spans="1:10" x14ac:dyDescent="0.25">
      <c r="A4" s="1133" t="s">
        <v>855</v>
      </c>
      <c r="B4" s="1131">
        <v>2</v>
      </c>
      <c r="C4" s="1131">
        <v>26</v>
      </c>
      <c r="D4" s="1134">
        <v>38</v>
      </c>
      <c r="F4" s="1133" t="s">
        <v>1504</v>
      </c>
      <c r="G4" s="1131">
        <v>1202</v>
      </c>
      <c r="H4" s="1131">
        <v>17</v>
      </c>
      <c r="I4" s="1134">
        <v>30</v>
      </c>
      <c r="J4" s="1350"/>
    </row>
    <row r="5" spans="1:10" x14ac:dyDescent="0.25">
      <c r="A5" s="1140" t="s">
        <v>855</v>
      </c>
      <c r="B5" s="1060">
        <v>3</v>
      </c>
      <c r="C5" s="1060">
        <v>40</v>
      </c>
      <c r="D5" s="1134">
        <v>52</v>
      </c>
      <c r="F5" s="1133" t="s">
        <v>1519</v>
      </c>
      <c r="G5" s="1131">
        <v>1401</v>
      </c>
      <c r="H5" s="1131">
        <v>31</v>
      </c>
      <c r="I5" s="1134">
        <v>44</v>
      </c>
      <c r="J5" s="1350"/>
    </row>
    <row r="6" spans="1:10" x14ac:dyDescent="0.25">
      <c r="A6" s="1140" t="s">
        <v>217</v>
      </c>
      <c r="B6" s="1060">
        <v>1</v>
      </c>
      <c r="C6" s="1060">
        <v>54</v>
      </c>
      <c r="D6" s="1134">
        <v>66</v>
      </c>
      <c r="F6" s="1133" t="s">
        <v>1519</v>
      </c>
      <c r="G6" s="1131">
        <v>1402</v>
      </c>
      <c r="H6" s="1131">
        <v>45</v>
      </c>
      <c r="I6" s="1134">
        <v>58</v>
      </c>
      <c r="J6" s="1350"/>
    </row>
    <row r="7" spans="1:10" x14ac:dyDescent="0.25">
      <c r="A7" s="1140" t="s">
        <v>217</v>
      </c>
      <c r="B7" s="1060">
        <v>2</v>
      </c>
      <c r="C7" s="1060">
        <v>68</v>
      </c>
      <c r="D7" s="1134">
        <v>80</v>
      </c>
      <c r="F7" s="1133" t="s">
        <v>1532</v>
      </c>
      <c r="G7" s="1131">
        <v>1501</v>
      </c>
      <c r="H7" s="1131">
        <v>59</v>
      </c>
      <c r="I7" s="1134">
        <v>74</v>
      </c>
      <c r="J7" s="1350"/>
    </row>
    <row r="8" spans="1:10" x14ac:dyDescent="0.25">
      <c r="A8" s="1140" t="s">
        <v>526</v>
      </c>
      <c r="B8" s="1060">
        <v>1</v>
      </c>
      <c r="C8" s="1060">
        <v>82</v>
      </c>
      <c r="D8" s="1134">
        <v>94</v>
      </c>
      <c r="F8" s="1133" t="s">
        <v>1532</v>
      </c>
      <c r="G8" s="1131">
        <v>1502</v>
      </c>
      <c r="H8" s="1131">
        <v>75</v>
      </c>
      <c r="I8" s="1134">
        <v>90</v>
      </c>
      <c r="J8" s="1350"/>
    </row>
    <row r="9" spans="1:10" x14ac:dyDescent="0.25">
      <c r="A9" s="1140" t="s">
        <v>526</v>
      </c>
      <c r="B9" s="1060">
        <v>2</v>
      </c>
      <c r="C9" s="1060">
        <v>96</v>
      </c>
      <c r="D9" s="1134">
        <v>108</v>
      </c>
      <c r="F9" s="1133" t="s">
        <v>1541</v>
      </c>
      <c r="G9" s="1131">
        <v>5501</v>
      </c>
      <c r="H9" s="1131">
        <v>91</v>
      </c>
      <c r="I9" s="1134">
        <v>104</v>
      </c>
      <c r="J9" s="1350"/>
    </row>
    <row r="10" spans="1:10" x14ac:dyDescent="0.25">
      <c r="A10" s="1140" t="s">
        <v>1111</v>
      </c>
      <c r="B10" s="1060">
        <v>1</v>
      </c>
      <c r="C10" s="1060">
        <v>110</v>
      </c>
      <c r="D10" s="1134">
        <v>116</v>
      </c>
      <c r="F10" s="1133" t="s">
        <v>1541</v>
      </c>
      <c r="G10" s="1131">
        <v>5502</v>
      </c>
      <c r="H10" s="1131">
        <v>105</v>
      </c>
      <c r="I10" s="1134">
        <v>118</v>
      </c>
      <c r="J10" s="1350"/>
    </row>
    <row r="11" spans="1:10" x14ac:dyDescent="0.25">
      <c r="A11" s="1140" t="s">
        <v>1111</v>
      </c>
      <c r="B11" s="1060">
        <v>2</v>
      </c>
      <c r="C11" s="1060">
        <v>118</v>
      </c>
      <c r="D11" s="1134">
        <v>124</v>
      </c>
      <c r="F11" s="1133" t="s">
        <v>1542</v>
      </c>
      <c r="G11" s="1131">
        <v>2801</v>
      </c>
      <c r="H11" s="1131">
        <v>119</v>
      </c>
      <c r="I11" s="1134">
        <v>134</v>
      </c>
      <c r="J11" s="1350"/>
    </row>
    <row r="12" spans="1:10" x14ac:dyDescent="0.25">
      <c r="A12" s="1140" t="s">
        <v>1111</v>
      </c>
      <c r="B12" s="1060">
        <v>3</v>
      </c>
      <c r="C12" s="1060">
        <v>126</v>
      </c>
      <c r="D12" s="1134">
        <v>132</v>
      </c>
      <c r="F12" s="1133" t="s">
        <v>1542</v>
      </c>
      <c r="G12" s="1131">
        <v>2802</v>
      </c>
      <c r="H12" s="1131">
        <v>135</v>
      </c>
      <c r="I12" s="1134">
        <v>150</v>
      </c>
      <c r="J12" s="1350"/>
    </row>
    <row r="13" spans="1:10" x14ac:dyDescent="0.25">
      <c r="A13" s="1140" t="s">
        <v>1111</v>
      </c>
      <c r="B13" s="1060">
        <v>4</v>
      </c>
      <c r="C13" s="1060">
        <v>134</v>
      </c>
      <c r="D13" s="1134">
        <v>140</v>
      </c>
      <c r="F13" s="1133" t="s">
        <v>1549</v>
      </c>
      <c r="G13" s="1131">
        <v>3401</v>
      </c>
      <c r="H13" s="1131">
        <v>151</v>
      </c>
      <c r="I13" s="1134">
        <v>164</v>
      </c>
      <c r="J13" s="1350"/>
    </row>
    <row r="14" spans="1:10" x14ac:dyDescent="0.25">
      <c r="A14" s="1140" t="s">
        <v>1111</v>
      </c>
      <c r="B14" s="1060">
        <v>5</v>
      </c>
      <c r="C14" s="1060">
        <v>142</v>
      </c>
      <c r="D14" s="1134">
        <v>148</v>
      </c>
      <c r="F14" s="1133" t="s">
        <v>1549</v>
      </c>
      <c r="G14" s="1131">
        <v>3402</v>
      </c>
      <c r="H14" s="1131">
        <v>165</v>
      </c>
      <c r="I14" s="1134">
        <v>178</v>
      </c>
      <c r="J14" s="1350"/>
    </row>
    <row r="15" spans="1:10" x14ac:dyDescent="0.25">
      <c r="A15" s="1140" t="s">
        <v>718</v>
      </c>
      <c r="B15" s="1060">
        <v>1</v>
      </c>
      <c r="C15" s="1060">
        <v>150</v>
      </c>
      <c r="D15" s="1134">
        <v>156</v>
      </c>
      <c r="F15" s="1133" t="s">
        <v>1553</v>
      </c>
      <c r="G15" s="1131">
        <v>3501</v>
      </c>
      <c r="H15" s="1131">
        <v>179</v>
      </c>
      <c r="I15" s="1134">
        <v>192</v>
      </c>
      <c r="J15" s="1350"/>
    </row>
    <row r="16" spans="1:10" x14ac:dyDescent="0.25">
      <c r="A16" s="1140" t="s">
        <v>1101</v>
      </c>
      <c r="B16" s="1060">
        <v>1</v>
      </c>
      <c r="C16" s="1060">
        <v>158</v>
      </c>
      <c r="D16" s="1134">
        <v>164</v>
      </c>
      <c r="F16" s="1133" t="s">
        <v>1553</v>
      </c>
      <c r="G16" s="1131">
        <v>3502</v>
      </c>
      <c r="H16" s="1131">
        <v>193</v>
      </c>
      <c r="I16" s="1134">
        <v>206</v>
      </c>
      <c r="J16" s="1350"/>
    </row>
    <row r="17" spans="1:10" x14ac:dyDescent="0.25">
      <c r="A17" s="1140" t="s">
        <v>1101</v>
      </c>
      <c r="B17" s="1060">
        <v>2</v>
      </c>
      <c r="C17" s="1060">
        <v>166</v>
      </c>
      <c r="D17" s="1134">
        <v>172</v>
      </c>
      <c r="F17" s="1133" t="s">
        <v>1556</v>
      </c>
      <c r="G17" s="1131">
        <v>3601</v>
      </c>
      <c r="H17" s="1131">
        <v>207</v>
      </c>
      <c r="I17" s="1134">
        <v>222</v>
      </c>
      <c r="J17" s="1350"/>
    </row>
    <row r="18" spans="1:10" x14ac:dyDescent="0.25">
      <c r="A18" s="1140" t="s">
        <v>1005</v>
      </c>
      <c r="B18" s="1060">
        <v>1</v>
      </c>
      <c r="C18" s="1060">
        <v>174</v>
      </c>
      <c r="D18" s="1134">
        <v>180</v>
      </c>
      <c r="F18" s="1133" t="s">
        <v>1556</v>
      </c>
      <c r="G18" s="1131">
        <v>3602</v>
      </c>
      <c r="H18" s="1131">
        <v>223</v>
      </c>
      <c r="I18" s="1134">
        <v>238</v>
      </c>
      <c r="J18" s="1350"/>
    </row>
    <row r="19" spans="1:10" x14ac:dyDescent="0.25">
      <c r="A19" s="1140" t="s">
        <v>1492</v>
      </c>
      <c r="B19" s="1060">
        <v>1</v>
      </c>
      <c r="C19" s="1060">
        <v>182</v>
      </c>
      <c r="D19" s="1134">
        <v>191</v>
      </c>
      <c r="F19" s="1133" t="s">
        <v>1558</v>
      </c>
      <c r="G19" s="1131">
        <v>1301</v>
      </c>
      <c r="H19" s="1131">
        <v>239</v>
      </c>
      <c r="I19" s="1134">
        <v>252</v>
      </c>
      <c r="J19" s="1350"/>
    </row>
    <row r="20" spans="1:10" x14ac:dyDescent="0.25">
      <c r="A20" s="1140" t="s">
        <v>1105</v>
      </c>
      <c r="B20" s="1060">
        <v>1</v>
      </c>
      <c r="C20" s="1060">
        <v>193</v>
      </c>
      <c r="D20" s="1134">
        <v>203</v>
      </c>
      <c r="F20" s="1133" t="s">
        <v>1558</v>
      </c>
      <c r="G20" s="1131">
        <v>1302</v>
      </c>
      <c r="H20" s="1131">
        <v>253</v>
      </c>
      <c r="I20" s="1134">
        <v>266</v>
      </c>
      <c r="J20" s="1350"/>
    </row>
    <row r="21" spans="1:10" x14ac:dyDescent="0.25">
      <c r="A21" s="1140" t="s">
        <v>1105</v>
      </c>
      <c r="B21" s="1060">
        <v>2</v>
      </c>
      <c r="C21" s="1060">
        <v>205</v>
      </c>
      <c r="D21" s="1134">
        <v>215</v>
      </c>
      <c r="F21" s="1133" t="s">
        <v>1558</v>
      </c>
      <c r="G21" s="1131">
        <v>1303</v>
      </c>
      <c r="H21" s="1131">
        <v>267</v>
      </c>
      <c r="I21" s="1134">
        <v>280</v>
      </c>
      <c r="J21" s="1350"/>
    </row>
    <row r="22" spans="1:10" ht="15.75" thickBot="1" x14ac:dyDescent="0.3">
      <c r="A22" s="1141" t="s">
        <v>1502</v>
      </c>
      <c r="B22" s="1142">
        <v>1</v>
      </c>
      <c r="C22" s="1142">
        <v>217</v>
      </c>
      <c r="D22" s="838">
        <v>223</v>
      </c>
      <c r="F22" s="1133" t="s">
        <v>1558</v>
      </c>
      <c r="G22" s="1131">
        <v>1304</v>
      </c>
      <c r="H22" s="1131">
        <v>281</v>
      </c>
      <c r="I22" s="1134">
        <v>294</v>
      </c>
      <c r="J22" s="1350"/>
    </row>
    <row r="23" spans="1:10" x14ac:dyDescent="0.25">
      <c r="F23" s="1133" t="s">
        <v>1558</v>
      </c>
      <c r="G23" s="1131">
        <v>1305</v>
      </c>
      <c r="H23" s="1131">
        <v>295</v>
      </c>
      <c r="I23" s="1134">
        <v>308</v>
      </c>
      <c r="J23" s="1350"/>
    </row>
    <row r="24" spans="1:10" x14ac:dyDescent="0.25">
      <c r="F24" s="1133" t="s">
        <v>1559</v>
      </c>
      <c r="G24" s="1131">
        <v>4001</v>
      </c>
      <c r="H24" s="1131">
        <v>309</v>
      </c>
      <c r="I24" s="1134">
        <v>322</v>
      </c>
      <c r="J24" s="1350"/>
    </row>
    <row r="25" spans="1:10" x14ac:dyDescent="0.25">
      <c r="F25" s="1133" t="s">
        <v>1619</v>
      </c>
      <c r="G25" s="1131">
        <v>4601</v>
      </c>
      <c r="H25" s="1131">
        <v>323</v>
      </c>
      <c r="I25" s="1134">
        <v>336</v>
      </c>
      <c r="J25" s="1350"/>
    </row>
    <row r="26" spans="1:10" x14ac:dyDescent="0.25">
      <c r="F26" s="1133" t="s">
        <v>1619</v>
      </c>
      <c r="G26" s="1131">
        <v>4602</v>
      </c>
      <c r="H26" s="1131">
        <v>337</v>
      </c>
      <c r="I26" s="1134">
        <v>350</v>
      </c>
      <c r="J26" s="1350"/>
    </row>
    <row r="27" spans="1:10" x14ac:dyDescent="0.25">
      <c r="F27" s="1133" t="s">
        <v>1807</v>
      </c>
      <c r="G27" s="1131">
        <v>4901</v>
      </c>
      <c r="H27" s="1131">
        <v>351</v>
      </c>
      <c r="I27" s="1134">
        <v>364</v>
      </c>
      <c r="J27" s="1350"/>
    </row>
    <row r="28" spans="1:10" x14ac:dyDescent="0.25">
      <c r="F28" s="1133" t="s">
        <v>1627</v>
      </c>
      <c r="G28" s="1131">
        <v>5001</v>
      </c>
      <c r="H28" s="1131">
        <v>365</v>
      </c>
      <c r="I28" s="1134">
        <v>378</v>
      </c>
      <c r="J28" s="1350"/>
    </row>
    <row r="29" spans="1:10" x14ac:dyDescent="0.25">
      <c r="F29" s="1133" t="s">
        <v>1139</v>
      </c>
      <c r="G29" s="1131">
        <v>801</v>
      </c>
      <c r="H29" s="1131">
        <v>379</v>
      </c>
      <c r="I29" s="1134">
        <v>392</v>
      </c>
      <c r="J29" s="1350"/>
    </row>
    <row r="30" spans="1:10" x14ac:dyDescent="0.25">
      <c r="F30" s="1133" t="s">
        <v>1631</v>
      </c>
      <c r="G30" s="1131">
        <v>901</v>
      </c>
      <c r="H30" s="1131">
        <v>393</v>
      </c>
      <c r="I30" s="1134">
        <v>406</v>
      </c>
      <c r="J30" s="1350"/>
    </row>
    <row r="31" spans="1:10" x14ac:dyDescent="0.25">
      <c r="F31" s="1133" t="s">
        <v>1633</v>
      </c>
      <c r="G31" s="1131">
        <v>501</v>
      </c>
      <c r="H31" s="1131">
        <v>407</v>
      </c>
      <c r="I31" s="1134">
        <v>420</v>
      </c>
      <c r="J31" s="1350"/>
    </row>
    <row r="32" spans="1:10" x14ac:dyDescent="0.25">
      <c r="F32" s="1133" t="s">
        <v>1633</v>
      </c>
      <c r="G32" s="1131">
        <v>502</v>
      </c>
      <c r="H32" s="1131">
        <v>421</v>
      </c>
      <c r="I32" s="1134">
        <v>434</v>
      </c>
      <c r="J32" s="1350"/>
    </row>
    <row r="33" spans="6:10" x14ac:dyDescent="0.25">
      <c r="F33" s="1133" t="s">
        <v>1636</v>
      </c>
      <c r="G33" s="1131">
        <v>5601</v>
      </c>
      <c r="H33" s="1131">
        <v>435</v>
      </c>
      <c r="I33" s="1134">
        <v>448</v>
      </c>
      <c r="J33" s="1350"/>
    </row>
    <row r="34" spans="6:10" x14ac:dyDescent="0.25">
      <c r="F34" s="1133" t="s">
        <v>1636</v>
      </c>
      <c r="G34" s="1131">
        <v>5602</v>
      </c>
      <c r="H34" s="1131">
        <v>449</v>
      </c>
      <c r="I34" s="1134">
        <v>462</v>
      </c>
      <c r="J34" s="1350"/>
    </row>
    <row r="35" spans="6:10" x14ac:dyDescent="0.25">
      <c r="F35" s="1133" t="s">
        <v>1639</v>
      </c>
      <c r="G35" s="1131">
        <v>601</v>
      </c>
      <c r="H35" s="1131">
        <v>463</v>
      </c>
      <c r="I35" s="1134">
        <v>476</v>
      </c>
      <c r="J35" s="1350"/>
    </row>
    <row r="36" spans="6:10" x14ac:dyDescent="0.25">
      <c r="F36" s="1133" t="s">
        <v>1639</v>
      </c>
      <c r="G36" s="1131">
        <v>602</v>
      </c>
      <c r="H36" s="1131">
        <v>477</v>
      </c>
      <c r="I36" s="1134">
        <v>490</v>
      </c>
      <c r="J36" s="1350"/>
    </row>
    <row r="37" spans="6:10" ht="15.75" thickBot="1" x14ac:dyDescent="0.3">
      <c r="F37" s="32" t="s">
        <v>1648</v>
      </c>
      <c r="G37" s="1132">
        <v>1001</v>
      </c>
      <c r="H37" s="1132">
        <v>491</v>
      </c>
      <c r="I37" s="838">
        <v>502</v>
      </c>
      <c r="J37" s="135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1" t="s">
        <v>1401</v>
      </c>
      <c r="AD1" t="s">
        <v>496</v>
      </c>
      <c r="AE1" t="s">
        <v>497</v>
      </c>
      <c r="AF1" t="s">
        <v>516</v>
      </c>
      <c r="AH1" s="2"/>
      <c r="AI1" t="s">
        <v>1000</v>
      </c>
      <c r="AJ1" t="s">
        <v>1081</v>
      </c>
      <c r="AK1" t="s">
        <v>1201</v>
      </c>
      <c r="AL1" s="1485"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2" t="s">
        <v>372</v>
      </c>
      <c r="AC2" t="s">
        <v>462</v>
      </c>
      <c r="AD2" t="s">
        <v>479</v>
      </c>
      <c r="AE2" t="s">
        <v>479</v>
      </c>
      <c r="AF2" s="39">
        <v>0.08</v>
      </c>
      <c r="AG2" t="s">
        <v>239</v>
      </c>
      <c r="AH2" s="2" t="s">
        <v>948</v>
      </c>
      <c r="AI2" t="s">
        <v>482</v>
      </c>
      <c r="AJ2" t="s">
        <v>649</v>
      </c>
      <c r="AK2" t="s">
        <v>1202</v>
      </c>
      <c r="AL2" s="1484"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3" t="s">
        <v>947</v>
      </c>
      <c r="AC3" t="s">
        <v>459</v>
      </c>
      <c r="AD3" t="s">
        <v>494</v>
      </c>
      <c r="AE3" t="s">
        <v>495</v>
      </c>
      <c r="AF3" s="58">
        <v>0.09</v>
      </c>
      <c r="AI3" t="s">
        <v>481</v>
      </c>
      <c r="AJ3" t="s">
        <v>647</v>
      </c>
      <c r="AK3" t="s">
        <v>1203</v>
      </c>
      <c r="AL3" s="1483"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4" t="s">
        <v>1106</v>
      </c>
      <c r="AF4" s="58">
        <v>0.1</v>
      </c>
      <c r="AI4" t="s">
        <v>1158</v>
      </c>
      <c r="AK4" t="s">
        <v>1204</v>
      </c>
      <c r="AL4" s="1484"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4" t="s">
        <v>1159</v>
      </c>
      <c r="AF5" s="58">
        <v>0.11</v>
      </c>
      <c r="AK5" t="s">
        <v>1205</v>
      </c>
      <c r="AL5" s="1484"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4" t="s">
        <v>1160</v>
      </c>
      <c r="AF6" s="58">
        <v>0.12</v>
      </c>
      <c r="AK6" t="s">
        <v>1206</v>
      </c>
      <c r="AL6" s="1484"/>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0" t="s">
        <v>137</v>
      </c>
      <c r="B2" s="1153" t="s">
        <v>13</v>
      </c>
      <c r="C2" s="30" t="s">
        <v>379</v>
      </c>
      <c r="D2" s="30" t="s">
        <v>12</v>
      </c>
      <c r="E2" s="1150">
        <v>2140</v>
      </c>
      <c r="F2" s="1150" t="s">
        <v>137</v>
      </c>
      <c r="G2" s="1153" t="s">
        <v>13</v>
      </c>
    </row>
    <row r="3" spans="1:7" x14ac:dyDescent="0.25">
      <c r="A3" s="1146" t="s">
        <v>138</v>
      </c>
      <c r="B3" s="1149" t="s">
        <v>18</v>
      </c>
      <c r="C3" s="1147" t="s">
        <v>1128</v>
      </c>
      <c r="D3" s="1147" t="s">
        <v>56</v>
      </c>
      <c r="E3" s="1146">
        <v>1933</v>
      </c>
      <c r="F3" s="1146" t="s">
        <v>138</v>
      </c>
      <c r="G3" s="1149" t="s">
        <v>18</v>
      </c>
    </row>
    <row r="4" spans="1:7" x14ac:dyDescent="0.25">
      <c r="A4" s="1146" t="s">
        <v>189</v>
      </c>
      <c r="B4" s="1149" t="s">
        <v>13</v>
      </c>
      <c r="C4" s="1147" t="s">
        <v>376</v>
      </c>
      <c r="D4" s="1147" t="s">
        <v>33</v>
      </c>
      <c r="E4" s="1146">
        <v>2110</v>
      </c>
      <c r="F4" s="1146" t="s">
        <v>189</v>
      </c>
      <c r="G4" s="1149" t="s">
        <v>13</v>
      </c>
    </row>
    <row r="5" spans="1:7" x14ac:dyDescent="0.25">
      <c r="A5" s="1146" t="s">
        <v>1113</v>
      </c>
      <c r="B5" s="1149" t="s">
        <v>18</v>
      </c>
      <c r="C5" s="1147" t="s">
        <v>1114</v>
      </c>
      <c r="D5" s="1147" t="s">
        <v>1114</v>
      </c>
      <c r="E5" s="1146">
        <v>4190</v>
      </c>
      <c r="F5" s="1146" t="s">
        <v>1113</v>
      </c>
      <c r="G5" s="1149" t="s">
        <v>18</v>
      </c>
    </row>
    <row r="6" spans="1:7" x14ac:dyDescent="0.25">
      <c r="A6" s="1146" t="s">
        <v>160</v>
      </c>
      <c r="B6" s="1149" t="s">
        <v>8</v>
      </c>
      <c r="C6" s="1147" t="s">
        <v>381</v>
      </c>
      <c r="D6" s="1147" t="s">
        <v>5</v>
      </c>
      <c r="E6" s="1146">
        <v>2220</v>
      </c>
      <c r="F6" s="1146" t="s">
        <v>160</v>
      </c>
      <c r="G6" s="1149" t="s">
        <v>8</v>
      </c>
    </row>
    <row r="7" spans="1:7" x14ac:dyDescent="0.25">
      <c r="A7" s="1146" t="s">
        <v>144</v>
      </c>
      <c r="B7" s="1149" t="s">
        <v>1345</v>
      </c>
      <c r="C7" s="1147" t="s">
        <v>382</v>
      </c>
      <c r="D7" s="1147" t="s">
        <v>42</v>
      </c>
      <c r="E7" s="1146">
        <v>3023</v>
      </c>
      <c r="F7" s="1146" t="s">
        <v>144</v>
      </c>
      <c r="G7" s="1149" t="s">
        <v>1345</v>
      </c>
    </row>
    <row r="8" spans="1:7" x14ac:dyDescent="0.25">
      <c r="A8" s="1146" t="s">
        <v>1115</v>
      </c>
      <c r="B8" s="1149" t="s">
        <v>18</v>
      </c>
      <c r="C8" s="1147" t="s">
        <v>390</v>
      </c>
      <c r="D8" s="1147" t="s">
        <v>1116</v>
      </c>
      <c r="E8" s="1146">
        <v>3310</v>
      </c>
      <c r="F8" s="1146" t="s">
        <v>1115</v>
      </c>
      <c r="G8" s="1149" t="s">
        <v>18</v>
      </c>
    </row>
    <row r="9" spans="1:7" x14ac:dyDescent="0.25">
      <c r="A9" s="1146" t="s">
        <v>180</v>
      </c>
      <c r="B9" s="1149" t="s">
        <v>1345</v>
      </c>
      <c r="C9" s="1147" t="s">
        <v>1018</v>
      </c>
      <c r="D9" s="1147" t="s">
        <v>851</v>
      </c>
      <c r="E9" s="1146">
        <v>2345</v>
      </c>
      <c r="F9" s="1146" t="s">
        <v>180</v>
      </c>
      <c r="G9" s="1149" t="s">
        <v>1345</v>
      </c>
    </row>
    <row r="10" spans="1:7" x14ac:dyDescent="0.25">
      <c r="A10" s="1146" t="s">
        <v>141</v>
      </c>
      <c r="B10" s="1149" t="s">
        <v>8</v>
      </c>
      <c r="C10" s="1147" t="s">
        <v>388</v>
      </c>
      <c r="D10" s="1147" t="s">
        <v>29</v>
      </c>
      <c r="E10" s="1146">
        <v>3135</v>
      </c>
      <c r="F10" s="1146" t="s">
        <v>141</v>
      </c>
      <c r="G10" s="1149" t="s">
        <v>8</v>
      </c>
    </row>
    <row r="11" spans="1:7" x14ac:dyDescent="0.25">
      <c r="A11" s="1146" t="s">
        <v>186</v>
      </c>
      <c r="B11" s="1149" t="s">
        <v>13</v>
      </c>
      <c r="C11" s="1147" t="s">
        <v>1023</v>
      </c>
      <c r="D11" s="1147" t="s">
        <v>64</v>
      </c>
      <c r="E11" s="1146">
        <v>2148</v>
      </c>
      <c r="F11" s="1146" t="s">
        <v>186</v>
      </c>
      <c r="G11" s="1149" t="s">
        <v>13</v>
      </c>
    </row>
    <row r="12" spans="1:7" x14ac:dyDescent="0.25">
      <c r="A12" s="1146" t="s">
        <v>185</v>
      </c>
      <c r="B12" s="1149" t="s">
        <v>13</v>
      </c>
      <c r="C12" s="1147" t="s">
        <v>379</v>
      </c>
      <c r="D12" s="1147" t="s">
        <v>19</v>
      </c>
      <c r="E12" s="1146">
        <v>2190</v>
      </c>
      <c r="F12" s="1146" t="s">
        <v>185</v>
      </c>
      <c r="G12" s="1149" t="s">
        <v>13</v>
      </c>
    </row>
    <row r="13" spans="1:7" x14ac:dyDescent="0.25">
      <c r="A13" s="1146" t="s">
        <v>162</v>
      </c>
      <c r="B13" s="1149" t="s">
        <v>8</v>
      </c>
      <c r="C13" s="1147" t="s">
        <v>389</v>
      </c>
      <c r="D13" s="1147" t="s">
        <v>121</v>
      </c>
      <c r="E13" s="1146">
        <v>2210</v>
      </c>
      <c r="F13" s="1146" t="s">
        <v>162</v>
      </c>
      <c r="G13" s="1149" t="s">
        <v>8</v>
      </c>
    </row>
    <row r="14" spans="1:7" x14ac:dyDescent="0.25">
      <c r="A14" s="1146" t="s">
        <v>174</v>
      </c>
      <c r="B14" s="1149" t="s">
        <v>1345</v>
      </c>
      <c r="C14" s="1147" t="s">
        <v>194</v>
      </c>
      <c r="D14" s="1147" t="s">
        <v>58</v>
      </c>
      <c r="E14" s="1146">
        <v>2099</v>
      </c>
      <c r="F14" s="1146" t="s">
        <v>174</v>
      </c>
      <c r="G14" s="1149" t="s">
        <v>1345</v>
      </c>
    </row>
    <row r="15" spans="1:7" x14ac:dyDescent="0.25">
      <c r="A15" s="1146" t="s">
        <v>175</v>
      </c>
      <c r="B15" s="1149" t="s">
        <v>13</v>
      </c>
      <c r="C15" s="1147" t="s">
        <v>195</v>
      </c>
      <c r="D15" s="1147" t="s">
        <v>22</v>
      </c>
      <c r="E15" s="1146">
        <v>1103</v>
      </c>
      <c r="F15" s="1146" t="s">
        <v>175</v>
      </c>
      <c r="G15" s="1149" t="s">
        <v>13</v>
      </c>
    </row>
    <row r="16" spans="1:7" x14ac:dyDescent="0.25">
      <c r="A16" s="1146" t="s">
        <v>173</v>
      </c>
      <c r="B16" s="1149" t="s">
        <v>13</v>
      </c>
      <c r="C16" s="1147" t="s">
        <v>196</v>
      </c>
      <c r="D16" s="1147" t="s">
        <v>43</v>
      </c>
      <c r="E16" s="1146">
        <v>1104</v>
      </c>
      <c r="F16" s="1146" t="s">
        <v>173</v>
      </c>
      <c r="G16" s="1149" t="s">
        <v>13</v>
      </c>
    </row>
    <row r="17" spans="1:7" x14ac:dyDescent="0.25">
      <c r="A17" s="1146" t="s">
        <v>163</v>
      </c>
      <c r="B17" s="1149" t="s">
        <v>8</v>
      </c>
      <c r="C17" s="1147" t="s">
        <v>387</v>
      </c>
      <c r="D17" s="1147" t="s">
        <v>10</v>
      </c>
      <c r="E17" s="1146">
        <v>2260</v>
      </c>
      <c r="F17" s="1146" t="s">
        <v>163</v>
      </c>
      <c r="G17" s="1149" t="s">
        <v>8</v>
      </c>
    </row>
    <row r="18" spans="1:7" x14ac:dyDescent="0.25">
      <c r="A18" s="1146" t="s">
        <v>192</v>
      </c>
      <c r="B18" s="1149" t="s">
        <v>13</v>
      </c>
      <c r="C18" s="1147" t="s">
        <v>61</v>
      </c>
      <c r="D18" s="1147" t="s">
        <v>850</v>
      </c>
      <c r="E18" s="1146">
        <v>2020</v>
      </c>
      <c r="F18" s="1146" t="s">
        <v>192</v>
      </c>
      <c r="G18" s="1149" t="s">
        <v>13</v>
      </c>
    </row>
    <row r="19" spans="1:7" x14ac:dyDescent="0.25">
      <c r="A19" s="1146" t="s">
        <v>165</v>
      </c>
      <c r="B19" s="1149" t="s">
        <v>18</v>
      </c>
      <c r="C19" s="1147" t="s">
        <v>393</v>
      </c>
      <c r="D19" s="1147" t="s">
        <v>55</v>
      </c>
      <c r="E19" s="1146">
        <v>4150</v>
      </c>
      <c r="F19" s="1146" t="s">
        <v>165</v>
      </c>
      <c r="G19" s="1149" t="s">
        <v>18</v>
      </c>
    </row>
    <row r="20" spans="1:7" x14ac:dyDescent="0.25">
      <c r="A20" s="1146" t="s">
        <v>146</v>
      </c>
      <c r="B20" s="1149" t="s">
        <v>1345</v>
      </c>
      <c r="C20" s="1147" t="s">
        <v>383</v>
      </c>
      <c r="D20" s="1147" t="s">
        <v>26</v>
      </c>
      <c r="E20" s="1146">
        <v>3150</v>
      </c>
      <c r="F20" s="1146" t="s">
        <v>146</v>
      </c>
      <c r="G20" s="1149" t="s">
        <v>1345</v>
      </c>
    </row>
    <row r="21" spans="1:7" x14ac:dyDescent="0.25">
      <c r="A21" s="1146" t="s">
        <v>1117</v>
      </c>
      <c r="B21" s="1149" t="s">
        <v>1345</v>
      </c>
      <c r="C21" s="1147" t="s">
        <v>392</v>
      </c>
      <c r="D21" s="1147" t="s">
        <v>1118</v>
      </c>
      <c r="E21" s="1146">
        <v>3340</v>
      </c>
      <c r="F21" s="1146" t="s">
        <v>1117</v>
      </c>
      <c r="G21" s="1149" t="s">
        <v>1345</v>
      </c>
    </row>
    <row r="22" spans="1:7" x14ac:dyDescent="0.25">
      <c r="A22" s="1146" t="s">
        <v>147</v>
      </c>
      <c r="B22" s="1149" t="s">
        <v>1345</v>
      </c>
      <c r="C22" s="1147" t="s">
        <v>392</v>
      </c>
      <c r="D22" s="1147" t="s">
        <v>1119</v>
      </c>
      <c r="E22" s="1146">
        <v>3160</v>
      </c>
      <c r="F22" s="1146" t="s">
        <v>147</v>
      </c>
      <c r="G22" s="1149" t="s">
        <v>1345</v>
      </c>
    </row>
    <row r="23" spans="1:7" x14ac:dyDescent="0.25">
      <c r="A23" s="1146" t="s">
        <v>142</v>
      </c>
      <c r="B23" s="1149" t="s">
        <v>13</v>
      </c>
      <c r="C23" s="1147" t="s">
        <v>196</v>
      </c>
      <c r="D23" s="1147" t="s">
        <v>67</v>
      </c>
      <c r="E23" s="1146">
        <v>1106</v>
      </c>
      <c r="F23" s="1146" t="s">
        <v>142</v>
      </c>
      <c r="G23" s="1149" t="s">
        <v>13</v>
      </c>
    </row>
    <row r="24" spans="1:7" x14ac:dyDescent="0.25">
      <c r="A24" s="1146" t="s">
        <v>1129</v>
      </c>
      <c r="B24" s="1149" t="s">
        <v>1753</v>
      </c>
      <c r="C24" s="1147" t="s">
        <v>1130</v>
      </c>
      <c r="D24" s="1147" t="s">
        <v>1131</v>
      </c>
      <c r="E24" s="1146">
        <v>4175</v>
      </c>
      <c r="F24" s="1146" t="s">
        <v>1129</v>
      </c>
      <c r="G24" s="1149" t="s">
        <v>1753</v>
      </c>
    </row>
    <row r="25" spans="1:7" x14ac:dyDescent="0.25">
      <c r="A25" s="1146" t="s">
        <v>156</v>
      </c>
      <c r="B25" s="1149" t="s">
        <v>8</v>
      </c>
      <c r="C25" s="1147" t="s">
        <v>389</v>
      </c>
      <c r="D25" s="1147" t="s">
        <v>32</v>
      </c>
      <c r="E25" s="1146">
        <v>2250</v>
      </c>
      <c r="F25" s="1146" t="s">
        <v>156</v>
      </c>
      <c r="G25" s="1149" t="s">
        <v>8</v>
      </c>
    </row>
    <row r="26" spans="1:7" x14ac:dyDescent="0.25">
      <c r="A26" s="1146" t="s">
        <v>178</v>
      </c>
      <c r="B26" s="1149" t="s">
        <v>1345</v>
      </c>
      <c r="C26" s="1147" t="s">
        <v>1018</v>
      </c>
      <c r="D26" s="1147" t="s">
        <v>852</v>
      </c>
      <c r="E26" s="1146">
        <v>2340</v>
      </c>
      <c r="F26" s="1146" t="s">
        <v>178</v>
      </c>
      <c r="G26" s="1149" t="s">
        <v>1345</v>
      </c>
    </row>
    <row r="27" spans="1:7" x14ac:dyDescent="0.25">
      <c r="A27" s="1146" t="s">
        <v>1021</v>
      </c>
      <c r="B27" s="1149" t="s">
        <v>1345</v>
      </c>
      <c r="C27" s="1147" t="s">
        <v>198</v>
      </c>
      <c r="D27" s="1147" t="s">
        <v>1022</v>
      </c>
      <c r="E27" s="1146">
        <v>2365</v>
      </c>
      <c r="F27" s="1146" t="s">
        <v>1021</v>
      </c>
      <c r="G27" s="1149" t="s">
        <v>1345</v>
      </c>
    </row>
    <row r="28" spans="1:7" x14ac:dyDescent="0.25">
      <c r="A28" s="1146" t="s">
        <v>145</v>
      </c>
      <c r="B28" s="1149" t="s">
        <v>1345</v>
      </c>
      <c r="C28" s="1147" t="s">
        <v>382</v>
      </c>
      <c r="D28" s="1147" t="s">
        <v>80</v>
      </c>
      <c r="E28" s="1146">
        <v>3126</v>
      </c>
      <c r="F28" s="1146" t="s">
        <v>145</v>
      </c>
      <c r="G28" s="1149" t="s">
        <v>1345</v>
      </c>
    </row>
    <row r="29" spans="1:7" x14ac:dyDescent="0.25">
      <c r="A29" s="1146" t="s">
        <v>176</v>
      </c>
      <c r="B29" s="1149" t="s">
        <v>13</v>
      </c>
      <c r="C29" s="1147" t="s">
        <v>195</v>
      </c>
      <c r="D29" s="1147" t="s">
        <v>46</v>
      </c>
      <c r="E29" s="1146">
        <v>1054</v>
      </c>
      <c r="F29" s="1146" t="s">
        <v>176</v>
      </c>
      <c r="G29" s="1149" t="s">
        <v>13</v>
      </c>
    </row>
    <row r="30" spans="1:7" x14ac:dyDescent="0.25">
      <c r="A30" s="1146" t="s">
        <v>154</v>
      </c>
      <c r="B30" s="1149" t="s">
        <v>1345</v>
      </c>
      <c r="C30" s="1147" t="s">
        <v>199</v>
      </c>
      <c r="D30" s="1147" t="s">
        <v>77</v>
      </c>
      <c r="E30" s="1146">
        <v>2370</v>
      </c>
      <c r="F30" s="1146" t="s">
        <v>154</v>
      </c>
      <c r="G30" s="1149" t="s">
        <v>1345</v>
      </c>
    </row>
    <row r="31" spans="1:7" x14ac:dyDescent="0.25">
      <c r="A31" s="1146" t="s">
        <v>148</v>
      </c>
      <c r="B31" s="1149" t="s">
        <v>8</v>
      </c>
      <c r="C31" s="1147" t="s">
        <v>380</v>
      </c>
      <c r="D31" s="1147" t="s">
        <v>65</v>
      </c>
      <c r="E31" s="1146">
        <v>3186</v>
      </c>
      <c r="F31" s="1146" t="s">
        <v>148</v>
      </c>
      <c r="G31" s="1149" t="s">
        <v>8</v>
      </c>
    </row>
    <row r="32" spans="1:7" x14ac:dyDescent="0.25">
      <c r="A32" s="1146" t="s">
        <v>151</v>
      </c>
      <c r="B32" s="1149" t="s">
        <v>1345</v>
      </c>
      <c r="C32" s="1147" t="s">
        <v>198</v>
      </c>
      <c r="D32" s="1147" t="s">
        <v>37</v>
      </c>
      <c r="E32" s="1146">
        <v>3230</v>
      </c>
      <c r="F32" s="1146" t="s">
        <v>151</v>
      </c>
      <c r="G32" s="1149" t="s">
        <v>1345</v>
      </c>
    </row>
    <row r="33" spans="1:7" x14ac:dyDescent="0.25">
      <c r="A33" s="1146" t="s">
        <v>152</v>
      </c>
      <c r="B33" s="1149" t="s">
        <v>8</v>
      </c>
      <c r="C33" s="1147" t="s">
        <v>381</v>
      </c>
      <c r="D33" s="1147" t="s">
        <v>2</v>
      </c>
      <c r="E33" s="1146">
        <v>2270</v>
      </c>
      <c r="F33" s="1146" t="s">
        <v>152</v>
      </c>
      <c r="G33" s="1149" t="s">
        <v>8</v>
      </c>
    </row>
    <row r="34" spans="1:7" x14ac:dyDescent="0.25">
      <c r="A34" s="1146" t="s">
        <v>177</v>
      </c>
      <c r="B34" s="1149" t="s">
        <v>18</v>
      </c>
      <c r="C34" s="1147" t="s">
        <v>394</v>
      </c>
      <c r="D34" s="1147" t="s">
        <v>52</v>
      </c>
      <c r="E34" s="1146">
        <v>4100</v>
      </c>
      <c r="F34" s="1146" t="s">
        <v>177</v>
      </c>
      <c r="G34" s="1149" t="s">
        <v>18</v>
      </c>
    </row>
    <row r="35" spans="1:7" x14ac:dyDescent="0.25">
      <c r="A35" s="1146" t="s">
        <v>155</v>
      </c>
      <c r="B35" s="1149" t="s">
        <v>8</v>
      </c>
      <c r="C35" s="1147" t="s">
        <v>1025</v>
      </c>
      <c r="D35" s="1147" t="s">
        <v>76</v>
      </c>
      <c r="E35" s="1146">
        <v>3051</v>
      </c>
      <c r="F35" s="1146" t="s">
        <v>155</v>
      </c>
      <c r="G35" s="1149" t="s">
        <v>8</v>
      </c>
    </row>
    <row r="36" spans="1:7" x14ac:dyDescent="0.25">
      <c r="A36" s="1146" t="s">
        <v>172</v>
      </c>
      <c r="B36" s="1149" t="s">
        <v>18</v>
      </c>
      <c r="C36" s="1147" t="s">
        <v>393</v>
      </c>
      <c r="D36" s="1147" t="s">
        <v>63</v>
      </c>
      <c r="E36" s="1146">
        <v>4120</v>
      </c>
      <c r="F36" s="1146" t="s">
        <v>172</v>
      </c>
      <c r="G36" s="1149" t="s">
        <v>18</v>
      </c>
    </row>
    <row r="37" spans="1:7" x14ac:dyDescent="0.25">
      <c r="A37" s="1146" t="s">
        <v>149</v>
      </c>
      <c r="B37" s="1149" t="s">
        <v>18</v>
      </c>
      <c r="C37" s="1147" t="s">
        <v>1128</v>
      </c>
      <c r="D37" s="1147" t="s">
        <v>68</v>
      </c>
      <c r="E37" s="1146">
        <v>3120</v>
      </c>
      <c r="F37" s="1146" t="s">
        <v>149</v>
      </c>
      <c r="G37" s="1149" t="s">
        <v>18</v>
      </c>
    </row>
    <row r="38" spans="1:7" x14ac:dyDescent="0.25">
      <c r="A38" s="1146" t="s">
        <v>159</v>
      </c>
      <c r="B38" s="1149" t="s">
        <v>13</v>
      </c>
      <c r="C38" s="1147" t="s">
        <v>385</v>
      </c>
      <c r="D38" s="1147" t="s">
        <v>21</v>
      </c>
      <c r="E38" s="1146">
        <v>2125</v>
      </c>
      <c r="F38" s="1146" t="s">
        <v>159</v>
      </c>
      <c r="G38" s="1149" t="s">
        <v>13</v>
      </c>
    </row>
    <row r="39" spans="1:7" x14ac:dyDescent="0.25">
      <c r="A39" s="1146" t="s">
        <v>140</v>
      </c>
      <c r="B39" s="1149" t="s">
        <v>8</v>
      </c>
      <c r="C39" s="1147" t="s">
        <v>1025</v>
      </c>
      <c r="D39" s="1147" t="s">
        <v>51</v>
      </c>
      <c r="E39" s="1146">
        <v>3147</v>
      </c>
      <c r="F39" s="1146" t="s">
        <v>140</v>
      </c>
      <c r="G39" s="1149" t="s">
        <v>8</v>
      </c>
    </row>
    <row r="40" spans="1:7" x14ac:dyDescent="0.25">
      <c r="A40" s="1146" t="s">
        <v>190</v>
      </c>
      <c r="B40" s="1149" t="s">
        <v>13</v>
      </c>
      <c r="C40" s="1147" t="s">
        <v>377</v>
      </c>
      <c r="D40" s="1147" t="s">
        <v>28</v>
      </c>
      <c r="E40" s="1146">
        <v>2160</v>
      </c>
      <c r="F40" s="1146" t="s">
        <v>190</v>
      </c>
      <c r="G40" s="1149" t="s">
        <v>13</v>
      </c>
    </row>
    <row r="41" spans="1:7" x14ac:dyDescent="0.25">
      <c r="A41" s="1146" t="s">
        <v>181</v>
      </c>
      <c r="B41" s="1149" t="s">
        <v>1345</v>
      </c>
      <c r="C41" s="1147" t="s">
        <v>199</v>
      </c>
      <c r="D41" s="1147" t="s">
        <v>39</v>
      </c>
      <c r="E41" s="1146">
        <v>2350</v>
      </c>
      <c r="F41" s="1146" t="s">
        <v>181</v>
      </c>
      <c r="G41" s="1149" t="s">
        <v>1345</v>
      </c>
    </row>
    <row r="42" spans="1:7" x14ac:dyDescent="0.25">
      <c r="A42" s="1146" t="s">
        <v>158</v>
      </c>
      <c r="B42" s="1149" t="s">
        <v>8</v>
      </c>
      <c r="C42" s="1147" t="s">
        <v>380</v>
      </c>
      <c r="D42" s="1147" t="s">
        <v>49</v>
      </c>
      <c r="E42" s="1146">
        <v>2230</v>
      </c>
      <c r="F42" s="1146" t="s">
        <v>158</v>
      </c>
      <c r="G42" s="1149" t="s">
        <v>8</v>
      </c>
    </row>
    <row r="43" spans="1:7" x14ac:dyDescent="0.25">
      <c r="A43" s="1146" t="s">
        <v>1026</v>
      </c>
      <c r="B43" s="1149" t="s">
        <v>8</v>
      </c>
      <c r="C43" s="1147" t="s">
        <v>1754</v>
      </c>
      <c r="D43" s="1147" t="s">
        <v>1310</v>
      </c>
      <c r="E43" s="1146">
        <v>3040</v>
      </c>
      <c r="F43" s="1146" t="s">
        <v>1026</v>
      </c>
      <c r="G43" s="1149" t="s">
        <v>8</v>
      </c>
    </row>
    <row r="44" spans="1:7" x14ac:dyDescent="0.25">
      <c r="A44" s="1146" t="s">
        <v>373</v>
      </c>
      <c r="B44" s="1149" t="s">
        <v>8</v>
      </c>
      <c r="C44" s="1147" t="s">
        <v>381</v>
      </c>
      <c r="D44" s="1147" t="s">
        <v>241</v>
      </c>
      <c r="E44" s="1146">
        <v>3139</v>
      </c>
      <c r="F44" s="1146" t="s">
        <v>373</v>
      </c>
      <c r="G44" s="1149" t="s">
        <v>8</v>
      </c>
    </row>
    <row r="45" spans="1:7" x14ac:dyDescent="0.25">
      <c r="A45" s="1146" t="s">
        <v>150</v>
      </c>
      <c r="B45" s="1149" t="s">
        <v>1345</v>
      </c>
      <c r="C45" s="1147" t="s">
        <v>383</v>
      </c>
      <c r="D45" s="1147" t="s">
        <v>24</v>
      </c>
      <c r="E45" s="1146">
        <v>3170</v>
      </c>
      <c r="F45" s="1146" t="s">
        <v>150</v>
      </c>
      <c r="G45" s="1149" t="s">
        <v>1345</v>
      </c>
    </row>
    <row r="46" spans="1:7" x14ac:dyDescent="0.25">
      <c r="A46" s="1146" t="s">
        <v>135</v>
      </c>
      <c r="B46" s="1149" t="s">
        <v>1345</v>
      </c>
      <c r="C46" s="1147" t="s">
        <v>198</v>
      </c>
      <c r="D46" s="1147" t="s">
        <v>72</v>
      </c>
      <c r="E46" s="1146">
        <v>2360</v>
      </c>
      <c r="F46" s="1146" t="s">
        <v>135</v>
      </c>
      <c r="G46" s="1149" t="s">
        <v>1345</v>
      </c>
    </row>
    <row r="47" spans="1:7" x14ac:dyDescent="0.25">
      <c r="A47" s="1146" t="s">
        <v>164</v>
      </c>
      <c r="B47" s="1149" t="s">
        <v>13</v>
      </c>
      <c r="C47" s="1147" t="s">
        <v>376</v>
      </c>
      <c r="D47" s="1147" t="s">
        <v>27</v>
      </c>
      <c r="E47" s="1146">
        <v>3190</v>
      </c>
      <c r="F47" s="1146" t="s">
        <v>164</v>
      </c>
      <c r="G47" s="1149" t="s">
        <v>13</v>
      </c>
    </row>
    <row r="48" spans="1:7" x14ac:dyDescent="0.25">
      <c r="A48" s="1146" t="s">
        <v>184</v>
      </c>
      <c r="B48" s="1149" t="s">
        <v>13</v>
      </c>
      <c r="C48" s="1147" t="s">
        <v>376</v>
      </c>
      <c r="D48" s="1147" t="s">
        <v>59</v>
      </c>
      <c r="E48" s="1146">
        <v>2116</v>
      </c>
      <c r="F48" s="1146" t="s">
        <v>184</v>
      </c>
      <c r="G48" s="1149" t="s">
        <v>13</v>
      </c>
    </row>
    <row r="49" spans="1:7" x14ac:dyDescent="0.25">
      <c r="A49" s="1146" t="s">
        <v>170</v>
      </c>
      <c r="B49" s="1149" t="s">
        <v>18</v>
      </c>
      <c r="C49" s="1147" t="s">
        <v>394</v>
      </c>
      <c r="D49" s="1147" t="s">
        <v>54</v>
      </c>
      <c r="E49" s="1146">
        <v>4146</v>
      </c>
      <c r="F49" s="1146" t="s">
        <v>170</v>
      </c>
      <c r="G49" s="1149" t="s">
        <v>18</v>
      </c>
    </row>
    <row r="50" spans="1:7" x14ac:dyDescent="0.25">
      <c r="A50" s="1146" t="s">
        <v>1132</v>
      </c>
      <c r="B50" s="1149" t="s">
        <v>1753</v>
      </c>
      <c r="C50" s="1147" t="s">
        <v>1130</v>
      </c>
      <c r="D50" s="1147" t="s">
        <v>1133</v>
      </c>
      <c r="E50" s="1146">
        <v>4135</v>
      </c>
      <c r="F50" s="1146" t="s">
        <v>1132</v>
      </c>
      <c r="G50" s="1149" t="s">
        <v>1753</v>
      </c>
    </row>
    <row r="51" spans="1:7" x14ac:dyDescent="0.25">
      <c r="A51" s="1146" t="s">
        <v>187</v>
      </c>
      <c r="B51" s="1149" t="s">
        <v>13</v>
      </c>
      <c r="C51" s="1147" t="s">
        <v>377</v>
      </c>
      <c r="D51" s="1147" t="s">
        <v>122</v>
      </c>
      <c r="E51" s="1146">
        <v>2170</v>
      </c>
      <c r="F51" s="1146" t="s">
        <v>187</v>
      </c>
      <c r="G51" s="1149" t="s">
        <v>13</v>
      </c>
    </row>
    <row r="52" spans="1:7" x14ac:dyDescent="0.25">
      <c r="A52" s="1146" t="s">
        <v>157</v>
      </c>
      <c r="B52" s="1149" t="s">
        <v>8</v>
      </c>
      <c r="C52" s="1147" t="s">
        <v>386</v>
      </c>
      <c r="D52" s="1147" t="s">
        <v>7</v>
      </c>
      <c r="E52" s="1146">
        <v>3055</v>
      </c>
      <c r="F52" s="1146" t="s">
        <v>157</v>
      </c>
      <c r="G52" s="1149" t="s">
        <v>8</v>
      </c>
    </row>
    <row r="53" spans="1:7" x14ac:dyDescent="0.25">
      <c r="A53" s="1146" t="s">
        <v>1120</v>
      </c>
      <c r="B53" s="1149" t="s">
        <v>18</v>
      </c>
      <c r="C53" s="1147" t="s">
        <v>1121</v>
      </c>
      <c r="D53" s="1147" t="s">
        <v>1122</v>
      </c>
      <c r="E53" s="1146">
        <v>4210</v>
      </c>
      <c r="F53" s="1146" t="s">
        <v>1120</v>
      </c>
      <c r="G53" s="1149" t="s">
        <v>18</v>
      </c>
    </row>
    <row r="54" spans="1:7" x14ac:dyDescent="0.25">
      <c r="A54" s="1146" t="s">
        <v>161</v>
      </c>
      <c r="B54" s="1149" t="s">
        <v>8</v>
      </c>
      <c r="C54" s="1147" t="s">
        <v>384</v>
      </c>
      <c r="D54" s="1147" t="s">
        <v>16</v>
      </c>
      <c r="E54" s="1146">
        <v>2240</v>
      </c>
      <c r="F54" s="1146" t="s">
        <v>161</v>
      </c>
      <c r="G54" s="1149" t="s">
        <v>8</v>
      </c>
    </row>
    <row r="55" spans="1:7" x14ac:dyDescent="0.25">
      <c r="A55" s="1146" t="s">
        <v>166</v>
      </c>
      <c r="B55" s="1149" t="s">
        <v>18</v>
      </c>
      <c r="C55" s="1147" t="s">
        <v>391</v>
      </c>
      <c r="D55" s="1147" t="s">
        <v>73</v>
      </c>
      <c r="E55" s="1146">
        <v>4110</v>
      </c>
      <c r="F55" s="1146" t="s">
        <v>166</v>
      </c>
      <c r="G55" s="1149" t="s">
        <v>18</v>
      </c>
    </row>
    <row r="56" spans="1:7" x14ac:dyDescent="0.25">
      <c r="A56" s="1146" t="s">
        <v>153</v>
      </c>
      <c r="B56" s="1149" t="s">
        <v>8</v>
      </c>
      <c r="C56" s="1147" t="s">
        <v>385</v>
      </c>
      <c r="D56" s="1147" t="s">
        <v>25</v>
      </c>
      <c r="E56" s="1146">
        <v>2135</v>
      </c>
      <c r="F56" s="1146" t="s">
        <v>153</v>
      </c>
      <c r="G56" s="1149" t="s">
        <v>8</v>
      </c>
    </row>
    <row r="57" spans="1:7" x14ac:dyDescent="0.25">
      <c r="A57" s="1146" t="s">
        <v>139</v>
      </c>
      <c r="B57" s="1149" t="s">
        <v>1345</v>
      </c>
      <c r="C57" s="1147" t="s">
        <v>197</v>
      </c>
      <c r="D57" s="1147" t="s">
        <v>47</v>
      </c>
      <c r="E57" s="1146">
        <v>3210</v>
      </c>
      <c r="F57" s="1146" t="s">
        <v>139</v>
      </c>
      <c r="G57" s="1149" t="s">
        <v>1345</v>
      </c>
    </row>
    <row r="58" spans="1:7" x14ac:dyDescent="0.25">
      <c r="A58" s="1146" t="s">
        <v>171</v>
      </c>
      <c r="B58" s="1149" t="s">
        <v>18</v>
      </c>
      <c r="C58" s="1147" t="s">
        <v>390</v>
      </c>
      <c r="D58" s="1147" t="s">
        <v>30</v>
      </c>
      <c r="E58" s="1146">
        <v>4118</v>
      </c>
      <c r="F58" s="1146" t="s">
        <v>171</v>
      </c>
      <c r="G58" s="1149" t="s">
        <v>18</v>
      </c>
    </row>
    <row r="59" spans="1:7" x14ac:dyDescent="0.25">
      <c r="A59" s="1146" t="s">
        <v>169</v>
      </c>
      <c r="B59" s="1149" t="s">
        <v>18</v>
      </c>
      <c r="C59" s="1147" t="s">
        <v>393</v>
      </c>
      <c r="D59" s="1147" t="s">
        <v>40</v>
      </c>
      <c r="E59" s="1146">
        <v>4140</v>
      </c>
      <c r="F59" s="1146" t="s">
        <v>169</v>
      </c>
      <c r="G59" s="1149" t="s">
        <v>18</v>
      </c>
    </row>
    <row r="60" spans="1:7" x14ac:dyDescent="0.25">
      <c r="A60" s="1146" t="s">
        <v>168</v>
      </c>
      <c r="B60" s="1149" t="s">
        <v>18</v>
      </c>
      <c r="C60" s="1147" t="s">
        <v>391</v>
      </c>
      <c r="D60" s="1147" t="s">
        <v>17</v>
      </c>
      <c r="E60" s="1146">
        <v>4117</v>
      </c>
      <c r="F60" s="1146" t="s">
        <v>168</v>
      </c>
      <c r="G60" s="1149" t="s">
        <v>18</v>
      </c>
    </row>
    <row r="61" spans="1:7" x14ac:dyDescent="0.25">
      <c r="A61" s="1146" t="s">
        <v>1123</v>
      </c>
      <c r="B61" s="1149" t="s">
        <v>18</v>
      </c>
      <c r="C61" s="1147" t="s">
        <v>75</v>
      </c>
      <c r="D61" s="1147" t="s">
        <v>1124</v>
      </c>
      <c r="E61" s="1146">
        <v>4170</v>
      </c>
      <c r="F61" s="1146" t="s">
        <v>1123</v>
      </c>
      <c r="G61" s="1149" t="s">
        <v>18</v>
      </c>
    </row>
    <row r="62" spans="1:7" x14ac:dyDescent="0.25">
      <c r="A62" s="1146" t="s">
        <v>167</v>
      </c>
      <c r="B62" s="1149" t="s">
        <v>18</v>
      </c>
      <c r="C62" s="1147" t="s">
        <v>75</v>
      </c>
      <c r="D62" s="1147" t="s">
        <v>1125</v>
      </c>
      <c r="E62" s="1146">
        <v>4147</v>
      </c>
      <c r="F62" s="1146" t="s">
        <v>167</v>
      </c>
      <c r="G62" s="1149" t="s">
        <v>18</v>
      </c>
    </row>
    <row r="63" spans="1:7" x14ac:dyDescent="0.25">
      <c r="A63" s="1146" t="s">
        <v>1126</v>
      </c>
      <c r="B63" s="1149" t="s">
        <v>18</v>
      </c>
      <c r="C63" s="1147" t="s">
        <v>1121</v>
      </c>
      <c r="D63" s="1147" t="s">
        <v>1127</v>
      </c>
      <c r="E63" s="1146">
        <v>4220</v>
      </c>
      <c r="F63" s="1146" t="s">
        <v>1126</v>
      </c>
      <c r="G63" s="1149" t="s">
        <v>18</v>
      </c>
    </row>
    <row r="64" spans="1:7" x14ac:dyDescent="0.25">
      <c r="A64" s="1150" t="s">
        <v>133</v>
      </c>
      <c r="B64" s="1153" t="s">
        <v>1345</v>
      </c>
      <c r="C64" s="30" t="s">
        <v>197</v>
      </c>
      <c r="D64" s="30" t="s">
        <v>44</v>
      </c>
      <c r="E64" s="1150">
        <v>3220</v>
      </c>
      <c r="F64" s="1150" t="s">
        <v>133</v>
      </c>
      <c r="G64" s="1153" t="s">
        <v>1345</v>
      </c>
    </row>
    <row r="65" spans="1:7" x14ac:dyDescent="0.25">
      <c r="A65" s="1146" t="s">
        <v>179</v>
      </c>
      <c r="B65" s="1149" t="s">
        <v>1345</v>
      </c>
      <c r="C65" s="1147" t="s">
        <v>194</v>
      </c>
      <c r="D65" s="1147" t="s">
        <v>31</v>
      </c>
      <c r="E65" s="1146">
        <v>2330</v>
      </c>
      <c r="F65" s="1146" t="s">
        <v>179</v>
      </c>
      <c r="G65" s="1149" t="s">
        <v>1345</v>
      </c>
    </row>
    <row r="66" spans="1:7" x14ac:dyDescent="0.25">
      <c r="A66" s="1146" t="s">
        <v>136</v>
      </c>
      <c r="B66" s="1149" t="s">
        <v>8</v>
      </c>
      <c r="C66" s="1147" t="s">
        <v>388</v>
      </c>
      <c r="D66" s="1147" t="s">
        <v>57</v>
      </c>
      <c r="E66" s="1146">
        <v>3103</v>
      </c>
      <c r="F66" s="1146" t="s">
        <v>136</v>
      </c>
      <c r="G66" s="1149" t="s">
        <v>8</v>
      </c>
    </row>
    <row r="67" spans="1:7" x14ac:dyDescent="0.25">
      <c r="A67" s="1146" t="s">
        <v>1134</v>
      </c>
      <c r="B67" s="1149" t="s">
        <v>1753</v>
      </c>
      <c r="C67" s="1147" t="s">
        <v>1130</v>
      </c>
      <c r="D67" s="1147" t="s">
        <v>1135</v>
      </c>
      <c r="E67" s="1146">
        <v>4125</v>
      </c>
      <c r="F67" s="1146" t="s">
        <v>1134</v>
      </c>
      <c r="G67" s="1149" t="s">
        <v>1753</v>
      </c>
    </row>
    <row r="68" spans="1:7" x14ac:dyDescent="0.25">
      <c r="A68" s="1146" t="s">
        <v>188</v>
      </c>
      <c r="B68" s="1149" t="s">
        <v>8</v>
      </c>
      <c r="C68" s="1147" t="s">
        <v>385</v>
      </c>
      <c r="D68" s="1147" t="s">
        <v>81</v>
      </c>
      <c r="E68" s="1146">
        <v>2165</v>
      </c>
      <c r="F68" s="1146" t="s">
        <v>188</v>
      </c>
      <c r="G68" s="1149" t="s">
        <v>8</v>
      </c>
    </row>
    <row r="69" spans="1:7" x14ac:dyDescent="0.25">
      <c r="A69" s="1146" t="s">
        <v>143</v>
      </c>
      <c r="B69" s="1149" t="s">
        <v>13</v>
      </c>
      <c r="C69" s="1147" t="s">
        <v>1024</v>
      </c>
      <c r="D69" s="1147" t="s">
        <v>53</v>
      </c>
      <c r="E69" s="1146">
        <v>2185</v>
      </c>
      <c r="F69" s="1146" t="s">
        <v>143</v>
      </c>
      <c r="G69" s="1149" t="s">
        <v>13</v>
      </c>
    </row>
    <row r="70" spans="1:7" ht="15.75" thickBot="1" x14ac:dyDescent="0.3">
      <c r="A70" s="31" t="s">
        <v>183</v>
      </c>
      <c r="B70" s="32" t="s">
        <v>1345</v>
      </c>
      <c r="C70" s="1148" t="s">
        <v>194</v>
      </c>
      <c r="D70" s="1148" t="s">
        <v>1006</v>
      </c>
      <c r="E70" s="31">
        <v>248</v>
      </c>
      <c r="F70" s="31" t="s">
        <v>183</v>
      </c>
      <c r="G70" s="32" t="s">
        <v>1345</v>
      </c>
    </row>
    <row r="71" spans="1:7" x14ac:dyDescent="0.25">
      <c r="A71" s="1150" t="s">
        <v>1027</v>
      </c>
      <c r="B71" s="1153" t="s">
        <v>13</v>
      </c>
      <c r="C71" s="30" t="s">
        <v>385</v>
      </c>
      <c r="D71" s="30" t="s">
        <v>1755</v>
      </c>
      <c r="E71" s="1150">
        <v>2010</v>
      </c>
      <c r="F71" s="1150" t="s">
        <v>1027</v>
      </c>
      <c r="G71" s="1153" t="s">
        <v>13</v>
      </c>
    </row>
    <row r="72" spans="1:7" x14ac:dyDescent="0.25">
      <c r="A72" s="1146" t="s">
        <v>378</v>
      </c>
      <c r="B72" s="1149" t="s">
        <v>13</v>
      </c>
      <c r="C72" s="1147" t="s">
        <v>61</v>
      </c>
      <c r="D72" s="1147" t="s">
        <v>1756</v>
      </c>
      <c r="E72" s="1146">
        <v>2030</v>
      </c>
      <c r="F72" s="1146" t="s">
        <v>378</v>
      </c>
      <c r="G72" s="1149" t="s">
        <v>13</v>
      </c>
    </row>
    <row r="73" spans="1:7" x14ac:dyDescent="0.25">
      <c r="A73" s="1146" t="s">
        <v>1019</v>
      </c>
      <c r="B73" s="1149" t="s">
        <v>1345</v>
      </c>
      <c r="C73" s="1147" t="s">
        <v>1018</v>
      </c>
      <c r="D73" s="1147" t="s">
        <v>1757</v>
      </c>
      <c r="E73" s="1146">
        <v>2375</v>
      </c>
      <c r="F73" s="1146" t="s">
        <v>1019</v>
      </c>
      <c r="G73" s="1149" t="s">
        <v>1345</v>
      </c>
    </row>
    <row r="74" spans="1:7" x14ac:dyDescent="0.25">
      <c r="A74" s="1146" t="s">
        <v>1020</v>
      </c>
      <c r="B74" s="1149" t="s">
        <v>1345</v>
      </c>
      <c r="C74" s="1147" t="s">
        <v>1018</v>
      </c>
      <c r="D74" s="1147" t="s">
        <v>1758</v>
      </c>
      <c r="E74" s="1146">
        <v>2355</v>
      </c>
      <c r="F74" s="1146" t="s">
        <v>1020</v>
      </c>
      <c r="G74" s="1149" t="s">
        <v>1345</v>
      </c>
    </row>
    <row r="75" spans="1:7" x14ac:dyDescent="0.25">
      <c r="A75" s="1146" t="s">
        <v>182</v>
      </c>
      <c r="B75" s="1149" t="s">
        <v>23</v>
      </c>
      <c r="C75" s="1147" t="s">
        <v>194</v>
      </c>
      <c r="D75" s="1147" t="s">
        <v>1759</v>
      </c>
      <c r="E75" s="1146">
        <v>2310</v>
      </c>
      <c r="F75" s="1146" t="s">
        <v>182</v>
      </c>
      <c r="G75" s="1149" t="s">
        <v>23</v>
      </c>
    </row>
    <row r="76" spans="1:7" x14ac:dyDescent="0.25">
      <c r="A76" s="1146" t="s">
        <v>191</v>
      </c>
      <c r="B76" s="1149" t="s">
        <v>13</v>
      </c>
      <c r="C76" s="1147" t="s">
        <v>1024</v>
      </c>
      <c r="D76" s="1147" t="s">
        <v>1760</v>
      </c>
      <c r="E76" s="1146">
        <v>2180</v>
      </c>
      <c r="F76" s="1146" t="s">
        <v>191</v>
      </c>
      <c r="G76" s="114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2022-05-23T08:38:34Z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4af2a082-12fa-4105-823a-ebd84aa9bd3e</vt:lpwstr>
  </property>
  <property fmtid="{D5CDD505-2E9C-101B-9397-08002B2CF9AE}" pid="4" name="Classification">
    <vt:lpwstr>LV_R3STR1CT3D</vt:lpwstr>
  </property>
  <property fmtid="{D5CDD505-2E9C-101B-9397-08002B2CF9AE}" pid="5" name="ContainsPII">
    <vt:lpwstr>No</vt:lpwstr>
  </property>
</Properties>
</file>